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0DFF5B5E-DEC7-4DE2-AE9F-8FB6042314C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Op profit forecast" sheetId="3" r:id="rId1"/>
    <sheet name="Charts" sheetId="7" r:id="rId2"/>
    <sheet name="Key Assumptions &amp; Disclaimer" sheetId="6" r:id="rId3"/>
    <sheet name="DCF" sheetId="5" r:id="rId4"/>
    <sheet name="Key schedules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3" l="1"/>
  <c r="R6" i="3"/>
  <c r="Q6" i="3"/>
  <c r="G11" i="3"/>
  <c r="A2" i="6"/>
  <c r="E52" i="5" l="1"/>
  <c r="F43" i="5"/>
  <c r="F42" i="5"/>
  <c r="D38" i="5"/>
  <c r="D33" i="5"/>
  <c r="D17" i="5"/>
  <c r="D23" i="5" s="1"/>
  <c r="C17" i="5"/>
  <c r="C23" i="5" s="1"/>
  <c r="D14" i="5"/>
  <c r="E43" i="4"/>
  <c r="F43" i="4"/>
  <c r="G43" i="4"/>
  <c r="D43" i="4"/>
  <c r="E39" i="4"/>
  <c r="E40" i="4" s="1"/>
  <c r="F39" i="4"/>
  <c r="F40" i="4" s="1"/>
  <c r="G39" i="4"/>
  <c r="G40" i="4" s="1"/>
  <c r="H39" i="4"/>
  <c r="D39" i="4"/>
  <c r="D40" i="4" s="1"/>
  <c r="E36" i="4"/>
  <c r="F36" i="4"/>
  <c r="G36" i="4"/>
  <c r="D36" i="4"/>
  <c r="E32" i="4"/>
  <c r="E33" i="4" s="1"/>
  <c r="F32" i="4"/>
  <c r="F33" i="4" s="1"/>
  <c r="G32" i="4"/>
  <c r="G33" i="4" s="1"/>
  <c r="H32" i="4"/>
  <c r="D32" i="4"/>
  <c r="D33" i="4" s="1"/>
  <c r="E28" i="4"/>
  <c r="F28" i="4"/>
  <c r="G28" i="4"/>
  <c r="D28" i="4"/>
  <c r="E25" i="4"/>
  <c r="F25" i="4"/>
  <c r="G25" i="4"/>
  <c r="D25" i="4"/>
  <c r="H22" i="4"/>
  <c r="E22" i="4"/>
  <c r="E23" i="4" s="1"/>
  <c r="F22" i="4"/>
  <c r="F23" i="4" s="1"/>
  <c r="G22" i="4"/>
  <c r="G23" i="4" s="1"/>
  <c r="D22" i="4"/>
  <c r="D23" i="4" s="1"/>
  <c r="E14" i="4"/>
  <c r="F14" i="4"/>
  <c r="G14" i="4"/>
  <c r="D14" i="4"/>
  <c r="D8" i="4"/>
  <c r="D6" i="4"/>
  <c r="F5" i="4"/>
  <c r="F6" i="4" s="1"/>
  <c r="C24" i="5" s="1"/>
  <c r="G5" i="4"/>
  <c r="G6" i="4" s="1"/>
  <c r="D24" i="5" s="1"/>
  <c r="H5" i="4"/>
  <c r="E5" i="4"/>
  <c r="E6" i="4" s="1"/>
  <c r="H28" i="4" l="1"/>
  <c r="I28" i="4" s="1"/>
  <c r="E45" i="5"/>
  <c r="E45" i="4"/>
  <c r="F45" i="4"/>
  <c r="C25" i="5" s="1"/>
  <c r="G45" i="4"/>
  <c r="D25" i="5" s="1"/>
  <c r="D45" i="4"/>
  <c r="H14" i="4"/>
  <c r="H15" i="4" s="1"/>
  <c r="G8" i="4"/>
  <c r="F8" i="4"/>
  <c r="E8" i="4"/>
  <c r="J28" i="4" l="1"/>
  <c r="H8" i="4"/>
  <c r="I8" i="4" s="1"/>
  <c r="I14" i="4"/>
  <c r="J14" i="4" s="1"/>
  <c r="H7" i="4" l="1"/>
  <c r="E17" i="5" s="1"/>
  <c r="E23" i="5" s="1"/>
  <c r="J8" i="4"/>
  <c r="J15" i="4"/>
  <c r="I15" i="4"/>
  <c r="G37" i="3" l="1"/>
  <c r="L27" i="3"/>
  <c r="J27" i="3"/>
  <c r="I25" i="3" s="1"/>
  <c r="H27" i="3"/>
  <c r="F20" i="3"/>
  <c r="F21" i="3"/>
  <c r="F22" i="3"/>
  <c r="F23" i="3"/>
  <c r="F24" i="3"/>
  <c r="F27" i="3"/>
  <c r="K11" i="3"/>
  <c r="K9" i="3"/>
  <c r="I11" i="3"/>
  <c r="H21" i="3" l="1"/>
  <c r="J21" i="3" s="1"/>
  <c r="L21" i="3" s="1"/>
  <c r="H24" i="3"/>
  <c r="J24" i="3" s="1"/>
  <c r="L24" i="3" s="1"/>
  <c r="H20" i="3"/>
  <c r="H23" i="3"/>
  <c r="J23" i="3" s="1"/>
  <c r="L23" i="3" s="1"/>
  <c r="H22" i="3"/>
  <c r="J22" i="3" s="1"/>
  <c r="L22" i="3" s="1"/>
  <c r="I37" i="3"/>
  <c r="K25" i="3"/>
  <c r="K37" i="3" s="1"/>
  <c r="E12" i="3"/>
  <c r="E26" i="3" s="1"/>
  <c r="C12" i="3"/>
  <c r="C26" i="3" s="1"/>
  <c r="C33" i="3"/>
  <c r="E33" i="3"/>
  <c r="C34" i="3"/>
  <c r="E34" i="3"/>
  <c r="C35" i="3"/>
  <c r="E35" i="3"/>
  <c r="C36" i="3"/>
  <c r="E36" i="3"/>
  <c r="E32" i="3"/>
  <c r="C32" i="3"/>
  <c r="G20" i="3" l="1"/>
  <c r="J20" i="3"/>
  <c r="L20" i="3" s="1"/>
  <c r="E39" i="3"/>
  <c r="G21" i="3"/>
  <c r="I21" i="3" s="1"/>
  <c r="K21" i="3" s="1"/>
  <c r="D10" i="3"/>
  <c r="D9" i="3"/>
  <c r="F9" i="3"/>
  <c r="D7" i="3"/>
  <c r="D6" i="3"/>
  <c r="G23" i="3"/>
  <c r="I23" i="3" s="1"/>
  <c r="K23" i="3" s="1"/>
  <c r="K35" i="3" s="1"/>
  <c r="G22" i="3"/>
  <c r="I22" i="3" s="1"/>
  <c r="K22" i="3" s="1"/>
  <c r="C14" i="3"/>
  <c r="F8" i="3"/>
  <c r="F6" i="3"/>
  <c r="F7" i="3"/>
  <c r="G24" i="3"/>
  <c r="I24" i="3" s="1"/>
  <c r="K24" i="3" s="1"/>
  <c r="D8" i="3"/>
  <c r="F10" i="3"/>
  <c r="E14" i="3"/>
  <c r="K10" i="3" s="1"/>
  <c r="C39" i="3"/>
  <c r="E40" i="3" l="1"/>
  <c r="D16" i="5"/>
  <c r="D18" i="5" s="1"/>
  <c r="C40" i="3"/>
  <c r="C16" i="5"/>
  <c r="C18" i="5" s="1"/>
  <c r="K8" i="3"/>
  <c r="K34" i="3" s="1"/>
  <c r="I10" i="3"/>
  <c r="G10" i="3"/>
  <c r="K7" i="3"/>
  <c r="K33" i="3" s="1"/>
  <c r="I20" i="3"/>
  <c r="K20" i="3" s="1"/>
  <c r="I7" i="3"/>
  <c r="G9" i="3"/>
  <c r="G7" i="3"/>
  <c r="I8" i="3"/>
  <c r="G8" i="3"/>
  <c r="G6" i="3"/>
  <c r="D20" i="5" l="1"/>
  <c r="D21" i="5" s="1"/>
  <c r="C20" i="5"/>
  <c r="C21" i="5" s="1"/>
  <c r="K36" i="3"/>
  <c r="I34" i="3"/>
  <c r="G12" i="3"/>
  <c r="J7" i="3" s="1"/>
  <c r="I6" i="3"/>
  <c r="G32" i="3"/>
  <c r="G33" i="3"/>
  <c r="G34" i="3"/>
  <c r="G35" i="3"/>
  <c r="I9" i="3"/>
  <c r="G36" i="3"/>
  <c r="I33" i="3"/>
  <c r="H6" i="3" l="1"/>
  <c r="G39" i="3"/>
  <c r="E16" i="5" s="1"/>
  <c r="E18" i="5" s="1"/>
  <c r="H11" i="3"/>
  <c r="L10" i="3"/>
  <c r="L11" i="3"/>
  <c r="J11" i="3"/>
  <c r="L7" i="3"/>
  <c r="L9" i="3"/>
  <c r="G15" i="3"/>
  <c r="L8" i="3"/>
  <c r="G26" i="3"/>
  <c r="I35" i="3"/>
  <c r="J9" i="3"/>
  <c r="J10" i="3"/>
  <c r="I36" i="3"/>
  <c r="H8" i="3"/>
  <c r="H10" i="3"/>
  <c r="H9" i="3"/>
  <c r="H7" i="3"/>
  <c r="I32" i="3"/>
  <c r="J6" i="3"/>
  <c r="K6" i="3"/>
  <c r="I12" i="3"/>
  <c r="I15" i="3" s="1"/>
  <c r="J8" i="3"/>
  <c r="E19" i="5" l="1"/>
  <c r="E21" i="5"/>
  <c r="I40" i="3"/>
  <c r="G40" i="3"/>
  <c r="G41" i="3" s="1"/>
  <c r="H26" i="4" s="1"/>
  <c r="H6" i="4"/>
  <c r="E24" i="5" s="1"/>
  <c r="I26" i="3"/>
  <c r="I39" i="3"/>
  <c r="F16" i="5" s="1"/>
  <c r="L6" i="3"/>
  <c r="K40" i="3" s="1"/>
  <c r="K32" i="3"/>
  <c r="K39" i="3" s="1"/>
  <c r="G16" i="5" s="1"/>
  <c r="K12" i="3"/>
  <c r="K15" i="3" s="1"/>
  <c r="H9" i="4" l="1"/>
  <c r="I5" i="4" s="1"/>
  <c r="I7" i="4" s="1"/>
  <c r="F17" i="5" s="1"/>
  <c r="H24" i="4"/>
  <c r="H23" i="4" s="1"/>
  <c r="H29" i="4"/>
  <c r="I41" i="3"/>
  <c r="I26" i="4" s="1"/>
  <c r="K41" i="3"/>
  <c r="J26" i="4" s="1"/>
  <c r="J6" i="4"/>
  <c r="G24" i="5" s="1"/>
  <c r="I6" i="4"/>
  <c r="F24" i="5" s="1"/>
  <c r="K26" i="3"/>
  <c r="F18" i="5" l="1"/>
  <c r="F23" i="5"/>
  <c r="H34" i="4"/>
  <c r="I32" i="4" s="1"/>
  <c r="H41" i="4"/>
  <c r="I22" i="4"/>
  <c r="J24" i="4"/>
  <c r="J29" i="4"/>
  <c r="I24" i="4"/>
  <c r="J22" i="4" s="1"/>
  <c r="I29" i="4"/>
  <c r="I9" i="4"/>
  <c r="J5" i="4" s="1"/>
  <c r="J7" i="4" s="1"/>
  <c r="G17" i="5" s="1"/>
  <c r="F19" i="5" l="1"/>
  <c r="F21" i="5"/>
  <c r="G18" i="5"/>
  <c r="G23" i="5"/>
  <c r="J9" i="4"/>
  <c r="H33" i="4"/>
  <c r="I39" i="4"/>
  <c r="H40" i="4"/>
  <c r="J34" i="4"/>
  <c r="J41" i="4"/>
  <c r="I34" i="4"/>
  <c r="J32" i="4" s="1"/>
  <c r="I41" i="4"/>
  <c r="J23" i="4"/>
  <c r="I23" i="4"/>
  <c r="G19" i="5" l="1"/>
  <c r="G21" i="5"/>
  <c r="H45" i="4"/>
  <c r="E25" i="5" s="1"/>
  <c r="E27" i="5" s="1"/>
  <c r="J39" i="4"/>
  <c r="J40" i="4" s="1"/>
  <c r="I40" i="4"/>
  <c r="J33" i="4"/>
  <c r="I33" i="4"/>
  <c r="J45" i="4" l="1"/>
  <c r="G25" i="5" s="1"/>
  <c r="G27" i="5" s="1"/>
  <c r="I45" i="4"/>
  <c r="F25" i="5" s="1"/>
  <c r="F27" i="5" s="1"/>
  <c r="E47" i="5" l="1"/>
  <c r="E48" i="5" s="1"/>
  <c r="E49" i="5"/>
  <c r="E51" i="5" l="1"/>
  <c r="E5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Sanchit</author>
  </authors>
  <commentList>
    <comment ref="S7" authorId="0" shapeId="0" xr:uid="{52A81868-F8BD-4C8D-9224-E72073F36B73}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
https://www.aplapollo.com/wp-content/uploads/2019/04/press-release-acquire-shankaras-tube-manufacturing-unit-in-southern-india.pdf
Page 2
</t>
        </r>
      </text>
    </comment>
    <comment ref="S8" authorId="0" shapeId="0" xr:uid="{86BE6CBD-DD65-4824-B660-F1563BEEC536}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
https://www.aplapollo.com/wp-content/uploads/2019/04/press-release-acquire-shankaras-tube-manufacturing-unit-in-southern-india.pdf
Page 2</t>
        </r>
      </text>
    </comment>
    <comment ref="S11" authorId="0" shapeId="0" xr:uid="{441B3445-CFD3-4DA8-9607-1DFC7C5DB8CA}">
      <text>
        <r>
          <rPr>
            <sz val="9"/>
            <color indexed="81"/>
            <rFont val="Tahoma"/>
            <family val="2"/>
          </rPr>
          <t xml:space="preserve">Source:
https://www.aplapollo.com/wp-content/uploads/2020/02/APL-Q3-9M-FY2020-Concall-Transcript.pdf
Page 8
Here it is written 70-80% but this can be used only for 2 quarters so for FY-20 it is halved.
</t>
        </r>
      </text>
    </comment>
    <comment ref="K14" authorId="0" shapeId="0" xr:uid="{07819958-D89E-42B1-A893-FD4E9248B553}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
https://www.aplapollo.com/wp-content/uploads/2020/02/APL-Q3-9M-FY2020-Concall-Transcript.pdf
Page 3
</t>
        </r>
      </text>
    </comment>
    <comment ref="O21" authorId="0" shapeId="0" xr:uid="{58DA889C-CD27-4BEE-A833-D8D0105E8E91}">
      <text>
        <r>
          <rPr>
            <b/>
            <sz val="9"/>
            <color indexed="81"/>
            <rFont val="Tahoma"/>
            <family val="2"/>
          </rPr>
          <t>Sanchit:</t>
        </r>
        <r>
          <rPr>
            <sz val="9"/>
            <color indexed="81"/>
            <rFont val="Tahoma"/>
            <family val="2"/>
          </rPr>
          <t xml:space="preserve">
From various parts in the company annual report
</t>
        </r>
      </text>
    </comment>
    <comment ref="G26" authorId="0" shapeId="0" xr:uid="{A49357E4-18F8-47E6-87BD-CDA83F9349DA}">
      <text>
        <r>
          <rPr>
            <b/>
            <sz val="9"/>
            <color indexed="81"/>
            <rFont val="Tahoma"/>
            <family val="2"/>
          </rPr>
          <t>Sanchit:</t>
        </r>
        <r>
          <rPr>
            <sz val="9"/>
            <color indexed="81"/>
            <rFont val="Tahoma"/>
            <family val="2"/>
          </rPr>
          <t xml:space="preserve">
Source:  https://www.aplapollo.com/wp-content/uploads/2020/02/APL-Q3-9M-FY2020-Concall-Transcript.pdf
Page 6
</t>
        </r>
      </text>
    </comment>
    <comment ref="K26" authorId="0" shapeId="0" xr:uid="{AC0BABDF-FFCB-434A-9204-C7510D3D8E48}">
      <text>
        <r>
          <rPr>
            <b/>
            <sz val="9"/>
            <color indexed="81"/>
            <rFont val="Tahoma"/>
            <family val="2"/>
          </rPr>
          <t>Sanchit:</t>
        </r>
        <r>
          <rPr>
            <sz val="9"/>
            <color indexed="81"/>
            <rFont val="Tahoma"/>
            <family val="2"/>
          </rPr>
          <t xml:space="preserve">
Source:
https://www.aplapollo.com/wp-content/uploads/2020/02/APL-Q3-9M-FY2020-Concall-Transcript.pdf
Page 16
</t>
        </r>
      </text>
    </comment>
    <comment ref="G27" authorId="0" shapeId="0" xr:uid="{47AD32B7-8CCC-4960-8D1E-974385742677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
https://www.bloombergquint.com/markets/india-steel-prices-expected-to-decline-in-april-as-coronavirus-stalls-manufacturing</t>
        </r>
      </text>
    </comment>
    <comment ref="I27" authorId="0" shapeId="0" xr:uid="{2FB547FC-88F2-4524-BD70-86FBDF139DA7}">
      <text>
        <r>
          <rPr>
            <b/>
            <sz val="9"/>
            <color indexed="81"/>
            <rFont val="Tahoma"/>
            <family val="2"/>
          </rPr>
          <t>Assumption:</t>
        </r>
        <r>
          <rPr>
            <sz val="9"/>
            <color indexed="81"/>
            <rFont val="Tahoma"/>
            <family val="2"/>
          </rPr>
          <t xml:space="preserve">
Demand will slowly recover thus prices will improve.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Sanchit</author>
  </authors>
  <commentList>
    <comment ref="C7" authorId="0" shapeId="0" xr:uid="{869D6040-CD9A-4610-A37D-942B29BE0AF0}">
      <text>
        <r>
          <rPr>
            <b/>
            <sz val="9"/>
            <color indexed="81"/>
            <rFont val="Tahoma"/>
            <family val="2"/>
          </rPr>
          <t xml:space="preserve">Source:
</t>
        </r>
        <r>
          <rPr>
            <sz val="9"/>
            <color indexed="81"/>
            <rFont val="Tahoma"/>
            <family val="2"/>
          </rPr>
          <t xml:space="preserve">
https://tradingeconomics.com/india/government-bond-yield</t>
        </r>
      </text>
    </comment>
    <comment ref="C9" authorId="0" shapeId="0" xr:uid="{A29426EE-E611-4B9A-8D39-897448B25044}">
      <text>
        <r>
          <rPr>
            <b/>
            <sz val="9"/>
            <color indexed="81"/>
            <rFont val="Tahoma"/>
            <family val="2"/>
          </rPr>
          <t xml:space="preserve">Source:
Taken from Thomson Reuters
</t>
        </r>
      </text>
    </comment>
    <comment ref="C11" authorId="0" shapeId="0" xr:uid="{90FCF8FB-8BC2-4406-8DF7-F92F4D7DEEEE}">
      <text>
        <r>
          <rPr>
            <b/>
            <sz val="9"/>
            <color indexed="81"/>
            <rFont val="Tahoma"/>
            <family val="2"/>
          </rPr>
          <t>Calculation:</t>
        </r>
        <r>
          <rPr>
            <sz val="9"/>
            <color indexed="81"/>
            <rFont val="Tahoma"/>
            <family val="2"/>
          </rPr>
          <t xml:space="preserve">
Nifty as on 1st Jan 2010: 4379
Nifty as on 1st Jan 2020: 12236
CAGR: 10.82%
</t>
        </r>
      </text>
    </comment>
    <comment ref="D31" authorId="0" shapeId="0" xr:uid="{6E070C73-10EA-47B4-84EC-70D10E7450A4}">
      <text>
        <r>
          <rPr>
            <b/>
            <sz val="9"/>
            <color indexed="81"/>
            <rFont val="Tahoma"/>
            <family val="2"/>
          </rPr>
          <t>Sanchit:</t>
        </r>
        <r>
          <rPr>
            <sz val="9"/>
            <color indexed="81"/>
            <rFont val="Tahoma"/>
            <family val="2"/>
          </rPr>
          <t xml:space="preserve">
The company is rated AA by rating agency. The average yield for AA corporate bonds is 9.97%
</t>
        </r>
      </text>
    </comment>
    <comment ref="D32" authorId="0" shapeId="0" xr:uid="{4E56F892-D8E9-4B22-BAC3-D29F31422B5C}">
      <text>
        <r>
          <rPr>
            <b/>
            <sz val="9"/>
            <color indexed="81"/>
            <rFont val="Tahoma"/>
            <family val="2"/>
          </rPr>
          <t>Sanchit:</t>
        </r>
        <r>
          <rPr>
            <sz val="9"/>
            <color indexed="81"/>
            <rFont val="Tahoma"/>
            <family val="2"/>
          </rPr>
          <t xml:space="preserve">
The company falls under 22% tax slab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Sanchit</author>
  </authors>
  <commentList>
    <comment ref="H6" authorId="0" shapeId="0" xr:uid="{2AE20656-9830-4C02-B85A-CCB9A04D09F0}">
      <text>
        <r>
          <rPr>
            <b/>
            <sz val="9"/>
            <color indexed="81"/>
            <rFont val="Tahoma"/>
            <family val="2"/>
          </rPr>
          <t xml:space="preserve">Source: 
The management expects capex to be 20-25% of EBITDA.
https://www.aplapollo.com/wp-content/uploads/2020/02/APL-Q3-9M-FY2020-Concall-Transcript.pdf
Page 9
</t>
        </r>
      </text>
    </comment>
    <comment ref="H8" authorId="0" shapeId="0" xr:uid="{BE9B675D-6079-41D6-B2D3-6747E01DEF8D}">
      <text>
        <r>
          <rPr>
            <b/>
            <sz val="9"/>
            <color indexed="81"/>
            <rFont val="Tahoma"/>
            <family val="2"/>
          </rPr>
          <t>Assumption:</t>
        </r>
        <r>
          <rPr>
            <sz val="9"/>
            <color indexed="81"/>
            <rFont val="Tahoma"/>
            <family val="2"/>
          </rPr>
          <t xml:space="preserve">
Depreciation policy to remain same</t>
        </r>
      </text>
    </comment>
    <comment ref="H14" authorId="0" shapeId="0" xr:uid="{27AF64CD-77FF-41C3-AF29-6FB281A87761}">
      <text>
        <r>
          <rPr>
            <b/>
            <sz val="9"/>
            <color indexed="81"/>
            <rFont val="Tahoma"/>
            <family val="2"/>
          </rPr>
          <t xml:space="preserve">Assumption:
Company looking to keep debt levels same.
</t>
        </r>
      </text>
    </comment>
    <comment ref="H25" authorId="0" shapeId="0" xr:uid="{2A294819-82C6-4EE9-9082-3AF7A922064A}">
      <text>
        <r>
          <rPr>
            <b/>
            <sz val="9"/>
            <color indexed="81"/>
            <rFont val="Tahoma"/>
            <family val="2"/>
          </rPr>
          <t xml:space="preserve">Assumption:
Company's collection days coming down. That will continue.
</t>
        </r>
      </text>
    </comment>
    <comment ref="H28" authorId="0" shapeId="0" xr:uid="{CDE7E4AF-939B-47B4-AF40-370D5833BFFE}">
      <text>
        <r>
          <rPr>
            <b/>
            <sz val="9"/>
            <color indexed="81"/>
            <rFont val="Tahoma"/>
            <family val="2"/>
          </rPr>
          <t>Assumption:</t>
        </r>
        <r>
          <rPr>
            <sz val="9"/>
            <color indexed="81"/>
            <rFont val="Tahoma"/>
            <family val="2"/>
          </rPr>
          <t xml:space="preserve">
COGS levels to remain same.
</t>
        </r>
      </text>
    </comment>
    <comment ref="H36" authorId="0" shapeId="0" xr:uid="{8ACAB941-2620-4A24-A6CF-628D8C858514}">
      <text>
        <r>
          <rPr>
            <b/>
            <sz val="9"/>
            <color indexed="81"/>
            <rFont val="Tahoma"/>
            <family val="2"/>
          </rPr>
          <t xml:space="preserve">Assumption:
Company's holding period has reduced.That will continue.
</t>
        </r>
      </text>
    </comment>
    <comment ref="H43" authorId="0" shapeId="0" xr:uid="{DB37B7F2-7464-4CE7-8D5D-E0830C1F7261}">
      <text>
        <r>
          <rPr>
            <b/>
            <sz val="9"/>
            <color indexed="81"/>
            <rFont val="Tahoma"/>
            <family val="2"/>
          </rPr>
          <t xml:space="preserve">Assumption:
Company is gaining confidence among the suppliers. Thus payable period will reduce.
</t>
        </r>
      </text>
    </comment>
  </commentList>
</comments>
</file>

<file path=xl/sharedStrings.xml><?xml version="1.0" encoding="utf-8"?>
<sst xmlns="http://schemas.openxmlformats.org/spreadsheetml/2006/main" count="191" uniqueCount="124">
  <si>
    <t>Products</t>
  </si>
  <si>
    <t>Black Pipe</t>
  </si>
  <si>
    <t>GI Pipe</t>
  </si>
  <si>
    <t>GP Pipe</t>
  </si>
  <si>
    <t>Hollow Pipe-Normal</t>
  </si>
  <si>
    <t>Hollow Pipe-DFT</t>
  </si>
  <si>
    <t>EBITDA/TONNE</t>
  </si>
  <si>
    <t>In Crores</t>
  </si>
  <si>
    <t>Segment Volumes(in 000s)</t>
  </si>
  <si>
    <t>Segment wise EBITDA</t>
  </si>
  <si>
    <t>Total Capacity</t>
  </si>
  <si>
    <t>Total Volume</t>
  </si>
  <si>
    <t>Tricoat</t>
  </si>
  <si>
    <t>Hollow Normal</t>
  </si>
  <si>
    <t>Hollow DFT</t>
  </si>
  <si>
    <t>Utilization rate-for existing capacity</t>
  </si>
  <si>
    <t>Utilization rate-total</t>
  </si>
  <si>
    <t>NA</t>
  </si>
  <si>
    <t xml:space="preserve">NA </t>
  </si>
  <si>
    <t>EBITDA</t>
  </si>
  <si>
    <t>Depreciation Schedule</t>
  </si>
  <si>
    <t>Opening PP&amp;E</t>
  </si>
  <si>
    <t>Capex</t>
  </si>
  <si>
    <t>Depreciation</t>
  </si>
  <si>
    <t>Depreciation as % age of PPE</t>
  </si>
  <si>
    <t>Closing PP&amp;E</t>
  </si>
  <si>
    <t>Finance Cost</t>
  </si>
  <si>
    <t>Debt Balance</t>
  </si>
  <si>
    <t>Finance Cost(%)</t>
  </si>
  <si>
    <t>Balance Sheet Schedules</t>
  </si>
  <si>
    <t>WORKING CAPITAL</t>
  </si>
  <si>
    <t>Accounts receivable</t>
  </si>
  <si>
    <t>Beginning of period</t>
  </si>
  <si>
    <t>Increases / (decreases)</t>
  </si>
  <si>
    <t>End of period</t>
  </si>
  <si>
    <t xml:space="preserve">Inventory </t>
  </si>
  <si>
    <t>Inventory as % of COGS</t>
  </si>
  <si>
    <t>Accounts payable</t>
  </si>
  <si>
    <t>AP as % of COGS</t>
  </si>
  <si>
    <t>Changes in Working Capital</t>
  </si>
  <si>
    <t>in Million Rupess</t>
  </si>
  <si>
    <t>EBITDA as % age of sales</t>
  </si>
  <si>
    <t>Sales</t>
  </si>
  <si>
    <t>Margins</t>
  </si>
  <si>
    <t xml:space="preserve">Hollow Pipe </t>
  </si>
  <si>
    <t>DFT</t>
  </si>
  <si>
    <t xml:space="preserve">   AR as % of Sales</t>
  </si>
  <si>
    <t xml:space="preserve">   Sales</t>
  </si>
  <si>
    <t>COGS as % of Sales</t>
  </si>
  <si>
    <t>COGS</t>
  </si>
  <si>
    <t>Assumptions</t>
  </si>
  <si>
    <t>Valuation Model</t>
  </si>
  <si>
    <t>Growth from 2020-22</t>
  </si>
  <si>
    <t>Terminal Growth Rate</t>
  </si>
  <si>
    <t>Risk Free Rate</t>
  </si>
  <si>
    <t>Perpetual Growth Rate</t>
  </si>
  <si>
    <t>Beta(3Y weekly)</t>
  </si>
  <si>
    <t>Free cash flow buildup</t>
  </si>
  <si>
    <t xml:space="preserve">Fiscal year  </t>
  </si>
  <si>
    <t>Depreciation and amortization</t>
  </si>
  <si>
    <t>EBIT</t>
  </si>
  <si>
    <t>Tax Rate</t>
  </si>
  <si>
    <t xml:space="preserve">NOPAT </t>
  </si>
  <si>
    <t xml:space="preserve">Tax </t>
  </si>
  <si>
    <t>FCFF</t>
  </si>
  <si>
    <t>Cost of Capital Calculation</t>
  </si>
  <si>
    <t>Cost of debt</t>
  </si>
  <si>
    <t>Tax rate</t>
  </si>
  <si>
    <t xml:space="preserve">After tax cost of debt </t>
  </si>
  <si>
    <t>Risk free rate</t>
  </si>
  <si>
    <t>Beta</t>
  </si>
  <si>
    <t>Market risk premium</t>
  </si>
  <si>
    <t>Cost of equity</t>
  </si>
  <si>
    <t>Capital weights</t>
  </si>
  <si>
    <t>( Rs in Crore)</t>
  </si>
  <si>
    <t>Amount</t>
  </si>
  <si>
    <t>% of total</t>
  </si>
  <si>
    <t>Market value of equity</t>
  </si>
  <si>
    <t>Net debt</t>
  </si>
  <si>
    <t>Cost of Capital</t>
  </si>
  <si>
    <t>Terminal Value</t>
  </si>
  <si>
    <t>PV of Terminal Value</t>
  </si>
  <si>
    <t>PV of Cash Flows for the forecasted Period</t>
  </si>
  <si>
    <t>Firm Value</t>
  </si>
  <si>
    <t>Estimated Price per Share</t>
  </si>
  <si>
    <t>No of shares</t>
  </si>
  <si>
    <t>FCFF to Firm</t>
  </si>
  <si>
    <t>A for Actual; E for Estimated</t>
  </si>
  <si>
    <t>Company</t>
  </si>
  <si>
    <t>Ticker</t>
  </si>
  <si>
    <t>Share Price as of close date</t>
  </si>
  <si>
    <t>Latest closing share price date(mm-dd-yy)</t>
  </si>
  <si>
    <t>Latest fiscal year end date((mm-dd-yy)</t>
  </si>
  <si>
    <t>No of days in accounting year</t>
  </si>
  <si>
    <t>Avg Steel Price for APL per annum</t>
  </si>
  <si>
    <r>
      <rPr>
        <b/>
        <i/>
        <sz val="10"/>
        <color rgb="FF00B0F0"/>
        <rFont val="Calibri"/>
        <family val="2"/>
        <scheme val="minor"/>
      </rPr>
      <t>BLUE</t>
    </r>
    <r>
      <rPr>
        <i/>
        <sz val="10"/>
        <color theme="1"/>
        <rFont val="Calibri"/>
        <family val="2"/>
        <scheme val="minor"/>
      </rPr>
      <t xml:space="preserve"> for Actual Values</t>
    </r>
    <r>
      <rPr>
        <b/>
        <i/>
        <sz val="10"/>
        <color theme="1"/>
        <rFont val="Calibri"/>
        <family val="2"/>
        <scheme val="minor"/>
      </rPr>
      <t>,</t>
    </r>
    <r>
      <rPr>
        <b/>
        <i/>
        <sz val="10"/>
        <color rgb="FFFF0000"/>
        <rFont val="Calibri"/>
        <family val="2"/>
        <scheme val="minor"/>
      </rPr>
      <t xml:space="preserve"> Red</t>
    </r>
    <r>
      <rPr>
        <b/>
        <i/>
        <sz val="10"/>
        <color theme="1"/>
        <rFont val="Calibri"/>
        <family val="2"/>
        <scheme val="minor"/>
      </rPr>
      <t xml:space="preserve"> </t>
    </r>
    <r>
      <rPr>
        <i/>
        <sz val="10"/>
        <color theme="1"/>
        <rFont val="Calibri"/>
        <family val="2"/>
        <scheme val="minor"/>
      </rPr>
      <t xml:space="preserve">for numbers given by management estimates, </t>
    </r>
    <r>
      <rPr>
        <i/>
        <sz val="10"/>
        <color rgb="FF00B050"/>
        <rFont val="Calibri"/>
        <family val="2"/>
        <scheme val="minor"/>
      </rPr>
      <t>Green</t>
    </r>
    <r>
      <rPr>
        <i/>
        <sz val="10"/>
        <color theme="1"/>
        <rFont val="Calibri"/>
        <family val="2"/>
        <scheme val="minor"/>
      </rPr>
      <t xml:space="preserve"> for analyst's assumptions, Black for projections.</t>
    </r>
  </si>
  <si>
    <t xml:space="preserve">New Capacity added of the products(The company has added 4.5 MTPA </t>
  </si>
  <si>
    <t>new capacity)</t>
  </si>
  <si>
    <t>in 000s</t>
  </si>
  <si>
    <t>10-Year Government bond yield</t>
  </si>
  <si>
    <t>From the Op profit Forecast Excel Worksheet</t>
  </si>
  <si>
    <t>Assumptions Taken</t>
  </si>
  <si>
    <t>All the assumptions taken are also given as a comment in the worksheets. The source for the management's estimates have also been given in the comments.</t>
  </si>
  <si>
    <t>1) The utilization levels will improve to 80% in the next 2 years as expected by management.</t>
  </si>
  <si>
    <t>2) The Ebitda/Tonne will improve to 3600/tonne in the next 2 years as the number of high margin products in portfolio have improved. This estimate is given by management.</t>
  </si>
  <si>
    <t>3) The steel prices will be subdued next year due to the coronavirus outbreak. The prices will improve after that.</t>
  </si>
  <si>
    <t>4) Fluctuation in steel prices causes proportionate change in the EBITDA/ Tonne realised from each product.</t>
  </si>
  <si>
    <t>6) Working capital cycle to improve as the supplier and customer confidence in the company has grown.</t>
  </si>
  <si>
    <t>5) Capex will be 25% of EBITDA as said by management.</t>
  </si>
  <si>
    <t>Some of the key assumptions are:</t>
  </si>
  <si>
    <t>Market Premium  %</t>
  </si>
  <si>
    <t>FY21</t>
  </si>
  <si>
    <t>FY22</t>
  </si>
  <si>
    <t>FY-23E</t>
  </si>
  <si>
    <t>FY-24E</t>
  </si>
  <si>
    <t>FY25E</t>
  </si>
  <si>
    <t>FY-25E</t>
  </si>
  <si>
    <t>DISCLAIMER</t>
  </si>
  <si>
    <t>The numbers taken not actual are dummy and are illustrative</t>
  </si>
  <si>
    <t>XYZ Steel</t>
  </si>
  <si>
    <t>2023E</t>
  </si>
  <si>
    <t>2024E</t>
  </si>
  <si>
    <t>2025E</t>
  </si>
  <si>
    <t>XYZ.co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</si>
</sst>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_);[Red]\(#,##0\)"/>
    <numFmt numFmtId="165" formatCode="0.0%"/>
    <numFmt numFmtId="166" formatCode="#,##0.00;[Red]#,##0.00"/>
    <numFmt numFmtId="167" formatCode="#,##0.00_);[Red]\(#,##0.00\)"/>
    <numFmt numFmtId="168" formatCode="#,##0.0_);\(#,##0.0\);@_)"/>
    <numFmt numFmtId="169" formatCode="0.0%_);\(0.0%\);@_)"/>
  </numFmts>
  <fonts count="4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262E3A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u val="singleAccounting"/>
      <sz val="10"/>
      <color theme="1"/>
      <name val="Calibri"/>
      <family val="2"/>
      <scheme val="minor"/>
    </font>
    <font>
      <u val="singleAccounting"/>
      <sz val="10"/>
      <color rgb="FF000000"/>
      <name val="Calibri"/>
      <family val="2"/>
      <scheme val="minor"/>
    </font>
    <font>
      <b/>
      <sz val="20"/>
      <color theme="1"/>
      <name val="Times New Roman"/>
      <family val="1"/>
    </font>
    <font>
      <b/>
      <i/>
      <sz val="10"/>
      <color theme="1"/>
      <name val="Calibri"/>
      <family val="2"/>
      <scheme val="minor"/>
    </font>
    <font>
      <b/>
      <i/>
      <sz val="10"/>
      <color rgb="FF00B0F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F0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91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1" applyNumberFormat="1" applyFont="1"/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quotePrefix="1" applyAlignment="1">
      <alignment horizontal="left" indent="1"/>
    </xf>
    <xf numFmtId="164" fontId="0" fillId="0" borderId="10" xfId="0" applyNumberFormat="1" applyBorder="1"/>
    <xf numFmtId="0" fontId="0" fillId="0" borderId="10" xfId="0" applyBorder="1"/>
    <xf numFmtId="164" fontId="0" fillId="33" borderId="10" xfId="0" applyNumberFormat="1" applyFill="1" applyBorder="1"/>
    <xf numFmtId="0" fontId="0" fillId="33" borderId="10" xfId="0" applyFill="1" applyBorder="1"/>
    <xf numFmtId="0" fontId="17" fillId="0" borderId="0" xfId="0" applyFont="1" applyAlignment="1">
      <alignment horizontal="right"/>
    </xf>
    <xf numFmtId="166" fontId="0" fillId="33" borderId="10" xfId="0" applyNumberFormat="1" applyFill="1" applyBorder="1"/>
    <xf numFmtId="2" fontId="0" fillId="33" borderId="10" xfId="0" applyNumberFormat="1" applyFill="1" applyBorder="1"/>
    <xf numFmtId="167" fontId="20" fillId="33" borderId="10" xfId="0" applyNumberFormat="1" applyFont="1" applyFill="1" applyBorder="1" applyAlignment="1">
      <alignment horizontal="right" wrapText="1"/>
    </xf>
    <xf numFmtId="167" fontId="0" fillId="33" borderId="10" xfId="0" applyNumberFormat="1" applyFill="1" applyBorder="1"/>
    <xf numFmtId="0" fontId="0" fillId="0" borderId="0" xfId="0" applyAlignment="1">
      <alignment horizontal="left"/>
    </xf>
    <xf numFmtId="0" fontId="0" fillId="33" borderId="0" xfId="0" applyFill="1"/>
    <xf numFmtId="0" fontId="21" fillId="33" borderId="0" xfId="0" applyFont="1" applyFill="1"/>
    <xf numFmtId="40" fontId="0" fillId="33" borderId="0" xfId="0" applyNumberFormat="1" applyFill="1"/>
    <xf numFmtId="0" fontId="22" fillId="33" borderId="0" xfId="0" applyFont="1" applyFill="1" applyAlignment="1">
      <alignment wrapText="1"/>
    </xf>
    <xf numFmtId="10" fontId="0" fillId="33" borderId="0" xfId="0" applyNumberFormat="1" applyFill="1"/>
    <xf numFmtId="0" fontId="17" fillId="33" borderId="0" xfId="0" applyFont="1" applyFill="1"/>
    <xf numFmtId="2" fontId="0" fillId="33" borderId="0" xfId="0" applyNumberFormat="1" applyFill="1"/>
    <xf numFmtId="0" fontId="23" fillId="33" borderId="0" xfId="0" applyFont="1" applyFill="1"/>
    <xf numFmtId="1" fontId="0" fillId="33" borderId="0" xfId="0" applyNumberFormat="1" applyFill="1"/>
    <xf numFmtId="0" fontId="1" fillId="33" borderId="0" xfId="0" applyFont="1" applyFill="1"/>
    <xf numFmtId="0" fontId="24" fillId="33" borderId="0" xfId="0" applyFont="1" applyFill="1"/>
    <xf numFmtId="9" fontId="0" fillId="33" borderId="0" xfId="0" applyNumberFormat="1" applyFill="1"/>
    <xf numFmtId="9" fontId="0" fillId="33" borderId="0" xfId="1" applyFont="1" applyFill="1"/>
    <xf numFmtId="0" fontId="21" fillId="33" borderId="11" xfId="0" applyFont="1" applyFill="1" applyBorder="1"/>
    <xf numFmtId="0" fontId="20" fillId="33" borderId="11" xfId="0" applyFont="1" applyFill="1" applyBorder="1"/>
    <xf numFmtId="0" fontId="20" fillId="33" borderId="0" xfId="0" applyFont="1" applyFill="1"/>
    <xf numFmtId="0" fontId="25" fillId="33" borderId="0" xfId="0" applyFont="1" applyFill="1" applyAlignment="1">
      <alignment horizontal="right"/>
    </xf>
    <xf numFmtId="165" fontId="26" fillId="33" borderId="0" xfId="0" applyNumberFormat="1" applyFont="1" applyFill="1" applyAlignment="1">
      <alignment horizontal="right"/>
    </xf>
    <xf numFmtId="168" fontId="20" fillId="33" borderId="0" xfId="0" applyNumberFormat="1" applyFont="1" applyFill="1"/>
    <xf numFmtId="169" fontId="20" fillId="33" borderId="0" xfId="0" applyNumberFormat="1" applyFont="1" applyFill="1"/>
    <xf numFmtId="0" fontId="27" fillId="33" borderId="12" xfId="0" applyFont="1" applyFill="1" applyBorder="1"/>
    <xf numFmtId="0" fontId="28" fillId="33" borderId="0" xfId="0" applyFont="1" applyFill="1"/>
    <xf numFmtId="0" fontId="32" fillId="33" borderId="0" xfId="0" applyFont="1" applyFill="1"/>
    <xf numFmtId="0" fontId="0" fillId="33" borderId="12" xfId="0" applyFill="1" applyBorder="1"/>
    <xf numFmtId="0" fontId="33" fillId="33" borderId="0" xfId="0" applyFont="1" applyFill="1" applyAlignment="1">
      <alignment horizontal="left"/>
    </xf>
    <xf numFmtId="14" fontId="33" fillId="33" borderId="0" xfId="0" applyNumberFormat="1" applyFont="1" applyFill="1" applyAlignment="1">
      <alignment horizontal="left"/>
    </xf>
    <xf numFmtId="2" fontId="33" fillId="0" borderId="0" xfId="0" applyNumberFormat="1" applyFont="1"/>
    <xf numFmtId="1" fontId="33" fillId="0" borderId="0" xfId="0" applyNumberFormat="1" applyFont="1"/>
    <xf numFmtId="0" fontId="33" fillId="0" borderId="0" xfId="0" applyFont="1"/>
    <xf numFmtId="0" fontId="15" fillId="0" borderId="0" xfId="0" applyFont="1"/>
    <xf numFmtId="2" fontId="15" fillId="0" borderId="0" xfId="0" applyNumberFormat="1" applyFont="1"/>
    <xf numFmtId="10" fontId="33" fillId="0" borderId="0" xfId="1" applyNumberFormat="1" applyFont="1"/>
    <xf numFmtId="0" fontId="33" fillId="0" borderId="0" xfId="0" applyFont="1" applyAlignment="1">
      <alignment horizontal="right"/>
    </xf>
    <xf numFmtId="2" fontId="33" fillId="0" borderId="0" xfId="1" applyNumberFormat="1" applyFont="1"/>
    <xf numFmtId="0" fontId="35" fillId="0" borderId="0" xfId="0" applyFont="1"/>
    <xf numFmtId="2" fontId="1" fillId="0" borderId="0" xfId="0" applyNumberFormat="1" applyFont="1"/>
    <xf numFmtId="9" fontId="15" fillId="0" borderId="0" xfId="0" applyNumberFormat="1" applyFont="1"/>
    <xf numFmtId="9" fontId="33" fillId="0" borderId="0" xfId="0" applyNumberFormat="1" applyFont="1"/>
    <xf numFmtId="10" fontId="15" fillId="0" borderId="0" xfId="0" applyNumberFormat="1" applyFont="1"/>
    <xf numFmtId="0" fontId="33" fillId="33" borderId="10" xfId="0" applyFont="1" applyFill="1" applyBorder="1"/>
    <xf numFmtId="164" fontId="33" fillId="33" borderId="10" xfId="0" applyNumberFormat="1" applyFont="1" applyFill="1" applyBorder="1"/>
    <xf numFmtId="38" fontId="36" fillId="33" borderId="10" xfId="0" applyNumberFormat="1" applyFont="1" applyFill="1" applyBorder="1" applyAlignment="1">
      <alignment horizontal="right" wrapText="1"/>
    </xf>
    <xf numFmtId="10" fontId="33" fillId="33" borderId="10" xfId="1" applyNumberFormat="1" applyFont="1" applyFill="1" applyBorder="1"/>
    <xf numFmtId="164" fontId="36" fillId="33" borderId="10" xfId="0" applyNumberFormat="1" applyFont="1" applyFill="1" applyBorder="1" applyAlignment="1">
      <alignment horizontal="right" wrapText="1"/>
    </xf>
    <xf numFmtId="164" fontId="15" fillId="33" borderId="10" xfId="0" applyNumberFormat="1" applyFont="1" applyFill="1" applyBorder="1"/>
    <xf numFmtId="0" fontId="15" fillId="33" borderId="10" xfId="0" applyFont="1" applyFill="1" applyBorder="1"/>
    <xf numFmtId="10" fontId="35" fillId="33" borderId="10" xfId="1" applyNumberFormat="1" applyFont="1" applyFill="1" applyBorder="1"/>
    <xf numFmtId="167" fontId="36" fillId="33" borderId="10" xfId="0" applyNumberFormat="1" applyFont="1" applyFill="1" applyBorder="1" applyAlignment="1">
      <alignment horizontal="right" wrapText="1"/>
    </xf>
    <xf numFmtId="0" fontId="37" fillId="33" borderId="10" xfId="0" applyFont="1" applyFill="1" applyBorder="1"/>
    <xf numFmtId="0" fontId="33" fillId="33" borderId="10" xfId="0" applyFont="1" applyFill="1" applyBorder="1" applyAlignment="1">
      <alignment horizontal="left" indent="1"/>
    </xf>
    <xf numFmtId="0" fontId="33" fillId="33" borderId="10" xfId="0" quotePrefix="1" applyFont="1" applyFill="1" applyBorder="1" applyAlignment="1">
      <alignment horizontal="left" indent="1"/>
    </xf>
    <xf numFmtId="0" fontId="33" fillId="0" borderId="10" xfId="0" applyFont="1" applyBorder="1" applyAlignment="1">
      <alignment horizontal="left" indent="1"/>
    </xf>
    <xf numFmtId="164" fontId="33" fillId="0" borderId="10" xfId="0" applyNumberFormat="1" applyFont="1" applyBorder="1"/>
    <xf numFmtId="0" fontId="33" fillId="0" borderId="10" xfId="0" quotePrefix="1" applyFont="1" applyBorder="1" applyAlignment="1">
      <alignment horizontal="left" indent="1"/>
    </xf>
    <xf numFmtId="0" fontId="33" fillId="0" borderId="10" xfId="0" applyFont="1" applyBorder="1"/>
    <xf numFmtId="164" fontId="36" fillId="0" borderId="10" xfId="0" applyNumberFormat="1" applyFont="1" applyBorder="1" applyAlignment="1">
      <alignment horizontal="right" wrapText="1"/>
    </xf>
    <xf numFmtId="10" fontId="33" fillId="0" borderId="10" xfId="1" applyNumberFormat="1" applyFont="1" applyBorder="1"/>
    <xf numFmtId="0" fontId="15" fillId="0" borderId="10" xfId="0" applyFont="1" applyBorder="1"/>
    <xf numFmtId="0" fontId="17" fillId="33" borderId="0" xfId="0" applyFont="1" applyFill="1" applyAlignment="1">
      <alignment horizontal="right"/>
    </xf>
    <xf numFmtId="2" fontId="33" fillId="33" borderId="0" xfId="0" applyNumberFormat="1" applyFont="1" applyFill="1"/>
    <xf numFmtId="40" fontId="33" fillId="33" borderId="0" xfId="0" applyNumberFormat="1" applyFont="1" applyFill="1"/>
    <xf numFmtId="1" fontId="33" fillId="33" borderId="0" xfId="0" applyNumberFormat="1" applyFont="1" applyFill="1"/>
    <xf numFmtId="0" fontId="33" fillId="33" borderId="0" xfId="0" applyFont="1" applyFill="1"/>
    <xf numFmtId="0" fontId="17" fillId="34" borderId="0" xfId="0" applyFont="1" applyFill="1"/>
    <xf numFmtId="0" fontId="0" fillId="34" borderId="0" xfId="0" applyFill="1"/>
    <xf numFmtId="10" fontId="35" fillId="0" borderId="10" xfId="1" applyNumberFormat="1" applyFont="1" applyBorder="1"/>
    <xf numFmtId="9" fontId="33" fillId="0" borderId="0" xfId="1" applyFont="1"/>
    <xf numFmtId="9" fontId="15" fillId="0" borderId="0" xfId="1" applyFont="1"/>
    <xf numFmtId="165" fontId="33" fillId="0" borderId="0" xfId="1" applyNumberFormat="1" applyFont="1"/>
    <xf numFmtId="165" fontId="0" fillId="0" borderId="0" xfId="1" applyNumberFormat="1" applyFont="1"/>
    <xf numFmtId="0" fontId="15" fillId="0" borderId="0" xfId="1" applyNumberFormat="1" applyFont="1"/>
    <xf numFmtId="0" fontId="19" fillId="0" borderId="0" xfId="0" applyFon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Proportion</a:t>
            </a:r>
            <a:r>
              <a:rPr lang="en-IN" baseline="0"/>
              <a:t> of product in portfolio</a:t>
            </a:r>
          </a:p>
        </c:rich>
      </c:tx>
      <c:layout>
        <c:manualLayout>
          <c:xMode val="edge"/>
          <c:yMode val="edge"/>
          <c:x val="0.2241388888888888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Charts!$A$3</c:f>
              <c:strCache>
                <c:ptCount val="1"/>
                <c:pt idx="0">
                  <c:v>Black Pipe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Charts!$B$2:$F$2</c:f>
              <c:strCache>
                <c:ptCount val="5"/>
                <c:pt idx="0">
                  <c:v>FY21</c:v>
                </c:pt>
                <c:pt idx="1">
                  <c:v>FY22</c:v>
                </c:pt>
                <c:pt idx="2">
                  <c:v>FY-23E</c:v>
                </c:pt>
                <c:pt idx="3">
                  <c:v>FY-24E</c:v>
                </c:pt>
                <c:pt idx="4">
                  <c:v>FY-25E</c:v>
                </c:pt>
              </c:strCache>
            </c:strRef>
          </c:cat>
          <c:val>
            <c:numRef>
              <c:f>Charts!$B$3:$F$3</c:f>
              <c:numCache>
                <c:formatCode>0.0%</c:formatCode>
                <c:ptCount val="5"/>
                <c:pt idx="0">
                  <c:v>0.14518205263181178</c:v>
                </c:pt>
                <c:pt idx="1">
                  <c:v>0.14754980189507222</c:v>
                </c:pt>
                <c:pt idx="2">
                  <c:v>0.13378868047480641</c:v>
                </c:pt>
                <c:pt idx="3">
                  <c:v>0.1427079258397935</c:v>
                </c:pt>
                <c:pt idx="4">
                  <c:v>0.15162717120478056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C-4DFA-8AD9-C969A2DFD654}"/>
            </c:ext>
          </c:extLst>
        </c:ser>
        <c:ser>
          <c:idx val="1"/>
          <c:order val="1"/>
          <c:tx>
            <c:strRef>
              <c:f>Charts!$A$4</c:f>
              <c:strCache>
                <c:ptCount val="1"/>
                <c:pt idx="0">
                  <c:v>GI Pipe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Charts!$B$2:$F$2</c:f>
              <c:strCache>
                <c:ptCount val="5"/>
                <c:pt idx="0">
                  <c:v>FY21</c:v>
                </c:pt>
                <c:pt idx="1">
                  <c:v>FY22</c:v>
                </c:pt>
                <c:pt idx="2">
                  <c:v>FY-23E</c:v>
                </c:pt>
                <c:pt idx="3">
                  <c:v>FY-24E</c:v>
                </c:pt>
                <c:pt idx="4">
                  <c:v>FY-25E</c:v>
                </c:pt>
              </c:strCache>
            </c:strRef>
          </c:cat>
          <c:val>
            <c:numRef>
              <c:f>Charts!$B$4:$F$4</c:f>
              <c:numCache>
                <c:formatCode>0.0%</c:formatCode>
                <c:ptCount val="5"/>
                <c:pt idx="0">
                  <c:v>9.8513233153883259E-2</c:v>
                </c:pt>
                <c:pt idx="1">
                  <c:v>6.8587964101211582E-2</c:v>
                </c:pt>
                <c:pt idx="2">
                  <c:v>6.9099622026141755E-2</c:v>
                </c:pt>
                <c:pt idx="3">
                  <c:v>7.5836372878546596E-2</c:v>
                </c:pt>
                <c:pt idx="4">
                  <c:v>8.2573123730951437E-2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C-4DFA-8AD9-C969A2DFD654}"/>
            </c:ext>
          </c:extLst>
        </c:ser>
        <c:ser>
          <c:idx val="2"/>
          <c:order val="2"/>
          <c:tx>
            <c:strRef>
              <c:f>Charts!$A$5</c:f>
              <c:strCache>
                <c:ptCount val="1"/>
                <c:pt idx="0">
                  <c:v>GP Pipe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Charts!$B$2:$F$2</c:f>
              <c:strCache>
                <c:ptCount val="5"/>
                <c:pt idx="0">
                  <c:v>FY21</c:v>
                </c:pt>
                <c:pt idx="1">
                  <c:v>FY22</c:v>
                </c:pt>
                <c:pt idx="2">
                  <c:v>FY-23E</c:v>
                </c:pt>
                <c:pt idx="3">
                  <c:v>FY-24E</c:v>
                </c:pt>
                <c:pt idx="4">
                  <c:v>FY-25E</c:v>
                </c:pt>
              </c:strCache>
            </c:strRef>
          </c:cat>
          <c:val>
            <c:numRef>
              <c:f>Charts!$B$5:$F$5</c:f>
              <c:numCache>
                <c:formatCode>0.0%</c:formatCode>
                <c:ptCount val="5"/>
                <c:pt idx="0">
                  <c:v>0.21338311340744315</c:v>
                </c:pt>
                <c:pt idx="1">
                  <c:v>0.21127715467979122</c:v>
                </c:pt>
                <c:pt idx="2">
                  <c:v>0.22035781152600525</c:v>
                </c:pt>
                <c:pt idx="3">
                  <c:v>0.24392378806105311</c:v>
                </c:pt>
                <c:pt idx="4">
                  <c:v>0.26748976459610091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9C-4DFA-8AD9-C969A2DFD654}"/>
            </c:ext>
          </c:extLst>
        </c:ser>
        <c:ser>
          <c:idx val="3"/>
          <c:order val="3"/>
          <c:tx>
            <c:strRef>
              <c:f>Charts!$A$6</c:f>
              <c:strCache>
                <c:ptCount val="1"/>
                <c:pt idx="0">
                  <c:v>Hollow Pipe-Normal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Charts!$B$2:$F$2</c:f>
              <c:strCache>
                <c:ptCount val="5"/>
                <c:pt idx="0">
                  <c:v>FY21</c:v>
                </c:pt>
                <c:pt idx="1">
                  <c:v>FY22</c:v>
                </c:pt>
                <c:pt idx="2">
                  <c:v>FY-23E</c:v>
                </c:pt>
                <c:pt idx="3">
                  <c:v>FY-24E</c:v>
                </c:pt>
                <c:pt idx="4">
                  <c:v>FY-25E</c:v>
                </c:pt>
              </c:strCache>
            </c:strRef>
          </c:cat>
          <c:val>
            <c:numRef>
              <c:f>Charts!$B$6:$F$6</c:f>
              <c:numCache>
                <c:formatCode>0.0%</c:formatCode>
                <c:ptCount val="5"/>
                <c:pt idx="0">
                  <c:v>0.407559906396946</c:v>
                </c:pt>
                <c:pt idx="1">
                  <c:v>0.33326926028409698</c:v>
                </c:pt>
                <c:pt idx="2">
                  <c:v>0.30218715310734179</c:v>
                </c:pt>
                <c:pt idx="3">
                  <c:v>0.3223329633144979</c:v>
                </c:pt>
                <c:pt idx="4">
                  <c:v>0.3420246833621185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9C-4DFA-8AD9-C969A2DFD654}"/>
            </c:ext>
          </c:extLst>
        </c:ser>
        <c:ser>
          <c:idx val="4"/>
          <c:order val="4"/>
          <c:tx>
            <c:strRef>
              <c:f>Charts!$A$7</c:f>
              <c:strCache>
                <c:ptCount val="1"/>
                <c:pt idx="0">
                  <c:v>Hollow Pipe-DFT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Charts!$B$2:$F$2</c:f>
              <c:strCache>
                <c:ptCount val="5"/>
                <c:pt idx="0">
                  <c:v>FY21</c:v>
                </c:pt>
                <c:pt idx="1">
                  <c:v>FY22</c:v>
                </c:pt>
                <c:pt idx="2">
                  <c:v>FY-23E</c:v>
                </c:pt>
                <c:pt idx="3">
                  <c:v>FY-24E</c:v>
                </c:pt>
                <c:pt idx="4">
                  <c:v>FY-25E</c:v>
                </c:pt>
              </c:strCache>
            </c:strRef>
          </c:cat>
          <c:val>
            <c:numRef>
              <c:f>Charts!$B$7:$F$7</c:f>
              <c:numCache>
                <c:formatCode>0.0%</c:formatCode>
                <c:ptCount val="5"/>
                <c:pt idx="0">
                  <c:v>0.13536169440991594</c:v>
                </c:pt>
                <c:pt idx="1">
                  <c:v>0.23931581903982813</c:v>
                </c:pt>
                <c:pt idx="2">
                  <c:v>0.2169962089739374</c:v>
                </c:pt>
                <c:pt idx="3">
                  <c:v>0.23146262290553327</c:v>
                </c:pt>
                <c:pt idx="4">
                  <c:v>0.24592903683712905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9C-4DFA-8AD9-C969A2DFD654}"/>
            </c:ext>
          </c:extLst>
        </c:ser>
        <c:ser>
          <c:idx val="5"/>
          <c:order val="5"/>
          <c:tx>
            <c:strRef>
              <c:f>Charts!$A$8</c:f>
              <c:strCache>
                <c:ptCount val="1"/>
                <c:pt idx="0">
                  <c:v>Tricoat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Charts!$B$2:$F$2</c:f>
              <c:strCache>
                <c:ptCount val="5"/>
                <c:pt idx="0">
                  <c:v>FY21</c:v>
                </c:pt>
                <c:pt idx="1">
                  <c:v>FY22</c:v>
                </c:pt>
                <c:pt idx="2">
                  <c:v>FY-23E</c:v>
                </c:pt>
                <c:pt idx="3">
                  <c:v>FY-24E</c:v>
                </c:pt>
                <c:pt idx="4">
                  <c:v>FY-25E</c:v>
                </c:pt>
              </c:strCache>
            </c:strRef>
          </c:cat>
          <c:val>
            <c:numRef>
              <c:f>Charts!$B$8:$F$8</c:f>
              <c:numCache>
                <c:formatCode>0.0%</c:formatCode>
                <c:ptCount val="5"/>
                <c:pt idx="2">
                  <c:v>5.7570523891767408E-2</c:v>
                </c:pt>
                <c:pt idx="3">
                  <c:v>8.6355785837651106E-2</c:v>
                </c:pt>
                <c:pt idx="4">
                  <c:v>0.10074841681059296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9C-4DFA-8AD9-C969A2DFD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534904"/>
        <c:axId val="540529000"/>
      </c:lineChart>
      <c:catAx>
        <c:axId val="54053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29000"/>
        <c:crosses val="autoZero"/>
        <c:auto val="1"/>
        <c:lblAlgn val="ctr"/>
        <c:lblOffset val="100"/>
        <c:noMultiLvlLbl val="0"/>
      </c:catAx>
      <c:valAx>
        <c:axId val="54052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3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Utilisation</a:t>
            </a:r>
            <a:r>
              <a:rPr lang="en-IN" baseline="0"/>
              <a:t> Rates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Charts!$B$9:$F$9</c:f>
              <c:strCache>
                <c:ptCount val="5"/>
                <c:pt idx="0">
                  <c:v>FY21</c:v>
                </c:pt>
                <c:pt idx="1">
                  <c:v>FY22</c:v>
                </c:pt>
                <c:pt idx="2">
                  <c:v>FY-23E</c:v>
                </c:pt>
                <c:pt idx="3">
                  <c:v>FY-24E</c:v>
                </c:pt>
                <c:pt idx="4">
                  <c:v>FY-25E</c:v>
                </c:pt>
              </c:strCache>
            </c:strRef>
          </c:cat>
          <c:val>
            <c:numRef>
              <c:f>Charts!$B$10:$F$10</c:f>
              <c:numCache>
                <c:formatCode>General</c:formatCode>
                <c:ptCount val="5"/>
                <c:pt idx="0" formatCode="0.00">
                  <c:v>0.54</c:v>
                </c:pt>
                <c:pt idx="1">
                  <c:v>0.64</c:v>
                </c:pt>
                <c:pt idx="2">
                  <c:v>0.68</c:v>
                </c:pt>
                <c:pt idx="3">
                  <c:v>0.75</c:v>
                </c:pt>
                <c:pt idx="4" formatCode="0.00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2-42F9-86B7-8DF2F02DD0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0181872"/>
        <c:axId val="540182528"/>
      </c:lineChart>
      <c:catAx>
        <c:axId val="54018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82528"/>
        <c:crosses val="autoZero"/>
        <c:auto val="1"/>
        <c:lblAlgn val="ctr"/>
        <c:lblOffset val="100"/>
        <c:noMultiLvlLbl val="0"/>
      </c:catAx>
      <c:valAx>
        <c:axId val="5401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8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0</xdr:row>
      <xdr:rowOff>140970</xdr:rowOff>
    </xdr:from>
    <xdr:to>
      <xdr:col>15</xdr:col>
      <xdr:colOff>68580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BA5ADB-29F4-42C3-8BD8-AF3D60DB2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373380</xdr:colOff>
      <xdr:row>16</xdr:row>
      <xdr:rowOff>57150</xdr:rowOff>
    </xdr:from>
    <xdr:to>
      <xdr:col>15</xdr:col>
      <xdr:colOff>68580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2665B3-63C6-4690-92C3-6685E58AA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FED11-1D0D-43D4-8EA3-836042E33B5E}">
  <dimension ref="B3:S41"/>
  <sheetViews>
    <sheetView topLeftCell="A28" workbookViewId="0">
      <selection activeCell="D54" sqref="D54"/>
    </sheetView>
  </sheetViews>
  <sheetFormatPr defaultRowHeight="14.4" x14ac:dyDescent="0.3"/>
  <cols>
    <col min="1" max="1" width="9.5546875" customWidth="1"/>
    <col min="2" max="2" width="29.88671875" customWidth="1"/>
    <col min="3" max="3" width="8.77734375" customWidth="1"/>
    <col min="4" max="4" width="8.5546875" customWidth="1"/>
    <col min="5" max="5" width="8.77734375" customWidth="1"/>
    <col min="6" max="6" width="7.5546875" customWidth="1"/>
    <col min="7" max="7" width="10.21875" customWidth="1"/>
    <col min="8" max="8" width="7.88671875" customWidth="1"/>
    <col min="9" max="9" width="10.21875" customWidth="1"/>
    <col min="10" max="10" width="9.109375" customWidth="1"/>
    <col min="11" max="11" width="10.5546875" bestFit="1" customWidth="1"/>
    <col min="12" max="12" width="8.5546875" customWidth="1"/>
    <col min="14" max="14" width="15.5546875" customWidth="1"/>
    <col min="16" max="16" width="11.44140625" bestFit="1" customWidth="1"/>
    <col min="19" max="19" width="10" bestFit="1" customWidth="1"/>
  </cols>
  <sheetData>
    <row r="3" spans="2:19" x14ac:dyDescent="0.3">
      <c r="B3" s="4" t="s">
        <v>8</v>
      </c>
    </row>
    <row r="4" spans="2:19" x14ac:dyDescent="0.3">
      <c r="N4" s="4" t="s">
        <v>96</v>
      </c>
      <c r="O4" s="4"/>
      <c r="P4" s="4"/>
      <c r="Q4" s="4"/>
      <c r="R4" s="4"/>
      <c r="S4" s="4"/>
    </row>
    <row r="5" spans="2:19" x14ac:dyDescent="0.3">
      <c r="B5" s="4" t="s">
        <v>0</v>
      </c>
      <c r="C5" s="13" t="s">
        <v>111</v>
      </c>
      <c r="D5" s="13"/>
      <c r="E5" s="13" t="s">
        <v>112</v>
      </c>
      <c r="F5" s="13"/>
      <c r="G5" s="13" t="s">
        <v>113</v>
      </c>
      <c r="H5" s="13"/>
      <c r="I5" s="13" t="s">
        <v>114</v>
      </c>
      <c r="J5" s="13"/>
      <c r="K5" s="13" t="s">
        <v>115</v>
      </c>
      <c r="N5" s="4" t="s">
        <v>97</v>
      </c>
      <c r="O5" s="4" t="s">
        <v>98</v>
      </c>
      <c r="P5" s="4"/>
      <c r="Q5" s="4"/>
      <c r="R5" s="4"/>
      <c r="S5" s="4"/>
    </row>
    <row r="6" spans="2:19" x14ac:dyDescent="0.3">
      <c r="B6" s="4" t="s">
        <v>1</v>
      </c>
      <c r="C6" s="45">
        <v>164.1</v>
      </c>
      <c r="D6" s="50">
        <f>C6/$C$12</f>
        <v>0.14518205263181178</v>
      </c>
      <c r="E6" s="47">
        <v>198.04400000000001</v>
      </c>
      <c r="F6" s="50">
        <f>E6/$E$12</f>
        <v>0.14754980189507222</v>
      </c>
      <c r="G6" s="2">
        <f>E6/E14*G14</f>
        <v>232.39093798473874</v>
      </c>
      <c r="H6" s="3">
        <f t="shared" ref="H6:H11" si="0">G6/$G$12</f>
        <v>0.13378868047480641</v>
      </c>
      <c r="I6" s="2">
        <f>G6/$G$14*$I$14</f>
        <v>247.88366718372131</v>
      </c>
      <c r="J6" s="3">
        <f t="shared" ref="J6:J11" si="1">I6/$G$12</f>
        <v>0.1427079258397935</v>
      </c>
      <c r="K6" s="2">
        <f>I6/I14*K14</f>
        <v>263.37639638270389</v>
      </c>
      <c r="L6" s="3">
        <f t="shared" ref="L6:L11" si="2">K6/$G$12</f>
        <v>0.15162717120478056</v>
      </c>
      <c r="N6" s="4" t="s">
        <v>1</v>
      </c>
      <c r="Q6" s="13" t="str">
        <f>G5</f>
        <v>FY-23E</v>
      </c>
      <c r="R6" s="13" t="str">
        <f>I5</f>
        <v>FY-24E</v>
      </c>
      <c r="S6" s="13" t="str">
        <f>K5</f>
        <v>FY25E</v>
      </c>
    </row>
    <row r="7" spans="2:19" x14ac:dyDescent="0.3">
      <c r="B7" s="4" t="s">
        <v>2</v>
      </c>
      <c r="C7" s="45">
        <v>111.35</v>
      </c>
      <c r="D7" s="50">
        <f>C7/$C$12</f>
        <v>9.8513233153883259E-2</v>
      </c>
      <c r="E7" s="47">
        <v>92.06</v>
      </c>
      <c r="F7" s="50">
        <f>E7/$E$12</f>
        <v>6.8587964101211582E-2</v>
      </c>
      <c r="G7" s="2">
        <f>(E7/$E$14*$G$14)+P7*Q7</f>
        <v>120.02604345940824</v>
      </c>
      <c r="H7" s="3">
        <f t="shared" si="0"/>
        <v>6.9099622026141755E-2</v>
      </c>
      <c r="I7" s="2">
        <f>(E7/$E$14*$I$14)+P7*R7</f>
        <v>131.72777969003545</v>
      </c>
      <c r="J7" s="3">
        <f t="shared" si="1"/>
        <v>7.5836372878546596E-2</v>
      </c>
      <c r="K7" s="2">
        <f>(E7/$E$14*$K$14)+P7*S7</f>
        <v>143.42951592066265</v>
      </c>
      <c r="L7" s="3">
        <f t="shared" si="2"/>
        <v>8.2573123730951437E-2</v>
      </c>
      <c r="N7" s="4" t="s">
        <v>2</v>
      </c>
      <c r="P7" s="47">
        <v>30</v>
      </c>
      <c r="Q7" s="55">
        <v>0.4</v>
      </c>
      <c r="R7" s="55">
        <v>0.55000000000000004</v>
      </c>
      <c r="S7" s="55">
        <v>0.7</v>
      </c>
    </row>
    <row r="8" spans="2:19" x14ac:dyDescent="0.3">
      <c r="B8" s="4" t="s">
        <v>3</v>
      </c>
      <c r="C8" s="45">
        <v>241.18799999999999</v>
      </c>
      <c r="D8" s="50">
        <f>C8/$C$12</f>
        <v>0.21338311340744315</v>
      </c>
      <c r="E8" s="47">
        <v>283.58</v>
      </c>
      <c r="F8" s="50">
        <f>E8/$E$12</f>
        <v>0.21127715467979122</v>
      </c>
      <c r="G8" s="2">
        <f>(E8/$E$14*$G$14)+P8*Q8</f>
        <v>382.76151862067115</v>
      </c>
      <c r="H8" s="3">
        <f t="shared" si="0"/>
        <v>0.22035781152600525</v>
      </c>
      <c r="I8" s="2">
        <f>(E8/$E$14*$I$14)+P8*R8</f>
        <v>423.69561986204928</v>
      </c>
      <c r="J8" s="3">
        <f t="shared" si="1"/>
        <v>0.24392378806105311</v>
      </c>
      <c r="K8" s="2">
        <f>(E8/$E$14*$K$14)+P8*S8</f>
        <v>464.62972110342736</v>
      </c>
      <c r="L8" s="3">
        <f t="shared" si="2"/>
        <v>0.26748976459610091</v>
      </c>
      <c r="N8" s="4" t="s">
        <v>3</v>
      </c>
      <c r="P8" s="47">
        <v>125</v>
      </c>
      <c r="Q8" s="55">
        <v>0.4</v>
      </c>
      <c r="R8" s="55">
        <v>0.55000000000000004</v>
      </c>
      <c r="S8" s="55">
        <v>0.7</v>
      </c>
    </row>
    <row r="9" spans="2:19" x14ac:dyDescent="0.3">
      <c r="B9" s="4" t="s">
        <v>4</v>
      </c>
      <c r="C9" s="45">
        <v>460.66699999999997</v>
      </c>
      <c r="D9" s="50">
        <f>C9/$C$12</f>
        <v>0.407559906396946</v>
      </c>
      <c r="E9" s="47">
        <v>447.32</v>
      </c>
      <c r="F9" s="50">
        <f>E9/$E$12</f>
        <v>0.33326926028409698</v>
      </c>
      <c r="G9" s="2">
        <f>E9/$E$14*$G$14</f>
        <v>524.89908494745271</v>
      </c>
      <c r="H9" s="3">
        <f t="shared" si="0"/>
        <v>0.30218715310734179</v>
      </c>
      <c r="I9" s="2">
        <f>G9/$G$14*$I$14</f>
        <v>559.89235727728294</v>
      </c>
      <c r="J9" s="3">
        <f t="shared" si="1"/>
        <v>0.3223329633144979</v>
      </c>
      <c r="K9" s="2">
        <f>(E9/$E$15*$K$14)+P9*S9</f>
        <v>594.09687499999995</v>
      </c>
      <c r="L9" s="3">
        <f t="shared" si="2"/>
        <v>0.3420246833621185</v>
      </c>
      <c r="N9" s="4" t="s">
        <v>13</v>
      </c>
      <c r="P9" s="56"/>
      <c r="Q9" s="48"/>
      <c r="R9" s="48"/>
      <c r="S9" s="48"/>
    </row>
    <row r="10" spans="2:19" x14ac:dyDescent="0.3">
      <c r="B10" s="4" t="s">
        <v>5</v>
      </c>
      <c r="C10" s="45">
        <v>153</v>
      </c>
      <c r="D10" s="50">
        <f>C10/$C$12</f>
        <v>0.13536169440991594</v>
      </c>
      <c r="E10" s="47">
        <v>321.214</v>
      </c>
      <c r="F10" s="50">
        <f>E10/$E$12</f>
        <v>0.23931581903982813</v>
      </c>
      <c r="G10" s="2">
        <f>(E10/$E$14*G14)+P10*Q10</f>
        <v>376.92241498772933</v>
      </c>
      <c r="H10" s="3">
        <f t="shared" si="0"/>
        <v>0.2169962089739374</v>
      </c>
      <c r="I10" s="2">
        <f>(E10/E14*I14)+P10*R10</f>
        <v>402.05057598691133</v>
      </c>
      <c r="J10" s="3">
        <f t="shared" si="1"/>
        <v>0.23146262290553327</v>
      </c>
      <c r="K10" s="2">
        <f>(E10/E14*K14)+P10*S10</f>
        <v>427.17873698609321</v>
      </c>
      <c r="L10" s="3">
        <f t="shared" si="2"/>
        <v>0.24592903683712905</v>
      </c>
      <c r="N10" s="4" t="s">
        <v>14</v>
      </c>
      <c r="P10" s="47"/>
      <c r="Q10" s="55"/>
      <c r="R10" s="55"/>
      <c r="S10" s="55"/>
    </row>
    <row r="11" spans="2:19" x14ac:dyDescent="0.3">
      <c r="B11" s="4" t="s">
        <v>12</v>
      </c>
      <c r="C11" s="45"/>
      <c r="D11" s="45"/>
      <c r="E11" s="47"/>
      <c r="F11" s="45"/>
      <c r="G11">
        <f>P11*Q11</f>
        <v>100</v>
      </c>
      <c r="H11" s="3">
        <f t="shared" si="0"/>
        <v>5.7570523891767408E-2</v>
      </c>
      <c r="I11" s="2">
        <f>P11*R11</f>
        <v>150</v>
      </c>
      <c r="J11" s="3">
        <f t="shared" si="1"/>
        <v>8.6355785837651106E-2</v>
      </c>
      <c r="K11" s="2">
        <f>(E11/$E$15*$K$14)+P11*S11</f>
        <v>175</v>
      </c>
      <c r="L11" s="3">
        <f t="shared" si="2"/>
        <v>0.10074841681059296</v>
      </c>
      <c r="N11" s="4" t="s">
        <v>12</v>
      </c>
      <c r="P11" s="47">
        <v>250</v>
      </c>
      <c r="Q11" s="55">
        <v>0.4</v>
      </c>
      <c r="R11" s="55">
        <v>0.6</v>
      </c>
      <c r="S11" s="55">
        <v>0.7</v>
      </c>
    </row>
    <row r="12" spans="2:19" x14ac:dyDescent="0.3">
      <c r="B12" s="4" t="s">
        <v>11</v>
      </c>
      <c r="C12" s="45">
        <f>SUM(C6:C10)</f>
        <v>1130.3049999999998</v>
      </c>
      <c r="D12" s="45"/>
      <c r="E12" s="47">
        <f>SUM(E6:E10)</f>
        <v>1342.2179999999998</v>
      </c>
      <c r="F12" s="45"/>
      <c r="G12" s="2">
        <f>SUM(G6:G11)</f>
        <v>1737.0000000000002</v>
      </c>
      <c r="I12" s="2">
        <f>SUM(I6:I11)</f>
        <v>1915.2500000000002</v>
      </c>
      <c r="K12" s="2">
        <f>SUM(K6:K11)</f>
        <v>2067.7112453928871</v>
      </c>
    </row>
    <row r="13" spans="2:19" x14ac:dyDescent="0.3">
      <c r="B13" s="4" t="s">
        <v>10</v>
      </c>
      <c r="C13" s="46">
        <v>2100</v>
      </c>
      <c r="D13" s="45"/>
      <c r="E13" s="47">
        <v>2100</v>
      </c>
      <c r="F13" s="47"/>
      <c r="G13" s="1">
        <v>2550</v>
      </c>
      <c r="H13" s="1"/>
      <c r="I13" s="54">
        <v>2550</v>
      </c>
      <c r="J13" s="1"/>
      <c r="K13" s="54">
        <v>2550</v>
      </c>
    </row>
    <row r="14" spans="2:19" x14ac:dyDescent="0.3">
      <c r="B14" s="4" t="s">
        <v>15</v>
      </c>
      <c r="C14" s="85">
        <f>C12/C13</f>
        <v>0.5382404761904761</v>
      </c>
      <c r="D14" s="85"/>
      <c r="E14" s="85">
        <f>E12/E13</f>
        <v>0.63915142857142848</v>
      </c>
      <c r="F14" s="85"/>
      <c r="G14" s="86">
        <v>0.75</v>
      </c>
      <c r="H14" s="86"/>
      <c r="I14" s="86">
        <v>0.8</v>
      </c>
      <c r="J14" s="86"/>
      <c r="K14" s="86">
        <v>0.85</v>
      </c>
    </row>
    <row r="15" spans="2:19" x14ac:dyDescent="0.3">
      <c r="B15" s="4" t="s">
        <v>16</v>
      </c>
      <c r="C15" s="45">
        <v>0.54</v>
      </c>
      <c r="D15" s="45"/>
      <c r="E15" s="47">
        <v>0.64</v>
      </c>
      <c r="F15" s="47"/>
      <c r="G15" s="2">
        <f>G12/G13</f>
        <v>0.68117647058823538</v>
      </c>
      <c r="I15" s="2">
        <f>I12/I13</f>
        <v>0.75107843137254915</v>
      </c>
      <c r="K15" s="2">
        <f>K12/K13</f>
        <v>0.81086715505603413</v>
      </c>
    </row>
    <row r="16" spans="2:19" x14ac:dyDescent="0.3">
      <c r="C16" s="47"/>
      <c r="D16" s="47"/>
      <c r="E16" s="47"/>
      <c r="F16" s="47"/>
    </row>
    <row r="17" spans="2:15" x14ac:dyDescent="0.3">
      <c r="B17" s="4" t="s">
        <v>6</v>
      </c>
      <c r="C17" s="47"/>
      <c r="D17" s="47"/>
      <c r="E17" s="47"/>
      <c r="F17" s="47"/>
    </row>
    <row r="18" spans="2:15" x14ac:dyDescent="0.3">
      <c r="B18" s="4"/>
      <c r="C18" s="47"/>
      <c r="D18" s="47"/>
      <c r="E18" s="47"/>
      <c r="F18" s="47"/>
    </row>
    <row r="19" spans="2:15" x14ac:dyDescent="0.3">
      <c r="B19" s="4" t="s">
        <v>0</v>
      </c>
      <c r="C19" s="13" t="s">
        <v>111</v>
      </c>
      <c r="D19" s="13"/>
      <c r="E19" s="13" t="s">
        <v>112</v>
      </c>
      <c r="F19" s="13"/>
      <c r="G19" s="13" t="s">
        <v>113</v>
      </c>
      <c r="H19" s="13"/>
      <c r="I19" s="13" t="s">
        <v>114</v>
      </c>
      <c r="J19" s="13"/>
      <c r="K19" s="13" t="s">
        <v>115</v>
      </c>
      <c r="N19" s="4" t="s">
        <v>43</v>
      </c>
    </row>
    <row r="20" spans="2:15" x14ac:dyDescent="0.3">
      <c r="B20" s="4" t="s">
        <v>1</v>
      </c>
      <c r="C20" s="47">
        <v>1590</v>
      </c>
      <c r="D20" s="51" t="s">
        <v>17</v>
      </c>
      <c r="E20" s="47">
        <v>1336</v>
      </c>
      <c r="F20" s="50">
        <f>(E20-C20)/E20</f>
        <v>-0.19011976047904192</v>
      </c>
      <c r="G20" s="2">
        <f>E20+E20*H20</f>
        <v>1233.5909686523537</v>
      </c>
      <c r="H20" s="3">
        <f>F20/$F$27*$H$27</f>
        <v>-7.665346657757964E-2</v>
      </c>
      <c r="I20" s="2">
        <f>G20+G20*J20</f>
        <v>1322.2400537329761</v>
      </c>
      <c r="J20" s="3">
        <f>H20/$H$27*$J$27</f>
        <v>7.1862624916480919E-2</v>
      </c>
      <c r="K20" s="2">
        <f>I20+I20*L20</f>
        <v>1475.979697648238</v>
      </c>
      <c r="L20" s="3">
        <f>J20/$J$27*$L$27</f>
        <v>0.11627211222441856</v>
      </c>
      <c r="N20" s="4"/>
    </row>
    <row r="21" spans="2:15" x14ac:dyDescent="0.3">
      <c r="B21" s="4" t="s">
        <v>2</v>
      </c>
      <c r="C21" s="47">
        <v>4880</v>
      </c>
      <c r="D21" s="51" t="s">
        <v>17</v>
      </c>
      <c r="E21" s="47">
        <v>4362</v>
      </c>
      <c r="F21" s="50">
        <f>(E21-C21)/E21</f>
        <v>-0.11875286565795506</v>
      </c>
      <c r="G21" s="2">
        <f>E21+E21*H21</f>
        <v>4153.1500856768471</v>
      </c>
      <c r="H21" s="3">
        <f>F21/$F$27*$H$27</f>
        <v>-4.7879393471607731E-2</v>
      </c>
      <c r="I21" s="2">
        <f>G21+G21*J21</f>
        <v>4339.5722485819379</v>
      </c>
      <c r="J21" s="3">
        <f>H21/$H$27*$J$27</f>
        <v>4.4886931379632247E-2</v>
      </c>
      <c r="K21" s="2">
        <f>I21+I21*L21</f>
        <v>4654.7382235305195</v>
      </c>
      <c r="L21" s="3">
        <f>J21/$J$27*$L$27</f>
        <v>7.2626046277157796E-2</v>
      </c>
      <c r="N21" s="4" t="s">
        <v>1</v>
      </c>
      <c r="O21" s="57">
        <v>0.04</v>
      </c>
    </row>
    <row r="22" spans="2:15" x14ac:dyDescent="0.3">
      <c r="B22" s="4" t="s">
        <v>3</v>
      </c>
      <c r="C22" s="47">
        <v>5690</v>
      </c>
      <c r="D22" s="51" t="s">
        <v>17</v>
      </c>
      <c r="E22" s="47">
        <v>5557</v>
      </c>
      <c r="F22" s="50">
        <f>(E22-C22)/E22</f>
        <v>-2.3933777217923339E-2</v>
      </c>
      <c r="G22" s="2">
        <f>E22+E22*H22</f>
        <v>5503.3763733494607</v>
      </c>
      <c r="H22" s="3">
        <f>F22/$F$27*$H$27</f>
        <v>-9.6497438636925052E-3</v>
      </c>
      <c r="I22" s="2">
        <f>G22+G22*J22</f>
        <v>5553.1634099635103</v>
      </c>
      <c r="J22" s="3">
        <f>H22/$H$27*$J$27</f>
        <v>9.0466348722117243E-3</v>
      </c>
      <c r="K22" s="2">
        <f>I22+I22*L22</f>
        <v>5634.4464617929025</v>
      </c>
      <c r="L22" s="3">
        <f>J22/$J$27*$L$27</f>
        <v>1.4637251928072902E-2</v>
      </c>
      <c r="N22" s="4" t="s">
        <v>2</v>
      </c>
      <c r="O22" s="57">
        <v>0.09</v>
      </c>
    </row>
    <row r="23" spans="2:15" x14ac:dyDescent="0.3">
      <c r="B23" s="4" t="s">
        <v>4</v>
      </c>
      <c r="C23" s="47">
        <v>2490</v>
      </c>
      <c r="D23" s="51" t="s">
        <v>18</v>
      </c>
      <c r="E23" s="47">
        <v>1885</v>
      </c>
      <c r="F23" s="50">
        <f>(E23-C23)/E23</f>
        <v>-0.32095490716180369</v>
      </c>
      <c r="G23" s="2">
        <f>E23+E23*H23</f>
        <v>1641.0729765144642</v>
      </c>
      <c r="H23" s="3">
        <f>F23/$F$27*$H$27</f>
        <v>-0.12940425649100037</v>
      </c>
      <c r="I23" s="2">
        <f>G23+G23*J23</f>
        <v>1840.1621906144585</v>
      </c>
      <c r="J23" s="3">
        <f>H23/$H$27*$J$27</f>
        <v>0.12131649046031286</v>
      </c>
      <c r="K23" s="2">
        <f>I23+I23*L23</f>
        <v>2201.3627604280255</v>
      </c>
      <c r="L23" s="3">
        <f>J23/$J$27*$L$27</f>
        <v>0.19628735535151742</v>
      </c>
      <c r="N23" s="4" t="s">
        <v>3</v>
      </c>
      <c r="O23" s="57">
        <v>0.12</v>
      </c>
    </row>
    <row r="24" spans="2:15" x14ac:dyDescent="0.3">
      <c r="B24" s="4" t="s">
        <v>5</v>
      </c>
      <c r="C24" s="47">
        <v>3050</v>
      </c>
      <c r="D24" s="51" t="s">
        <v>17</v>
      </c>
      <c r="E24" s="47">
        <v>2986</v>
      </c>
      <c r="F24" s="50">
        <f>(E24-C24)/E24</f>
        <v>-2.1433355659745478E-2</v>
      </c>
      <c r="G24" s="2">
        <f>E24+E24*H24</f>
        <v>2960.1961495816954</v>
      </c>
      <c r="H24" s="3">
        <f>F24/$F$27*$H$27</f>
        <v>-8.641610990724918E-3</v>
      </c>
      <c r="I24" s="2">
        <f>G24+G24*J24</f>
        <v>2984.1782091888144</v>
      </c>
      <c r="J24" s="3">
        <f>H24/$H$27*$J$27</f>
        <v>8.1015103038046109E-3</v>
      </c>
      <c r="K24" s="2">
        <f>I24+I24*L24</f>
        <v>3023.2950010254331</v>
      </c>
      <c r="L24" s="3">
        <f>J24/$J$27*$L$27</f>
        <v>1.3108061615144538E-2</v>
      </c>
      <c r="N24" s="4" t="s">
        <v>44</v>
      </c>
      <c r="O24" s="55">
        <v>7.0000000000000007E-2</v>
      </c>
    </row>
    <row r="25" spans="2:15" x14ac:dyDescent="0.3">
      <c r="B25" s="4" t="s">
        <v>12</v>
      </c>
      <c r="C25" s="47"/>
      <c r="D25" s="47"/>
      <c r="E25" s="47"/>
      <c r="F25" s="50"/>
      <c r="G25">
        <v>6100</v>
      </c>
      <c r="I25" s="2">
        <f>G25+G25*J27</f>
        <v>6481.25</v>
      </c>
      <c r="K25" s="2">
        <f>I25+I25*L27</f>
        <v>7136.6573033707864</v>
      </c>
      <c r="N25" s="4" t="s">
        <v>45</v>
      </c>
      <c r="O25" s="57">
        <v>0.12</v>
      </c>
    </row>
    <row r="26" spans="2:15" x14ac:dyDescent="0.3">
      <c r="B26" s="4" t="s">
        <v>6</v>
      </c>
      <c r="C26" s="45">
        <f>(C20*C6+C7*C21+C8*C22+C9*C23+C10*C24+C11*C25)/C12</f>
        <v>3353.4112916425215</v>
      </c>
      <c r="D26" s="45"/>
      <c r="E26" s="45">
        <f>(E20*E6+E7*E21+E8*E22+E9*E23+E10*E24+E11*E25)/E12</f>
        <v>3013.1839745853504</v>
      </c>
      <c r="F26" s="52"/>
      <c r="G26" s="49">
        <f>(G20*G6+G7*G21+G8*G22+G9*G23+G10*G24+G11*G25)/G12</f>
        <v>3154.1762915475088</v>
      </c>
      <c r="H26" s="49"/>
      <c r="I26" s="49">
        <f>(I20*I6+I7*I21+I8*I22+I9*I23+I10*I24+I11*I25)/I12</f>
        <v>3370.069577461989</v>
      </c>
      <c r="J26" s="49"/>
      <c r="K26" s="49">
        <f>(K20*K6+K7*K21+K8*K22+K9*K23+K10*K24+K11*K25)/K12</f>
        <v>3638.0908958110576</v>
      </c>
      <c r="N26" s="4" t="s">
        <v>12</v>
      </c>
      <c r="O26" s="55">
        <v>0.14000000000000001</v>
      </c>
    </row>
    <row r="27" spans="2:15" x14ac:dyDescent="0.3">
      <c r="B27" s="4" t="s">
        <v>94</v>
      </c>
      <c r="C27" s="47">
        <v>46614</v>
      </c>
      <c r="D27" s="47"/>
      <c r="E27" s="47">
        <v>40000</v>
      </c>
      <c r="F27" s="50">
        <f>(E27-C27)/E27</f>
        <v>-0.16535</v>
      </c>
      <c r="G27" s="53">
        <v>37500</v>
      </c>
      <c r="H27" s="3">
        <f>(G27-E27)/G27</f>
        <v>-6.6666666666666666E-2</v>
      </c>
      <c r="I27" s="53">
        <v>40000</v>
      </c>
      <c r="J27" s="3">
        <f>(I27-G27)/I27</f>
        <v>6.25E-2</v>
      </c>
      <c r="K27" s="53">
        <v>44500</v>
      </c>
      <c r="L27" s="3">
        <f>(K27-I27)/K27</f>
        <v>0.10112359550561797</v>
      </c>
    </row>
    <row r="28" spans="2:15" x14ac:dyDescent="0.3">
      <c r="C28" s="47"/>
      <c r="D28" s="47"/>
      <c r="E28" s="47"/>
      <c r="F28" s="47"/>
    </row>
    <row r="29" spans="2:15" x14ac:dyDescent="0.3">
      <c r="B29" s="4" t="s">
        <v>9</v>
      </c>
      <c r="C29" s="47"/>
      <c r="D29" s="47"/>
      <c r="E29" s="47"/>
      <c r="F29" s="47"/>
    </row>
    <row r="30" spans="2:15" x14ac:dyDescent="0.3">
      <c r="B30" s="4" t="s">
        <v>7</v>
      </c>
      <c r="C30" s="47"/>
      <c r="D30" s="47"/>
      <c r="E30" s="47"/>
      <c r="F30" s="47"/>
    </row>
    <row r="31" spans="2:15" x14ac:dyDescent="0.3">
      <c r="B31" s="4" t="s">
        <v>0</v>
      </c>
      <c r="C31" s="13" t="s">
        <v>111</v>
      </c>
      <c r="D31" s="13"/>
      <c r="E31" s="13" t="s">
        <v>112</v>
      </c>
      <c r="F31" s="13"/>
      <c r="G31" s="13" t="s">
        <v>113</v>
      </c>
      <c r="H31" s="13"/>
      <c r="I31" s="13" t="s">
        <v>114</v>
      </c>
      <c r="J31" s="13"/>
      <c r="K31" s="13" t="s">
        <v>115</v>
      </c>
    </row>
    <row r="32" spans="2:15" x14ac:dyDescent="0.3">
      <c r="B32" s="4" t="s">
        <v>1</v>
      </c>
      <c r="C32" s="45">
        <f>(C6*C20*1000)/10000000</f>
        <v>26.091899999999999</v>
      </c>
      <c r="D32" s="45"/>
      <c r="E32" s="45">
        <f>(E6*E20*1000)/10000000</f>
        <v>26.458678400000004</v>
      </c>
      <c r="F32" s="45"/>
      <c r="G32">
        <f t="shared" ref="G32:G37" si="3">(G6*G20*1000)/10000000</f>
        <v>28.667536229462296</v>
      </c>
      <c r="I32">
        <f t="shared" ref="I32:I37" si="4">(I6*I20*1000)/10000000</f>
        <v>32.776171341653075</v>
      </c>
      <c r="K32">
        <f t="shared" ref="K32:K37" si="5">(K6*K20*1000)/10000000</f>
        <v>38.873821390062574</v>
      </c>
    </row>
    <row r="33" spans="2:11" x14ac:dyDescent="0.3">
      <c r="B33" s="4" t="s">
        <v>2</v>
      </c>
      <c r="C33" s="45">
        <f>(C7*C21*1000)/10000000</f>
        <v>54.338799999999999</v>
      </c>
      <c r="D33" s="45"/>
      <c r="E33" s="45">
        <f>(E7*E21*1000)/10000000</f>
        <v>40.156572000000004</v>
      </c>
      <c r="F33" s="45"/>
      <c r="G33">
        <f t="shared" si="3"/>
        <v>49.848617267689434</v>
      </c>
      <c r="I33">
        <f t="shared" si="4"/>
        <v>57.164221711019323</v>
      </c>
      <c r="K33">
        <f t="shared" si="5"/>
        <v>66.762685013838762</v>
      </c>
    </row>
    <row r="34" spans="2:11" x14ac:dyDescent="0.3">
      <c r="B34" s="4" t="s">
        <v>3</v>
      </c>
      <c r="C34" s="45">
        <f>(C8*C22*1000)/10000000</f>
        <v>137.235972</v>
      </c>
      <c r="D34" s="45"/>
      <c r="E34" s="45">
        <f>(E8*E22*1000)/10000000</f>
        <v>157.58540599999998</v>
      </c>
      <c r="F34" s="45"/>
      <c r="G34">
        <f t="shared" si="3"/>
        <v>210.64806982043615</v>
      </c>
      <c r="I34">
        <f t="shared" si="4"/>
        <v>235.2851013179741</v>
      </c>
      <c r="K34">
        <f t="shared" si="5"/>
        <v>261.79312881150292</v>
      </c>
    </row>
    <row r="35" spans="2:11" x14ac:dyDescent="0.3">
      <c r="B35" s="4" t="s">
        <v>4</v>
      </c>
      <c r="C35" s="45">
        <f>(C9*C23*1000)/10000000</f>
        <v>114.70608299999998</v>
      </c>
      <c r="D35" s="45"/>
      <c r="E35" s="45">
        <f>(E9*E23*1000)/10000000</f>
        <v>84.319820000000007</v>
      </c>
      <c r="F35" s="45"/>
      <c r="G35">
        <f t="shared" si="3"/>
        <v>86.139770370443472</v>
      </c>
      <c r="I35">
        <f t="shared" si="4"/>
        <v>103.0292746675658</v>
      </c>
      <c r="K35">
        <f t="shared" si="5"/>
        <v>130.78227367116634</v>
      </c>
    </row>
    <row r="36" spans="2:11" x14ac:dyDescent="0.3">
      <c r="B36" s="4" t="s">
        <v>5</v>
      </c>
      <c r="C36" s="45">
        <f>(C10*C24*1000)/10000000</f>
        <v>46.664999999999999</v>
      </c>
      <c r="D36" s="45"/>
      <c r="E36" s="45">
        <f>(E10*E24*1000)/10000000</f>
        <v>95.914500399999994</v>
      </c>
      <c r="F36" s="45"/>
      <c r="G36">
        <f t="shared" si="3"/>
        <v>111.57642815377102</v>
      </c>
      <c r="I36">
        <f t="shared" si="4"/>
        <v>119.97905678519525</v>
      </c>
      <c r="K36">
        <f t="shared" si="5"/>
        <v>129.14873400744139</v>
      </c>
    </row>
    <row r="37" spans="2:11" x14ac:dyDescent="0.3">
      <c r="B37" s="4" t="s">
        <v>12</v>
      </c>
      <c r="C37" s="45"/>
      <c r="D37" s="45"/>
      <c r="E37" s="45"/>
      <c r="F37" s="45"/>
      <c r="G37">
        <f t="shared" si="3"/>
        <v>61</v>
      </c>
      <c r="I37">
        <f t="shared" si="4"/>
        <v>97.21875</v>
      </c>
      <c r="K37">
        <f t="shared" si="5"/>
        <v>124.89150280898876</v>
      </c>
    </row>
    <row r="38" spans="2:11" x14ac:dyDescent="0.3">
      <c r="B38" s="4"/>
      <c r="C38" s="45"/>
      <c r="D38" s="45"/>
      <c r="E38" s="45"/>
      <c r="F38" s="45"/>
    </row>
    <row r="39" spans="2:11" x14ac:dyDescent="0.3">
      <c r="B39" s="4" t="s">
        <v>19</v>
      </c>
      <c r="C39" s="45">
        <f>SUM(C32:C36)</f>
        <v>379.037755</v>
      </c>
      <c r="D39" s="45"/>
      <c r="E39" s="45">
        <f>SUM(E32:E36)</f>
        <v>404.43497680000002</v>
      </c>
      <c r="F39" s="45"/>
      <c r="G39">
        <f>SUM(G32:G37)</f>
        <v>547.88042184180244</v>
      </c>
      <c r="I39">
        <f>SUM(I32:I37)</f>
        <v>645.45257582340753</v>
      </c>
      <c r="K39">
        <f>SUM(K32:K37)</f>
        <v>752.25214570300068</v>
      </c>
    </row>
    <row r="40" spans="2:11" x14ac:dyDescent="0.3">
      <c r="B40" s="4" t="s">
        <v>41</v>
      </c>
      <c r="C40" s="50">
        <f>C39/C41</f>
        <v>6.9263532453767998E-2</v>
      </c>
      <c r="D40" s="50"/>
      <c r="E40" s="50">
        <f>E39/E41</f>
        <v>5.6546142751282807E-2</v>
      </c>
      <c r="F40" s="50"/>
      <c r="G40" s="3">
        <f>H6*$O$21+H7*$O$22+H8*$O$23+H9*$O$24+H10*$O$25+H11*$O$26</f>
        <v>9.3265969723699507E-2</v>
      </c>
      <c r="H40" s="3"/>
      <c r="I40" s="3">
        <f>J6*$O$21+J7*$O$22+J8*$O$23+J9*$O$24+J10*$O$25+J11*$O$26</f>
        <v>0.1042330773579373</v>
      </c>
      <c r="J40" s="3"/>
      <c r="K40" s="3">
        <f>L6*$O$21+L7*$O$22+L8*$O$23+L9*$O$24+L10*$O$25+L11*$O$26</f>
        <v>0.11315343034479576</v>
      </c>
    </row>
    <row r="41" spans="2:11" x14ac:dyDescent="0.3">
      <c r="B41" s="4" t="s">
        <v>42</v>
      </c>
      <c r="C41" s="47">
        <v>5472.4</v>
      </c>
      <c r="D41" s="47"/>
      <c r="E41" s="47">
        <v>7152.3</v>
      </c>
      <c r="F41" s="47"/>
      <c r="G41">
        <f>G39/G40</f>
        <v>5874.3872332523697</v>
      </c>
      <c r="I41">
        <f>I39/I40</f>
        <v>6192.3968109174957</v>
      </c>
      <c r="K41">
        <f>K39/K40</f>
        <v>6648.0719445338391</v>
      </c>
    </row>
  </sheetData>
  <pageMargins left="0.7" right="0.7" top="0.75" bottom="0.75" header="0.3" footer="0.3"/>
  <ignoredErrors>
    <ignoredError sqref="I6:I11 K6:K11 H20:H24 J20:J24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EB1C-9C47-4DB0-8DB7-85580216B32E}">
  <dimension ref="A2:J10"/>
  <sheetViews>
    <sheetView workbookViewId="0">
      <selection activeCell="B9" sqref="B9:F9"/>
    </sheetView>
  </sheetViews>
  <sheetFormatPr defaultRowHeight="14.4" x14ac:dyDescent="0.3"/>
  <cols>
    <col min="1" max="1" width="19" customWidth="1"/>
  </cols>
  <sheetData>
    <row r="2" spans="1:10" x14ac:dyDescent="0.3">
      <c r="B2" s="13" t="s">
        <v>111</v>
      </c>
      <c r="C2" s="13" t="s">
        <v>112</v>
      </c>
      <c r="D2" s="13" t="s">
        <v>113</v>
      </c>
      <c r="E2" s="13" t="s">
        <v>114</v>
      </c>
      <c r="F2" s="13" t="s">
        <v>116</v>
      </c>
      <c r="G2" s="13"/>
      <c r="H2" s="13"/>
      <c r="I2" s="13"/>
      <c r="J2" s="13"/>
    </row>
    <row r="3" spans="1:10" x14ac:dyDescent="0.3">
      <c r="A3" s="4" t="s">
        <v>1</v>
      </c>
      <c r="B3" s="87">
        <v>0.14518205263181178</v>
      </c>
      <c r="C3" s="87">
        <v>0.14754980189507222</v>
      </c>
      <c r="D3" s="88">
        <v>0.13378868047480641</v>
      </c>
      <c r="E3" s="88">
        <v>0.1427079258397935</v>
      </c>
      <c r="F3" s="88">
        <v>0.15162717120478056</v>
      </c>
    </row>
    <row r="4" spans="1:10" x14ac:dyDescent="0.3">
      <c r="A4" s="4" t="s">
        <v>2</v>
      </c>
      <c r="B4" s="87">
        <v>9.8513233153883259E-2</v>
      </c>
      <c r="C4" s="87">
        <v>6.8587964101211582E-2</v>
      </c>
      <c r="D4" s="88">
        <v>6.9099622026141755E-2</v>
      </c>
      <c r="E4" s="88">
        <v>7.5836372878546596E-2</v>
      </c>
      <c r="F4" s="88">
        <v>8.2573123730951437E-2</v>
      </c>
    </row>
    <row r="5" spans="1:10" x14ac:dyDescent="0.3">
      <c r="A5" s="4" t="s">
        <v>3</v>
      </c>
      <c r="B5" s="87">
        <v>0.21338311340744315</v>
      </c>
      <c r="C5" s="87">
        <v>0.21127715467979122</v>
      </c>
      <c r="D5" s="88">
        <v>0.22035781152600525</v>
      </c>
      <c r="E5" s="88">
        <v>0.24392378806105311</v>
      </c>
      <c r="F5" s="88">
        <v>0.26748976459610091</v>
      </c>
    </row>
    <row r="6" spans="1:10" x14ac:dyDescent="0.3">
      <c r="A6" s="4" t="s">
        <v>4</v>
      </c>
      <c r="B6" s="87">
        <v>0.407559906396946</v>
      </c>
      <c r="C6" s="87">
        <v>0.33326926028409698</v>
      </c>
      <c r="D6" s="88">
        <v>0.30218715310734179</v>
      </c>
      <c r="E6" s="88">
        <v>0.3223329633144979</v>
      </c>
      <c r="F6" s="88">
        <v>0.3420246833621185</v>
      </c>
    </row>
    <row r="7" spans="1:10" x14ac:dyDescent="0.3">
      <c r="A7" s="4" t="s">
        <v>5</v>
      </c>
      <c r="B7" s="87">
        <v>0.13536169440991594</v>
      </c>
      <c r="C7" s="87">
        <v>0.23931581903982813</v>
      </c>
      <c r="D7" s="88">
        <v>0.2169962089739374</v>
      </c>
      <c r="E7" s="88">
        <v>0.23146262290553327</v>
      </c>
      <c r="F7" s="88">
        <v>0.24592903683712905</v>
      </c>
    </row>
    <row r="8" spans="1:10" x14ac:dyDescent="0.3">
      <c r="A8" s="4" t="s">
        <v>12</v>
      </c>
      <c r="B8" s="88"/>
      <c r="C8" s="88"/>
      <c r="D8" s="88">
        <v>5.7570523891767408E-2</v>
      </c>
      <c r="E8" s="88">
        <v>8.6355785837651106E-2</v>
      </c>
      <c r="F8" s="88">
        <v>0.10074841681059296</v>
      </c>
    </row>
    <row r="9" spans="1:10" x14ac:dyDescent="0.3">
      <c r="B9" s="13" t="s">
        <v>111</v>
      </c>
      <c r="C9" s="13" t="s">
        <v>112</v>
      </c>
      <c r="D9" s="13" t="s">
        <v>113</v>
      </c>
      <c r="E9" s="13" t="s">
        <v>114</v>
      </c>
      <c r="F9" s="13" t="s">
        <v>116</v>
      </c>
    </row>
    <row r="10" spans="1:10" x14ac:dyDescent="0.3">
      <c r="B10" s="45">
        <v>0.54</v>
      </c>
      <c r="C10" s="47">
        <v>0.64</v>
      </c>
      <c r="D10" s="89">
        <v>0.68</v>
      </c>
      <c r="E10" s="48">
        <v>0.75</v>
      </c>
      <c r="F10" s="49">
        <v>0.81</v>
      </c>
      <c r="H10" s="2"/>
      <c r="J1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46F0-B5B6-42A4-B2C4-5E8EADBF0909}">
  <dimension ref="A2:C27"/>
  <sheetViews>
    <sheetView tabSelected="1" workbookViewId="0"/>
  </sheetViews>
  <sheetFormatPr defaultRowHeight="14.4" x14ac:dyDescent="0.3"/>
  <cols>
    <col min="1" max="1" width="105" style="19" customWidth="1"/>
    <col min="2" max="2" width="8.88671875" style="19"/>
    <col min="3" max="3" width="23.77734375" style="19" customWidth="1"/>
    <col min="4" max="16384" width="8.88671875" style="19"/>
  </cols>
  <sheetData>
    <row r="2" spans="1:3" s="42" customFormat="1" ht="24.6" x14ac:dyDescent="0.4">
      <c r="A2" s="39" t="str">
        <f>"Valuation Model for " &amp; C6</f>
        <v>Valuation Model for XYZ Steel</v>
      </c>
    </row>
    <row r="3" spans="1:3" x14ac:dyDescent="0.3">
      <c r="A3" s="40" t="s">
        <v>87</v>
      </c>
    </row>
    <row r="4" spans="1:3" x14ac:dyDescent="0.3">
      <c r="A4" s="40" t="s">
        <v>95</v>
      </c>
    </row>
    <row r="6" spans="1:3" ht="15.6" x14ac:dyDescent="0.3">
      <c r="A6" s="41" t="s">
        <v>88</v>
      </c>
      <c r="C6" s="43" t="s">
        <v>119</v>
      </c>
    </row>
    <row r="7" spans="1:3" ht="15.6" x14ac:dyDescent="0.3">
      <c r="A7" s="41" t="s">
        <v>89</v>
      </c>
      <c r="C7" s="43" t="s">
        <v>123</v>
      </c>
    </row>
    <row r="8" spans="1:3" ht="15.6" x14ac:dyDescent="0.3">
      <c r="A8" s="41" t="s">
        <v>90</v>
      </c>
      <c r="C8" s="43">
        <v>1244.8499999999999</v>
      </c>
    </row>
    <row r="9" spans="1:3" ht="15.6" x14ac:dyDescent="0.3">
      <c r="A9" s="41" t="s">
        <v>91</v>
      </c>
      <c r="C9" s="44">
        <v>45029</v>
      </c>
    </row>
    <row r="10" spans="1:3" ht="15.6" x14ac:dyDescent="0.3">
      <c r="A10" s="41" t="s">
        <v>92</v>
      </c>
      <c r="C10" s="44">
        <v>45016</v>
      </c>
    </row>
    <row r="11" spans="1:3" ht="15.6" x14ac:dyDescent="0.3">
      <c r="A11" s="41" t="s">
        <v>93</v>
      </c>
      <c r="C11" s="43">
        <v>365</v>
      </c>
    </row>
    <row r="12" spans="1:3" ht="15.6" x14ac:dyDescent="0.3">
      <c r="A12" s="41"/>
      <c r="C12" s="43"/>
    </row>
    <row r="13" spans="1:3" ht="15.6" x14ac:dyDescent="0.3">
      <c r="A13" s="41" t="s">
        <v>117</v>
      </c>
      <c r="C13" s="43"/>
    </row>
    <row r="14" spans="1:3" ht="15.6" x14ac:dyDescent="0.3">
      <c r="A14" s="41"/>
      <c r="C14" s="43"/>
    </row>
    <row r="15" spans="1:3" ht="15.6" x14ac:dyDescent="0.3">
      <c r="A15" s="41" t="s">
        <v>118</v>
      </c>
      <c r="C15" s="43"/>
    </row>
    <row r="17" spans="1:1" x14ac:dyDescent="0.3">
      <c r="A17" s="19" t="s">
        <v>101</v>
      </c>
    </row>
    <row r="19" spans="1:1" x14ac:dyDescent="0.3">
      <c r="A19" s="19" t="s">
        <v>102</v>
      </c>
    </row>
    <row r="20" spans="1:1" x14ac:dyDescent="0.3">
      <c r="A20" s="19" t="s">
        <v>109</v>
      </c>
    </row>
    <row r="22" spans="1:1" x14ac:dyDescent="0.3">
      <c r="A22" s="19" t="s">
        <v>103</v>
      </c>
    </row>
    <row r="23" spans="1:1" x14ac:dyDescent="0.3">
      <c r="A23" s="19" t="s">
        <v>104</v>
      </c>
    </row>
    <row r="24" spans="1:1" x14ac:dyDescent="0.3">
      <c r="A24" s="19" t="s">
        <v>105</v>
      </c>
    </row>
    <row r="25" spans="1:1" x14ac:dyDescent="0.3">
      <c r="A25" s="19" t="s">
        <v>106</v>
      </c>
    </row>
    <row r="26" spans="1:1" x14ac:dyDescent="0.3">
      <c r="A26" s="19" t="s">
        <v>108</v>
      </c>
    </row>
    <row r="27" spans="1:1" x14ac:dyDescent="0.3">
      <c r="A27" s="19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0107-AD87-42F7-A586-BB33B33763A8}">
  <dimension ref="A2:M53"/>
  <sheetViews>
    <sheetView workbookViewId="0"/>
  </sheetViews>
  <sheetFormatPr defaultRowHeight="14.4" x14ac:dyDescent="0.3"/>
  <cols>
    <col min="1" max="1" width="19.88671875" style="19" customWidth="1"/>
    <col min="2" max="2" width="29.21875" style="19" customWidth="1"/>
    <col min="3" max="3" width="8.88671875" style="19"/>
    <col min="4" max="4" width="11.21875" style="19" customWidth="1"/>
    <col min="5" max="5" width="9.44140625" style="19" customWidth="1"/>
    <col min="6" max="16384" width="8.88671875" style="19"/>
  </cols>
  <sheetData>
    <row r="2" spans="1:13" x14ac:dyDescent="0.3">
      <c r="A2" s="24" t="s">
        <v>50</v>
      </c>
    </row>
    <row r="3" spans="1:13" x14ac:dyDescent="0.3">
      <c r="A3" s="24" t="s">
        <v>51</v>
      </c>
      <c r="B3" s="24"/>
      <c r="C3" s="24" t="s">
        <v>86</v>
      </c>
      <c r="D3" s="24"/>
    </row>
    <row r="4" spans="1:13" x14ac:dyDescent="0.3">
      <c r="A4" s="24" t="s">
        <v>52</v>
      </c>
      <c r="B4" s="24"/>
      <c r="C4" s="24" t="s">
        <v>100</v>
      </c>
      <c r="D4" s="24"/>
    </row>
    <row r="5" spans="1:13" x14ac:dyDescent="0.3">
      <c r="A5" s="24" t="s">
        <v>53</v>
      </c>
      <c r="B5" s="24"/>
      <c r="C5" s="24" t="s">
        <v>54</v>
      </c>
      <c r="D5" s="24"/>
    </row>
    <row r="7" spans="1:13" x14ac:dyDescent="0.3">
      <c r="A7" s="19" t="s">
        <v>55</v>
      </c>
      <c r="B7" s="19" t="s">
        <v>99</v>
      </c>
      <c r="C7" s="23">
        <v>6.5000000000000002E-2</v>
      </c>
    </row>
    <row r="9" spans="1:13" x14ac:dyDescent="0.3">
      <c r="A9" s="22" t="s">
        <v>56</v>
      </c>
      <c r="B9" s="20"/>
      <c r="C9" s="20">
        <v>1.19</v>
      </c>
    </row>
    <row r="11" spans="1:13" x14ac:dyDescent="0.3">
      <c r="A11" s="24" t="s">
        <v>110</v>
      </c>
      <c r="C11" s="23">
        <v>0.1082</v>
      </c>
    </row>
    <row r="13" spans="1:13" x14ac:dyDescent="0.3">
      <c r="A13" s="24" t="s">
        <v>57</v>
      </c>
    </row>
    <row r="14" spans="1:13" x14ac:dyDescent="0.3">
      <c r="A14" s="19" t="s">
        <v>58</v>
      </c>
      <c r="C14" s="24">
        <v>2021</v>
      </c>
      <c r="D14" s="24">
        <f>C14+1</f>
        <v>2022</v>
      </c>
      <c r="E14" s="77" t="s">
        <v>120</v>
      </c>
      <c r="F14" s="77" t="s">
        <v>121</v>
      </c>
      <c r="G14" s="77" t="s">
        <v>122</v>
      </c>
      <c r="H14" s="24"/>
      <c r="I14" s="24"/>
      <c r="J14" s="24"/>
      <c r="K14" s="24"/>
      <c r="L14" s="24"/>
      <c r="M14" s="24"/>
    </row>
    <row r="16" spans="1:13" x14ac:dyDescent="0.3">
      <c r="A16" s="19" t="s">
        <v>19</v>
      </c>
      <c r="C16" s="78">
        <f>'Op profit forecast'!C39</f>
        <v>379.037755</v>
      </c>
      <c r="D16" s="78">
        <f>'Op profit forecast'!E39</f>
        <v>404.43497680000002</v>
      </c>
      <c r="E16" s="25">
        <f>'Op profit forecast'!G39</f>
        <v>547.88042184180244</v>
      </c>
      <c r="F16" s="25">
        <f>'Op profit forecast'!I39</f>
        <v>645.45257582340753</v>
      </c>
      <c r="G16" s="25">
        <f>'Op profit forecast'!K39</f>
        <v>752.25214570300068</v>
      </c>
    </row>
    <row r="17" spans="1:7" x14ac:dyDescent="0.3">
      <c r="A17" s="19" t="s">
        <v>59</v>
      </c>
      <c r="C17" s="79">
        <f>'Key schedules'!F7/10</f>
        <v>53.3</v>
      </c>
      <c r="D17" s="79">
        <f>'Key schedules'!G7/10</f>
        <v>64</v>
      </c>
      <c r="E17" s="21">
        <f>'Key schedules'!H7/10</f>
        <v>76.889473985341567</v>
      </c>
      <c r="F17" s="21">
        <f>'Key schedules'!I7/10</f>
        <v>79.07199058735273</v>
      </c>
      <c r="G17" s="21">
        <f>'Key schedules'!J7/10</f>
        <v>85.573634830421128</v>
      </c>
    </row>
    <row r="18" spans="1:7" x14ac:dyDescent="0.3">
      <c r="A18" s="19" t="s">
        <v>60</v>
      </c>
      <c r="C18" s="78">
        <f>C16-C17</f>
        <v>325.73775499999999</v>
      </c>
      <c r="D18" s="78">
        <f>D16-D17</f>
        <v>340.43497680000002</v>
      </c>
      <c r="E18" s="25">
        <f>E16-E17</f>
        <v>470.99094785646088</v>
      </c>
      <c r="F18" s="25">
        <f>F16-F17</f>
        <v>566.3805852360548</v>
      </c>
      <c r="G18" s="25">
        <f>G16-G17</f>
        <v>666.67851087257952</v>
      </c>
    </row>
    <row r="19" spans="1:7" x14ac:dyDescent="0.3">
      <c r="A19" s="19" t="s">
        <v>63</v>
      </c>
      <c r="C19" s="78">
        <v>86.2</v>
      </c>
      <c r="D19" s="78">
        <v>78.7</v>
      </c>
      <c r="E19" s="25">
        <f>E20*E18</f>
        <v>117.74773696411522</v>
      </c>
      <c r="F19" s="25">
        <f>F20*F18</f>
        <v>141.5951463090137</v>
      </c>
      <c r="G19" s="25">
        <f>G20*G18</f>
        <v>166.66962771814488</v>
      </c>
    </row>
    <row r="20" spans="1:7" x14ac:dyDescent="0.3">
      <c r="A20" s="19" t="s">
        <v>61</v>
      </c>
      <c r="C20" s="78">
        <f>C19/C18</f>
        <v>0.26463005493483555</v>
      </c>
      <c r="D20" s="78">
        <f>D19/D18</f>
        <v>0.23117483620443316</v>
      </c>
      <c r="E20" s="19">
        <v>0.25</v>
      </c>
      <c r="F20" s="19">
        <v>0.25</v>
      </c>
      <c r="G20" s="19">
        <v>0.25</v>
      </c>
    </row>
    <row r="21" spans="1:7" x14ac:dyDescent="0.3">
      <c r="A21" s="26" t="s">
        <v>62</v>
      </c>
      <c r="C21" s="80">
        <f>C18*(1-C20)</f>
        <v>239.537755</v>
      </c>
      <c r="D21" s="80">
        <f>D18*(1-D20)</f>
        <v>261.73497680000003</v>
      </c>
      <c r="E21" s="27">
        <f>E18*(1-E20)</f>
        <v>353.24321089234564</v>
      </c>
      <c r="F21" s="27">
        <f>F18*(1-F20)</f>
        <v>424.78543892704113</v>
      </c>
      <c r="G21" s="27">
        <f>G18*(1-G20)</f>
        <v>500.00888315443467</v>
      </c>
    </row>
    <row r="22" spans="1:7" x14ac:dyDescent="0.3">
      <c r="C22" s="81"/>
      <c r="D22" s="81"/>
    </row>
    <row r="23" spans="1:7" x14ac:dyDescent="0.3">
      <c r="A23" s="19" t="s">
        <v>59</v>
      </c>
      <c r="C23" s="79">
        <f>C17</f>
        <v>53.3</v>
      </c>
      <c r="D23" s="79">
        <f>D17</f>
        <v>64</v>
      </c>
      <c r="E23" s="21">
        <f>E17</f>
        <v>76.889473985341567</v>
      </c>
      <c r="F23" s="21">
        <f>F17</f>
        <v>79.07199058735273</v>
      </c>
      <c r="G23" s="21">
        <f>G17</f>
        <v>85.573634830421128</v>
      </c>
    </row>
    <row r="24" spans="1:7" x14ac:dyDescent="0.3">
      <c r="A24" s="19" t="s">
        <v>22</v>
      </c>
      <c r="C24" s="80">
        <f>'Key schedules'!F6/10</f>
        <v>194.7</v>
      </c>
      <c r="D24" s="80">
        <f>'Key schedules'!G6/10</f>
        <v>204.6</v>
      </c>
      <c r="E24" s="27">
        <f>'Key schedules'!H6/10</f>
        <v>136.97010546045061</v>
      </c>
      <c r="F24" s="27">
        <f>'Key schedules'!I6/10</f>
        <v>161.36314395585188</v>
      </c>
      <c r="G24" s="27">
        <f>'Key schedules'!J6/10</f>
        <v>188.06303642575017</v>
      </c>
    </row>
    <row r="25" spans="1:7" x14ac:dyDescent="0.3">
      <c r="A25" s="19" t="s">
        <v>39</v>
      </c>
      <c r="C25" s="80">
        <f>'Key schedules'!F45</f>
        <v>2281</v>
      </c>
      <c r="D25" s="80">
        <f>'Key schedules'!G45</f>
        <v>-208</v>
      </c>
      <c r="E25" s="27">
        <f>'Key schedules'!H45</f>
        <v>-231.64027323790742</v>
      </c>
      <c r="F25" s="27">
        <f>'Key schedules'!I45</f>
        <v>213.42819693998808</v>
      </c>
      <c r="G25" s="27">
        <f>'Key schedules'!J45</f>
        <v>82.501898966459521</v>
      </c>
    </row>
    <row r="27" spans="1:7" x14ac:dyDescent="0.3">
      <c r="A27" s="19" t="s">
        <v>64</v>
      </c>
      <c r="E27" s="25">
        <f>E21+E23-E24-E25</f>
        <v>524.80285265514408</v>
      </c>
      <c r="F27" s="25">
        <f>F21+F23-F24-F25</f>
        <v>129.06608861855386</v>
      </c>
      <c r="G27" s="25">
        <f>G21+G23-G24-G25</f>
        <v>315.01758259264614</v>
      </c>
    </row>
    <row r="29" spans="1:7" x14ac:dyDescent="0.3">
      <c r="A29" s="24" t="s">
        <v>65</v>
      </c>
    </row>
    <row r="31" spans="1:7" x14ac:dyDescent="0.3">
      <c r="A31" s="28" t="s">
        <v>66</v>
      </c>
      <c r="B31" s="29"/>
      <c r="D31" s="31">
        <v>0.105</v>
      </c>
    </row>
    <row r="32" spans="1:7" x14ac:dyDescent="0.3">
      <c r="A32" s="19" t="s">
        <v>67</v>
      </c>
      <c r="B32" s="29"/>
      <c r="D32" s="30">
        <v>0.25</v>
      </c>
    </row>
    <row r="33" spans="1:6" x14ac:dyDescent="0.3">
      <c r="A33" s="19" t="s">
        <v>68</v>
      </c>
      <c r="B33" s="29"/>
      <c r="D33" s="31">
        <f>D31*(1-D32)</f>
        <v>7.8750000000000001E-2</v>
      </c>
    </row>
    <row r="34" spans="1:6" x14ac:dyDescent="0.3">
      <c r="B34" s="29"/>
    </row>
    <row r="35" spans="1:6" x14ac:dyDescent="0.3">
      <c r="A35" s="19" t="s">
        <v>69</v>
      </c>
      <c r="B35" s="29"/>
      <c r="D35" s="23">
        <v>6.5000000000000002E-2</v>
      </c>
    </row>
    <row r="36" spans="1:6" x14ac:dyDescent="0.3">
      <c r="A36" s="19" t="s">
        <v>70</v>
      </c>
      <c r="B36" s="29"/>
      <c r="D36" s="19">
        <v>1.19</v>
      </c>
    </row>
    <row r="37" spans="1:6" x14ac:dyDescent="0.3">
      <c r="A37" s="19" t="s">
        <v>71</v>
      </c>
      <c r="B37" s="29"/>
      <c r="D37" s="23">
        <v>0.1082</v>
      </c>
    </row>
    <row r="38" spans="1:6" x14ac:dyDescent="0.3">
      <c r="A38" s="19" t="s">
        <v>72</v>
      </c>
      <c r="B38" s="29"/>
      <c r="D38" s="23">
        <f>D35+D36*D37</f>
        <v>0.19375800000000001</v>
      </c>
    </row>
    <row r="40" spans="1:6" x14ac:dyDescent="0.3">
      <c r="A40" s="32" t="s">
        <v>73</v>
      </c>
      <c r="B40" s="33"/>
      <c r="C40" s="33"/>
      <c r="D40" s="33"/>
      <c r="E40" s="33"/>
      <c r="F40" s="33"/>
    </row>
    <row r="41" spans="1:6" ht="16.2" x14ac:dyDescent="0.45">
      <c r="A41" s="34" t="s">
        <v>74</v>
      </c>
      <c r="B41" s="34"/>
      <c r="C41" s="34"/>
      <c r="D41" s="34"/>
      <c r="E41" s="35" t="s">
        <v>75</v>
      </c>
      <c r="F41" s="36" t="s">
        <v>76</v>
      </c>
    </row>
    <row r="42" spans="1:6" x14ac:dyDescent="0.3">
      <c r="A42" s="34" t="s">
        <v>77</v>
      </c>
      <c r="B42" s="34"/>
      <c r="C42" s="34"/>
      <c r="D42" s="34"/>
      <c r="E42" s="37">
        <v>3095.82</v>
      </c>
      <c r="F42" s="38">
        <f>E42/(E42+E43)</f>
        <v>0.27631825573777519</v>
      </c>
    </row>
    <row r="43" spans="1:6" x14ac:dyDescent="0.3">
      <c r="A43" s="34" t="s">
        <v>78</v>
      </c>
      <c r="B43" s="34"/>
      <c r="C43" s="34"/>
      <c r="D43" s="34"/>
      <c r="E43" s="37">
        <v>8108</v>
      </c>
      <c r="F43" s="38">
        <f>E43/(E42+E43)</f>
        <v>0.72368174426222487</v>
      </c>
    </row>
    <row r="45" spans="1:6" x14ac:dyDescent="0.3">
      <c r="A45" s="24" t="s">
        <v>79</v>
      </c>
      <c r="E45" s="23">
        <f>F43*D33+F42*D38</f>
        <v>0.11052880995589007</v>
      </c>
    </row>
    <row r="47" spans="1:6" x14ac:dyDescent="0.3">
      <c r="A47" s="24" t="s">
        <v>80</v>
      </c>
      <c r="E47" s="19">
        <f>(G27*(1+C7))/(E45-C7)</f>
        <v>7368.822637494949</v>
      </c>
    </row>
    <row r="48" spans="1:6" x14ac:dyDescent="0.3">
      <c r="A48" s="24" t="s">
        <v>81</v>
      </c>
      <c r="E48" s="19">
        <f>E47/(1+E45)^3</f>
        <v>5380.3262899591527</v>
      </c>
    </row>
    <row r="49" spans="1:5" x14ac:dyDescent="0.3">
      <c r="A49" s="24" t="s">
        <v>82</v>
      </c>
      <c r="E49" s="19">
        <f>+E27/(1+E45)+F27/(1+E45)^2+G27/(1+E45)^3</f>
        <v>807.23267400494228</v>
      </c>
    </row>
    <row r="51" spans="1:5" x14ac:dyDescent="0.3">
      <c r="A51" s="24" t="s">
        <v>83</v>
      </c>
      <c r="E51" s="19">
        <f>E48+E49</f>
        <v>6187.5589639640948</v>
      </c>
    </row>
    <row r="52" spans="1:5" x14ac:dyDescent="0.3">
      <c r="A52" s="19" t="s">
        <v>85</v>
      </c>
      <c r="E52" s="19">
        <f>E42*10000000/1244.85</f>
        <v>24869020.363899268</v>
      </c>
    </row>
    <row r="53" spans="1:5" x14ac:dyDescent="0.3">
      <c r="A53" s="82" t="s">
        <v>84</v>
      </c>
      <c r="B53" s="83"/>
      <c r="C53" s="83"/>
      <c r="D53" s="83"/>
      <c r="E53" s="83">
        <f>E51*10000000/E52</f>
        <v>2488.0589880195562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5A24B-45B9-42F2-9F51-09388A708243}">
  <dimension ref="B2:J45"/>
  <sheetViews>
    <sheetView workbookViewId="0"/>
  </sheetViews>
  <sheetFormatPr defaultRowHeight="14.4" x14ac:dyDescent="0.3"/>
  <cols>
    <col min="2" max="2" width="31" customWidth="1"/>
    <col min="3" max="3" width="10.44140625" customWidth="1"/>
    <col min="4" max="4" width="11" customWidth="1"/>
    <col min="8" max="8" width="9.33203125" customWidth="1"/>
  </cols>
  <sheetData>
    <row r="2" spans="2:10" x14ac:dyDescent="0.3">
      <c r="B2" s="4" t="s">
        <v>20</v>
      </c>
      <c r="C2" s="4"/>
    </row>
    <row r="3" spans="2:10" x14ac:dyDescent="0.3">
      <c r="C3" s="4">
        <v>2018</v>
      </c>
      <c r="D3" s="4">
        <v>2019</v>
      </c>
      <c r="E3" s="4">
        <v>2020</v>
      </c>
      <c r="F3" s="4">
        <v>2021</v>
      </c>
      <c r="G3" s="4">
        <v>2022</v>
      </c>
      <c r="H3" s="13" t="s">
        <v>120</v>
      </c>
      <c r="I3" s="13" t="s">
        <v>121</v>
      </c>
      <c r="J3" s="13" t="s">
        <v>122</v>
      </c>
    </row>
    <row r="4" spans="2:10" x14ac:dyDescent="0.3">
      <c r="B4" s="4" t="s">
        <v>40</v>
      </c>
      <c r="C4" s="4"/>
    </row>
    <row r="5" spans="2:10" x14ac:dyDescent="0.3">
      <c r="B5" s="4" t="s">
        <v>21</v>
      </c>
      <c r="C5" s="4"/>
      <c r="D5" s="58">
        <v>5915</v>
      </c>
      <c r="E5" s="59">
        <f t="shared" ref="E5:J5" si="0">D9</f>
        <v>6309</v>
      </c>
      <c r="F5" s="59">
        <f t="shared" si="0"/>
        <v>7532</v>
      </c>
      <c r="G5" s="59">
        <f t="shared" si="0"/>
        <v>8946</v>
      </c>
      <c r="H5" s="11">
        <f t="shared" si="0"/>
        <v>10352</v>
      </c>
      <c r="I5" s="11">
        <f t="shared" si="0"/>
        <v>10952.806314751089</v>
      </c>
      <c r="J5" s="11">
        <f t="shared" si="0"/>
        <v>11775.717848436081</v>
      </c>
    </row>
    <row r="6" spans="2:10" x14ac:dyDescent="0.3">
      <c r="B6" s="4" t="s">
        <v>22</v>
      </c>
      <c r="C6" s="4"/>
      <c r="D6" s="59">
        <f>D9-D5+D7</f>
        <v>735</v>
      </c>
      <c r="E6" s="59">
        <f>E9-E5+E7</f>
        <v>1731</v>
      </c>
      <c r="F6" s="59">
        <f>F9-F5+F7</f>
        <v>1947</v>
      </c>
      <c r="G6" s="59">
        <f>G9-G5+G7</f>
        <v>2046</v>
      </c>
      <c r="H6" s="63">
        <f>(0.25*'Op profit forecast'!G39)*10</f>
        <v>1369.7010546045062</v>
      </c>
      <c r="I6" s="63">
        <f>(0.25*'Op profit forecast'!I39)*10</f>
        <v>1613.6314395585189</v>
      </c>
      <c r="J6" s="64">
        <f>(0.25*'Op profit forecast'!K39)*10</f>
        <v>1880.6303642575017</v>
      </c>
    </row>
    <row r="7" spans="2:10" x14ac:dyDescent="0.3">
      <c r="B7" s="4" t="s">
        <v>23</v>
      </c>
      <c r="C7" s="4"/>
      <c r="D7" s="60">
        <v>341</v>
      </c>
      <c r="E7" s="60">
        <v>508</v>
      </c>
      <c r="F7" s="60">
        <v>533</v>
      </c>
      <c r="G7" s="60">
        <v>640</v>
      </c>
      <c r="H7" s="15">
        <f>H8*H5</f>
        <v>768.89473985341567</v>
      </c>
      <c r="I7" s="15">
        <f>I8*I5</f>
        <v>790.7199058735273</v>
      </c>
      <c r="J7" s="15">
        <f>J8*J5</f>
        <v>855.73634830421122</v>
      </c>
    </row>
    <row r="8" spans="2:10" x14ac:dyDescent="0.3">
      <c r="B8" s="4" t="s">
        <v>24</v>
      </c>
      <c r="C8" s="4"/>
      <c r="D8" s="61">
        <f>D7/D5</f>
        <v>5.765004226542688E-2</v>
      </c>
      <c r="E8" s="61">
        <f>E7/E5</f>
        <v>8.0519892217467109E-2</v>
      </c>
      <c r="F8" s="61">
        <f>F7/F5</f>
        <v>7.0764737121614449E-2</v>
      </c>
      <c r="G8" s="61">
        <f>G7/G5</f>
        <v>7.1540353230494069E-2</v>
      </c>
      <c r="H8" s="65">
        <f>AVERAGE(E8:G8)</f>
        <v>7.4274994189858543E-2</v>
      </c>
      <c r="I8" s="65">
        <f>AVERAGE(F8:H8)</f>
        <v>7.2193361513989029E-2</v>
      </c>
      <c r="J8" s="65">
        <f>AVERAGE(G8:I8)</f>
        <v>7.2669569644780552E-2</v>
      </c>
    </row>
    <row r="9" spans="2:10" x14ac:dyDescent="0.3">
      <c r="B9" s="4" t="s">
        <v>25</v>
      </c>
      <c r="C9" s="4"/>
      <c r="D9" s="62">
        <v>6309</v>
      </c>
      <c r="E9" s="62">
        <v>7532</v>
      </c>
      <c r="F9" s="62">
        <v>8946</v>
      </c>
      <c r="G9" s="62">
        <v>10352</v>
      </c>
      <c r="H9" s="14">
        <f>H5+H6-H7</f>
        <v>10952.806314751089</v>
      </c>
      <c r="I9" s="14">
        <f>I5+I6-I7</f>
        <v>11775.717848436081</v>
      </c>
      <c r="J9" s="14">
        <f>J5+J6-J7</f>
        <v>12800.611864389371</v>
      </c>
    </row>
    <row r="11" spans="2:10" x14ac:dyDescent="0.3">
      <c r="B11" s="4" t="s">
        <v>26</v>
      </c>
      <c r="C11" s="4"/>
    </row>
    <row r="12" spans="2:10" x14ac:dyDescent="0.3">
      <c r="B12" s="4" t="s">
        <v>40</v>
      </c>
    </row>
    <row r="13" spans="2:10" x14ac:dyDescent="0.3">
      <c r="B13" s="4" t="s">
        <v>27</v>
      </c>
      <c r="C13" s="4"/>
      <c r="D13" s="66">
        <v>6498</v>
      </c>
      <c r="E13" s="66">
        <v>5944</v>
      </c>
      <c r="F13" s="66">
        <v>7751</v>
      </c>
      <c r="G13" s="66">
        <v>8581</v>
      </c>
      <c r="H13" s="16">
        <v>7000</v>
      </c>
      <c r="I13" s="16">
        <v>6750</v>
      </c>
      <c r="J13" s="16">
        <v>6000</v>
      </c>
    </row>
    <row r="14" spans="2:10" x14ac:dyDescent="0.3">
      <c r="B14" s="4" t="s">
        <v>28</v>
      </c>
      <c r="C14" s="4"/>
      <c r="D14" s="61">
        <f>D15/D13</f>
        <v>9.6183441058787317E-2</v>
      </c>
      <c r="E14" s="61">
        <f>E15/E13</f>
        <v>0.11255047106325707</v>
      </c>
      <c r="F14" s="61">
        <f>F15/F13</f>
        <v>9.740678622113276E-2</v>
      </c>
      <c r="G14" s="61">
        <f>G15/G13</f>
        <v>0.12795711455541312</v>
      </c>
      <c r="H14" s="65">
        <f>AVERAGE(E14:G14)</f>
        <v>0.11263812394660098</v>
      </c>
      <c r="I14" s="65">
        <f>AVERAGE(F14:H14)</f>
        <v>0.1126673415743823</v>
      </c>
      <c r="J14" s="65">
        <f>AVERAGE(G14:I14)</f>
        <v>0.11775419335879879</v>
      </c>
    </row>
    <row r="15" spans="2:10" x14ac:dyDescent="0.3">
      <c r="B15" s="4" t="s">
        <v>26</v>
      </c>
      <c r="C15" s="4"/>
      <c r="D15" s="66">
        <v>625</v>
      </c>
      <c r="E15" s="66">
        <v>669</v>
      </c>
      <c r="F15" s="66">
        <v>755</v>
      </c>
      <c r="G15" s="66">
        <v>1098</v>
      </c>
      <c r="H15" s="17">
        <f>H14*H13</f>
        <v>788.46686762620686</v>
      </c>
      <c r="I15" s="17">
        <f>I14*I13</f>
        <v>760.50455562708055</v>
      </c>
      <c r="J15" s="17">
        <f>J14*J13</f>
        <v>706.52516015279275</v>
      </c>
    </row>
    <row r="17" spans="2:10" x14ac:dyDescent="0.3">
      <c r="B17" s="5" t="s">
        <v>29</v>
      </c>
      <c r="C17" s="5"/>
    </row>
    <row r="18" spans="2:10" x14ac:dyDescent="0.3">
      <c r="B18" s="90" t="s">
        <v>30</v>
      </c>
      <c r="C18" s="6"/>
    </row>
    <row r="19" spans="2:10" x14ac:dyDescent="0.3">
      <c r="B19" s="90"/>
      <c r="C19" s="6"/>
    </row>
    <row r="20" spans="2:10" x14ac:dyDescent="0.3">
      <c r="B20" s="4" t="s">
        <v>40</v>
      </c>
      <c r="C20" s="6"/>
    </row>
    <row r="21" spans="2:10" x14ac:dyDescent="0.3">
      <c r="B21" s="4" t="s">
        <v>31</v>
      </c>
      <c r="C21" s="4"/>
    </row>
    <row r="22" spans="2:10" x14ac:dyDescent="0.3">
      <c r="B22" s="7" t="s">
        <v>32</v>
      </c>
      <c r="C22" s="68"/>
      <c r="D22" s="59">
        <f t="shared" ref="D22:J22" si="1">C24</f>
        <v>2496</v>
      </c>
      <c r="E22" s="59">
        <f t="shared" si="1"/>
        <v>2672</v>
      </c>
      <c r="F22" s="59">
        <f t="shared" si="1"/>
        <v>3373</v>
      </c>
      <c r="G22" s="59">
        <f t="shared" si="1"/>
        <v>5120</v>
      </c>
      <c r="H22" s="11">
        <f t="shared" si="1"/>
        <v>5922</v>
      </c>
      <c r="I22" s="11">
        <f t="shared" si="1"/>
        <v>4699.5097866018959</v>
      </c>
      <c r="J22" s="11">
        <f t="shared" si="1"/>
        <v>4799.1075284610597</v>
      </c>
    </row>
    <row r="23" spans="2:10" x14ac:dyDescent="0.3">
      <c r="B23" s="8" t="s">
        <v>33</v>
      </c>
      <c r="C23" s="69"/>
      <c r="D23" s="59">
        <f>D24-D22</f>
        <v>176</v>
      </c>
      <c r="E23" s="59">
        <f t="shared" ref="E23:J23" si="2">E24-E22</f>
        <v>701</v>
      </c>
      <c r="F23" s="59">
        <f t="shared" si="2"/>
        <v>1747</v>
      </c>
      <c r="G23" s="59">
        <f t="shared" si="2"/>
        <v>802</v>
      </c>
      <c r="H23" s="67">
        <f t="shared" si="2"/>
        <v>-1222.4902133981041</v>
      </c>
      <c r="I23" s="11">
        <f t="shared" si="2"/>
        <v>99.597741859163762</v>
      </c>
      <c r="J23" s="11">
        <f t="shared" si="2"/>
        <v>186.94642993931939</v>
      </c>
    </row>
    <row r="24" spans="2:10" x14ac:dyDescent="0.3">
      <c r="B24" s="7" t="s">
        <v>34</v>
      </c>
      <c r="C24" s="62">
        <v>2496</v>
      </c>
      <c r="D24" s="62">
        <v>2672</v>
      </c>
      <c r="E24" s="62">
        <v>3373</v>
      </c>
      <c r="F24" s="62">
        <v>5120</v>
      </c>
      <c r="G24" s="62">
        <v>5922</v>
      </c>
      <c r="H24" s="12">
        <f>H25*H26</f>
        <v>4699.5097866018959</v>
      </c>
      <c r="I24" s="12">
        <f>I25*I26</f>
        <v>4799.1075284610597</v>
      </c>
      <c r="J24" s="12">
        <f>J25*J26</f>
        <v>4986.0539584003791</v>
      </c>
    </row>
    <row r="25" spans="2:10" x14ac:dyDescent="0.3">
      <c r="B25" s="18" t="s">
        <v>46</v>
      </c>
      <c r="C25" s="58"/>
      <c r="D25" s="61">
        <f>D24/D26</f>
        <v>6.3413707993164994E-2</v>
      </c>
      <c r="E25" s="61">
        <f>E24/E26</f>
        <v>7.7049592251638988E-2</v>
      </c>
      <c r="F25" s="61">
        <f>F24/F26</f>
        <v>9.356041225056648E-2</v>
      </c>
      <c r="G25" s="61">
        <f>G24/G26</f>
        <v>8.2798540329684159E-2</v>
      </c>
      <c r="H25" s="65">
        <v>0.08</v>
      </c>
      <c r="I25" s="65">
        <v>7.7499999999999999E-2</v>
      </c>
      <c r="J25" s="65">
        <v>7.4999999999999997E-2</v>
      </c>
    </row>
    <row r="26" spans="2:10" x14ac:dyDescent="0.3">
      <c r="B26" s="18" t="s">
        <v>47</v>
      </c>
      <c r="C26" s="58"/>
      <c r="D26" s="62">
        <v>42136</v>
      </c>
      <c r="E26" s="62">
        <v>43777</v>
      </c>
      <c r="F26" s="62">
        <v>54724</v>
      </c>
      <c r="G26" s="62">
        <v>71523</v>
      </c>
      <c r="H26" s="12">
        <f>'Op profit forecast'!G41*10</f>
        <v>58743.872332523693</v>
      </c>
      <c r="I26" s="12">
        <f>'Op profit forecast'!I41*10</f>
        <v>61923.968109174959</v>
      </c>
      <c r="J26" s="12">
        <f>'Op profit forecast'!K41*10</f>
        <v>66480.719445338385</v>
      </c>
    </row>
    <row r="28" spans="2:10" x14ac:dyDescent="0.3">
      <c r="B28" t="s">
        <v>48</v>
      </c>
      <c r="D28" s="61">
        <f>D29/D26</f>
        <v>0.86564932599202582</v>
      </c>
      <c r="E28" s="61">
        <f>E29/E26</f>
        <v>0.86593416634305687</v>
      </c>
      <c r="F28" s="61">
        <f>F29/F26</f>
        <v>0.87616036839412326</v>
      </c>
      <c r="G28" s="61">
        <f>G29/G26</f>
        <v>0.89986437929057783</v>
      </c>
      <c r="H28" s="65">
        <f>AVERAGE(E28:G28)</f>
        <v>0.88065297134258602</v>
      </c>
      <c r="I28" s="65">
        <f>AVERAGE(F28:H28)</f>
        <v>0.88555923967576244</v>
      </c>
      <c r="J28" s="65">
        <f>AVERAGE(G28:I28)</f>
        <v>0.88869219676964217</v>
      </c>
    </row>
    <row r="29" spans="2:10" x14ac:dyDescent="0.3">
      <c r="B29" t="s">
        <v>49</v>
      </c>
      <c r="D29" s="62">
        <v>36475</v>
      </c>
      <c r="E29" s="62">
        <v>37908</v>
      </c>
      <c r="F29" s="62">
        <v>47947</v>
      </c>
      <c r="G29" s="62">
        <v>64361</v>
      </c>
      <c r="H29" s="12">
        <f>H26*H28</f>
        <v>51732.965717806517</v>
      </c>
      <c r="I29" s="12">
        <f>I26*I28</f>
        <v>54837.342116467138</v>
      </c>
      <c r="J29" s="12">
        <f>J26*J28</f>
        <v>59080.896606704038</v>
      </c>
    </row>
    <row r="31" spans="2:10" x14ac:dyDescent="0.3">
      <c r="B31" s="4" t="s">
        <v>35</v>
      </c>
      <c r="C31" s="4"/>
    </row>
    <row r="32" spans="2:10" x14ac:dyDescent="0.3">
      <c r="B32" s="7" t="s">
        <v>32</v>
      </c>
      <c r="C32" s="68"/>
      <c r="D32" s="59">
        <f>C34</f>
        <v>3279</v>
      </c>
      <c r="E32" s="59">
        <f t="shared" ref="E32:J32" si="3">D34</f>
        <v>6057</v>
      </c>
      <c r="F32" s="59">
        <f t="shared" si="3"/>
        <v>5759</v>
      </c>
      <c r="G32" s="59">
        <f t="shared" si="3"/>
        <v>6166</v>
      </c>
      <c r="H32" s="11">
        <f t="shared" si="3"/>
        <v>8352</v>
      </c>
      <c r="I32" s="11">
        <f t="shared" si="3"/>
        <v>6492.4871975847182</v>
      </c>
      <c r="J32" s="11">
        <f t="shared" si="3"/>
        <v>6854.6677645583923</v>
      </c>
    </row>
    <row r="33" spans="2:10" x14ac:dyDescent="0.3">
      <c r="B33" s="8" t="s">
        <v>33</v>
      </c>
      <c r="C33" s="69"/>
      <c r="D33" s="59">
        <f t="shared" ref="D33:J33" si="4">D34-D32</f>
        <v>2778</v>
      </c>
      <c r="E33" s="58">
        <f t="shared" si="4"/>
        <v>-298</v>
      </c>
      <c r="F33" s="59">
        <f t="shared" si="4"/>
        <v>407</v>
      </c>
      <c r="G33" s="59">
        <f t="shared" si="4"/>
        <v>2186</v>
      </c>
      <c r="H33" s="12">
        <f t="shared" si="4"/>
        <v>-1859.5128024152818</v>
      </c>
      <c r="I33" s="11">
        <f t="shared" si="4"/>
        <v>362.1805669736741</v>
      </c>
      <c r="J33" s="11">
        <f t="shared" si="4"/>
        <v>235.03982824609193</v>
      </c>
    </row>
    <row r="34" spans="2:10" x14ac:dyDescent="0.3">
      <c r="B34" s="7" t="s">
        <v>34</v>
      </c>
      <c r="C34" s="62">
        <v>3279</v>
      </c>
      <c r="D34" s="62">
        <v>6057</v>
      </c>
      <c r="E34" s="62">
        <v>5759</v>
      </c>
      <c r="F34" s="62">
        <v>6166</v>
      </c>
      <c r="G34" s="62">
        <v>8352</v>
      </c>
      <c r="H34" s="12">
        <f>H36*H29</f>
        <v>6492.4871975847182</v>
      </c>
      <c r="I34" s="12">
        <f>I36*I29</f>
        <v>6854.6677645583923</v>
      </c>
      <c r="J34" s="12">
        <f>J36*J29</f>
        <v>7089.7075928044842</v>
      </c>
    </row>
    <row r="35" spans="2:10" x14ac:dyDescent="0.3">
      <c r="C35" s="58"/>
      <c r="D35" s="58"/>
      <c r="E35" s="58"/>
      <c r="F35" s="58"/>
      <c r="G35" s="58"/>
      <c r="H35" s="12"/>
      <c r="I35" s="12"/>
      <c r="J35" s="12"/>
    </row>
    <row r="36" spans="2:10" x14ac:dyDescent="0.3">
      <c r="B36" s="7" t="s">
        <v>36</v>
      </c>
      <c r="C36" s="68"/>
      <c r="D36" s="61">
        <f>D34/D29</f>
        <v>0.16605894448252229</v>
      </c>
      <c r="E36" s="61">
        <f>E34/E29</f>
        <v>0.15192043895747601</v>
      </c>
      <c r="F36" s="61">
        <f>F34/F29</f>
        <v>0.12860032953052328</v>
      </c>
      <c r="G36" s="61">
        <f>G34/G29</f>
        <v>0.12976802722145397</v>
      </c>
      <c r="H36" s="65">
        <v>0.1255</v>
      </c>
      <c r="I36" s="65">
        <v>0.125</v>
      </c>
      <c r="J36" s="65">
        <v>0.12</v>
      </c>
    </row>
    <row r="37" spans="2:10" x14ac:dyDescent="0.3">
      <c r="B37" s="7"/>
      <c r="C37" s="7"/>
    </row>
    <row r="38" spans="2:10" x14ac:dyDescent="0.3">
      <c r="B38" s="4" t="s">
        <v>37</v>
      </c>
      <c r="C38" s="4"/>
    </row>
    <row r="39" spans="2:10" x14ac:dyDescent="0.3">
      <c r="B39" s="7" t="s">
        <v>32</v>
      </c>
      <c r="C39" s="70"/>
      <c r="D39" s="71">
        <f>C41</f>
        <v>2045</v>
      </c>
      <c r="E39" s="71">
        <f t="shared" ref="E39:J39" si="5">D41</f>
        <v>2565</v>
      </c>
      <c r="F39" s="71">
        <f t="shared" si="5"/>
        <v>3920</v>
      </c>
      <c r="G39" s="71">
        <f t="shared" si="5"/>
        <v>3793</v>
      </c>
      <c r="H39" s="9">
        <f t="shared" si="5"/>
        <v>6989</v>
      </c>
      <c r="I39" s="9">
        <f t="shared" si="5"/>
        <v>4138.6372574245215</v>
      </c>
      <c r="J39" s="9">
        <f t="shared" si="5"/>
        <v>4386.9873693173713</v>
      </c>
    </row>
    <row r="40" spans="2:10" x14ac:dyDescent="0.3">
      <c r="B40" s="8" t="s">
        <v>33</v>
      </c>
      <c r="C40" s="72"/>
      <c r="D40" s="71">
        <f t="shared" ref="D40:J40" si="6">D41-D39</f>
        <v>520</v>
      </c>
      <c r="E40" s="71">
        <f t="shared" si="6"/>
        <v>1355</v>
      </c>
      <c r="F40" s="73">
        <f t="shared" si="6"/>
        <v>-127</v>
      </c>
      <c r="G40" s="71">
        <f t="shared" si="6"/>
        <v>3196</v>
      </c>
      <c r="H40" s="10">
        <f t="shared" si="6"/>
        <v>-2850.3627425754785</v>
      </c>
      <c r="I40" s="9">
        <f t="shared" si="6"/>
        <v>248.35011189284978</v>
      </c>
      <c r="J40" s="9">
        <f t="shared" si="6"/>
        <v>339.48435921895179</v>
      </c>
    </row>
    <row r="41" spans="2:10" x14ac:dyDescent="0.3">
      <c r="B41" s="7" t="s">
        <v>34</v>
      </c>
      <c r="C41" s="74">
        <v>2045</v>
      </c>
      <c r="D41" s="74">
        <v>2565</v>
      </c>
      <c r="E41" s="74">
        <v>3920</v>
      </c>
      <c r="F41" s="74">
        <v>3793</v>
      </c>
      <c r="G41" s="74">
        <v>6989</v>
      </c>
      <c r="H41" s="10">
        <f>H43*H29</f>
        <v>4138.6372574245215</v>
      </c>
      <c r="I41" s="10">
        <f>I43*I29</f>
        <v>4386.9873693173713</v>
      </c>
      <c r="J41" s="10">
        <f>J43*J29</f>
        <v>4726.4717285363231</v>
      </c>
    </row>
    <row r="42" spans="2:10" x14ac:dyDescent="0.3">
      <c r="C42" s="73"/>
      <c r="D42" s="73"/>
      <c r="E42" s="73"/>
      <c r="F42" s="73"/>
      <c r="G42" s="73"/>
      <c r="H42" s="76"/>
      <c r="I42" s="76"/>
      <c r="J42" s="76"/>
    </row>
    <row r="43" spans="2:10" x14ac:dyDescent="0.3">
      <c r="B43" s="7" t="s">
        <v>38</v>
      </c>
      <c r="C43" s="70"/>
      <c r="D43" s="75">
        <f>D41/D29</f>
        <v>7.0322138450993832E-2</v>
      </c>
      <c r="E43" s="75">
        <f>E41/E29</f>
        <v>0.10340825155639971</v>
      </c>
      <c r="F43" s="75">
        <f>F41/F29</f>
        <v>7.9108181950904119E-2</v>
      </c>
      <c r="G43" s="75">
        <f>G41/G29</f>
        <v>0.10859060611239726</v>
      </c>
      <c r="H43" s="84">
        <v>0.08</v>
      </c>
      <c r="I43" s="84">
        <v>0.08</v>
      </c>
      <c r="J43" s="84">
        <v>0.08</v>
      </c>
    </row>
    <row r="45" spans="2:10" x14ac:dyDescent="0.3">
      <c r="B45" s="7" t="s">
        <v>39</v>
      </c>
      <c r="C45" s="7"/>
      <c r="D45" s="47">
        <f>D23+D33-D40</f>
        <v>2434</v>
      </c>
      <c r="E45" s="47">
        <f t="shared" ref="E45:J45" si="7">E23+E33-E40</f>
        <v>-952</v>
      </c>
      <c r="F45" s="47">
        <f t="shared" si="7"/>
        <v>2281</v>
      </c>
      <c r="G45" s="47">
        <f t="shared" si="7"/>
        <v>-208</v>
      </c>
      <c r="H45">
        <f t="shared" si="7"/>
        <v>-231.64027323790742</v>
      </c>
      <c r="I45">
        <f t="shared" si="7"/>
        <v>213.42819693998808</v>
      </c>
      <c r="J45">
        <f t="shared" si="7"/>
        <v>82.501898966459521</v>
      </c>
    </row>
  </sheetData>
  <mergeCells count="1">
    <mergeCell ref="B18:B1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 profit forecast</vt:lpstr>
      <vt:lpstr>Charts</vt:lpstr>
      <vt:lpstr>Key Assumptions &amp; Disclaimer</vt:lpstr>
      <vt:lpstr>DCF</vt:lpstr>
      <vt:lpstr>Key schedules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</dc:creator>
  <cp:lastModifiedBy>Acer</cp:lastModifiedBy>
  <dcterms:created xsi:type="dcterms:W3CDTF">2015-06-05T18:17:20Z</dcterms:created>
  <dcterms:modified xsi:type="dcterms:W3CDTF">2023-05-07T05:03:47Z</dcterms:modified>
</cp:coreProperties>
</file>