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nuja\OneDrive\Desktop\Excel\"/>
    </mc:Choice>
  </mc:AlternateContent>
  <xr:revisionPtr revIDLastSave="0" documentId="13_ncr:1_{BE125FF0-68F2-4912-A1CC-03D6119F9AF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st &amp; Revenue Calculation" sheetId="2" r:id="rId1"/>
    <sheet name="Salary Calculation &amp; Analysis " sheetId="3" r:id="rId2"/>
    <sheet name="Advanced Excel Functions" sheetId="5" r:id="rId3"/>
    <sheet name="Formatting &amp; Sorting" sheetId="6" r:id="rId4"/>
    <sheet name=" Expense Model" sheetId="10" r:id="rId5"/>
    <sheet name="Formated Data" sheetId="11" r:id="rId6"/>
    <sheet name="Original Data" sheetId="8" r:id="rId7"/>
  </sheets>
  <definedNames>
    <definedName name="_xlnm._FilterDatabase" localSheetId="3" hidden="1">'Formatting &amp; Sorting'!$B$4:$N$24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C3" i="11"/>
  <c r="H3" i="11"/>
  <c r="B4" i="11"/>
  <c r="C4" i="11"/>
  <c r="H4" i="11"/>
  <c r="B5" i="11"/>
  <c r="C5" i="11"/>
  <c r="H5" i="11"/>
  <c r="B6" i="11"/>
  <c r="C6" i="11"/>
  <c r="H6" i="11"/>
  <c r="B7" i="11"/>
  <c r="C7" i="11"/>
  <c r="H7" i="11"/>
  <c r="B8" i="11"/>
  <c r="C8" i="11"/>
  <c r="H8" i="11"/>
  <c r="B9" i="11"/>
  <c r="C9" i="11"/>
  <c r="H9" i="11"/>
  <c r="B10" i="11"/>
  <c r="C10" i="11"/>
  <c r="H10" i="11"/>
  <c r="B11" i="11"/>
  <c r="C11" i="11"/>
  <c r="H11" i="11"/>
  <c r="B12" i="11"/>
  <c r="C12" i="11"/>
  <c r="H12" i="11"/>
  <c r="B13" i="11"/>
  <c r="C13" i="11"/>
  <c r="H13" i="11"/>
  <c r="B14" i="11"/>
  <c r="C14" i="11"/>
  <c r="H14" i="11"/>
  <c r="B15" i="11"/>
  <c r="C15" i="11"/>
  <c r="H15" i="11"/>
  <c r="B16" i="11"/>
  <c r="C16" i="11"/>
  <c r="H16" i="11"/>
  <c r="B17" i="11"/>
  <c r="C17" i="11"/>
  <c r="H17" i="11"/>
  <c r="B18" i="11"/>
  <c r="C18" i="11"/>
  <c r="H18" i="11"/>
  <c r="B19" i="11"/>
  <c r="C19" i="11"/>
  <c r="H19" i="11"/>
  <c r="B20" i="11"/>
  <c r="C20" i="11"/>
  <c r="H20" i="11"/>
  <c r="B21" i="11"/>
  <c r="C21" i="11"/>
  <c r="H21" i="11"/>
  <c r="B23" i="11"/>
  <c r="C23" i="11"/>
  <c r="H23" i="11"/>
  <c r="B24" i="11"/>
  <c r="C24" i="11"/>
  <c r="H24" i="11"/>
  <c r="B25" i="11"/>
  <c r="C25" i="11"/>
  <c r="H25" i="11"/>
  <c r="B26" i="11"/>
  <c r="C26" i="11"/>
  <c r="H26" i="11"/>
  <c r="B27" i="11"/>
  <c r="C27" i="11"/>
  <c r="H27" i="11"/>
  <c r="B28" i="11"/>
  <c r="C28" i="11"/>
  <c r="H28" i="11"/>
  <c r="B29" i="11"/>
  <c r="C29" i="11"/>
  <c r="H29" i="11"/>
  <c r="B30" i="11"/>
  <c r="C30" i="11"/>
  <c r="H30" i="11"/>
  <c r="B31" i="11"/>
  <c r="C31" i="11"/>
  <c r="H31" i="11"/>
  <c r="B32" i="11"/>
  <c r="C32" i="11"/>
  <c r="H32" i="11"/>
  <c r="B33" i="11"/>
  <c r="C33" i="11"/>
  <c r="H33" i="11"/>
  <c r="B34" i="11"/>
  <c r="C34" i="11"/>
  <c r="H34" i="11"/>
  <c r="B35" i="11"/>
  <c r="C35" i="11"/>
  <c r="H35" i="11"/>
  <c r="B36" i="11"/>
  <c r="C36" i="11"/>
  <c r="H36" i="11"/>
  <c r="B37" i="11"/>
  <c r="C37" i="11"/>
  <c r="H37" i="11"/>
  <c r="B38" i="11"/>
  <c r="C38" i="11"/>
  <c r="H38" i="11"/>
  <c r="B39" i="11"/>
  <c r="C39" i="11"/>
  <c r="H39" i="11"/>
  <c r="B40" i="11"/>
  <c r="C40" i="11"/>
  <c r="H40" i="11"/>
  <c r="B41" i="11"/>
  <c r="C41" i="11"/>
  <c r="H41" i="11"/>
  <c r="B42" i="11"/>
  <c r="C42" i="11"/>
  <c r="H42" i="11"/>
  <c r="B43" i="11"/>
  <c r="C43" i="11"/>
  <c r="H43" i="11"/>
  <c r="B44" i="11"/>
  <c r="C44" i="11"/>
  <c r="H44" i="11"/>
  <c r="B45" i="11"/>
  <c r="C45" i="11"/>
  <c r="H45" i="11"/>
  <c r="B46" i="11"/>
  <c r="C46" i="11"/>
  <c r="H46" i="11"/>
  <c r="B47" i="11"/>
  <c r="C47" i="11"/>
  <c r="H47" i="11"/>
  <c r="B48" i="11"/>
  <c r="C48" i="11"/>
  <c r="H48" i="11"/>
  <c r="B49" i="11"/>
  <c r="C49" i="11"/>
  <c r="H49" i="11"/>
  <c r="B50" i="11"/>
  <c r="C50" i="11"/>
  <c r="H50" i="11"/>
  <c r="B51" i="11"/>
  <c r="C51" i="11"/>
  <c r="H51" i="11"/>
  <c r="B52" i="11"/>
  <c r="C52" i="11"/>
  <c r="H52" i="11"/>
  <c r="B53" i="11"/>
  <c r="C53" i="11"/>
  <c r="H53" i="11"/>
  <c r="B54" i="11"/>
  <c r="C54" i="11"/>
  <c r="H54" i="11"/>
  <c r="B55" i="11"/>
  <c r="C55" i="11"/>
  <c r="H55" i="11"/>
  <c r="B56" i="11"/>
  <c r="C56" i="11"/>
  <c r="H56" i="11"/>
  <c r="B57" i="11"/>
  <c r="C57" i="11"/>
  <c r="H57" i="11"/>
  <c r="B58" i="11"/>
  <c r="C58" i="11"/>
  <c r="H58" i="11"/>
  <c r="B59" i="11"/>
  <c r="C59" i="11"/>
  <c r="H59" i="11"/>
  <c r="B60" i="11"/>
  <c r="C60" i="11"/>
  <c r="H60" i="11"/>
  <c r="B61" i="11"/>
  <c r="C61" i="11"/>
  <c r="H61" i="11"/>
  <c r="B62" i="11"/>
  <c r="C62" i="11"/>
  <c r="H62" i="11"/>
  <c r="B64" i="11"/>
  <c r="C64" i="11"/>
  <c r="H64" i="11"/>
  <c r="B65" i="11"/>
  <c r="C65" i="11"/>
  <c r="H65" i="11"/>
  <c r="B66" i="11"/>
  <c r="C66" i="11"/>
  <c r="H66" i="11"/>
  <c r="B67" i="11"/>
  <c r="C67" i="11"/>
  <c r="H67" i="11"/>
  <c r="B68" i="11"/>
  <c r="C68" i="11"/>
  <c r="H68" i="11"/>
  <c r="B69" i="11"/>
  <c r="C69" i="11"/>
  <c r="H69" i="11"/>
  <c r="B70" i="11"/>
  <c r="C70" i="11"/>
  <c r="H70" i="11"/>
  <c r="B71" i="11"/>
  <c r="C71" i="11"/>
  <c r="H71" i="11"/>
  <c r="B72" i="11"/>
  <c r="C72" i="11"/>
  <c r="H72" i="11"/>
  <c r="B73" i="11"/>
  <c r="C73" i="11"/>
  <c r="H73" i="11"/>
  <c r="B74" i="11"/>
  <c r="C74" i="11"/>
  <c r="H74" i="11"/>
  <c r="B75" i="11"/>
  <c r="C75" i="11"/>
  <c r="H75" i="11"/>
  <c r="B76" i="11"/>
  <c r="C76" i="11"/>
  <c r="H76" i="11"/>
  <c r="B77" i="11"/>
  <c r="C77" i="11"/>
  <c r="H77" i="11"/>
  <c r="B78" i="11"/>
  <c r="C78" i="11"/>
  <c r="H78" i="11"/>
  <c r="B79" i="11"/>
  <c r="C79" i="11"/>
  <c r="H79" i="11"/>
  <c r="B80" i="11"/>
  <c r="C80" i="11"/>
  <c r="H80" i="11"/>
  <c r="B81" i="11"/>
  <c r="C81" i="11"/>
  <c r="H81" i="11"/>
  <c r="B82" i="11"/>
  <c r="C82" i="11"/>
  <c r="H82" i="11"/>
  <c r="B83" i="11"/>
  <c r="C83" i="11"/>
  <c r="H83" i="11"/>
  <c r="B84" i="11"/>
  <c r="C84" i="11"/>
  <c r="H84" i="11"/>
  <c r="B85" i="11"/>
  <c r="C85" i="11"/>
  <c r="H85" i="11"/>
  <c r="B86" i="11"/>
  <c r="C86" i="11"/>
  <c r="H86" i="11"/>
  <c r="B87" i="11"/>
  <c r="C87" i="11"/>
  <c r="H87" i="11"/>
  <c r="B88" i="11"/>
  <c r="C88" i="11"/>
  <c r="H88" i="11"/>
  <c r="B89" i="11"/>
  <c r="C89" i="11"/>
  <c r="H89" i="11"/>
  <c r="B90" i="11"/>
  <c r="C90" i="11"/>
  <c r="H90" i="11"/>
  <c r="B91" i="11"/>
  <c r="C91" i="11"/>
  <c r="H91" i="11"/>
  <c r="B92" i="11"/>
  <c r="C92" i="11"/>
  <c r="H92" i="11"/>
  <c r="B93" i="11"/>
  <c r="C93" i="11"/>
  <c r="H93" i="11"/>
  <c r="B94" i="11"/>
  <c r="C94" i="11"/>
  <c r="H94" i="11"/>
  <c r="B95" i="11"/>
  <c r="C95" i="11"/>
  <c r="H95" i="11"/>
  <c r="B96" i="11"/>
  <c r="C96" i="11"/>
  <c r="H96" i="11"/>
  <c r="B97" i="11"/>
  <c r="C97" i="11"/>
  <c r="H97" i="11"/>
  <c r="B98" i="11"/>
  <c r="C98" i="11"/>
  <c r="H98" i="11"/>
  <c r="B99" i="11"/>
  <c r="C99" i="11"/>
  <c r="H99" i="11"/>
  <c r="B100" i="11"/>
  <c r="C100" i="11"/>
  <c r="H100" i="11"/>
  <c r="B101" i="11"/>
  <c r="C101" i="11"/>
  <c r="H101" i="11"/>
  <c r="H63" i="11" l="1"/>
  <c r="C63" i="11"/>
  <c r="B20" i="10" s="1"/>
  <c r="D20" i="10" s="1"/>
  <c r="B63" i="11"/>
  <c r="H22" i="11"/>
  <c r="C22" i="11"/>
  <c r="B22" i="11"/>
  <c r="H2" i="11"/>
  <c r="G10" i="10" s="1"/>
  <c r="C2" i="11"/>
  <c r="B2" i="11"/>
  <c r="B31" i="10"/>
  <c r="D31" i="10" s="1"/>
  <c r="B29" i="10"/>
  <c r="D29" i="10" s="1"/>
  <c r="C27" i="10"/>
  <c r="C25" i="10"/>
  <c r="B24" i="10"/>
  <c r="D24" i="10" s="1"/>
  <c r="C22" i="10"/>
  <c r="B17" i="10"/>
  <c r="D17" i="10" s="1"/>
  <c r="C15" i="10"/>
  <c r="C12" i="10"/>
  <c r="H7" i="10"/>
  <c r="C8" i="10"/>
  <c r="J24" i="6"/>
  <c r="D24" i="6"/>
  <c r="C24" i="6"/>
  <c r="J23" i="6"/>
  <c r="D23" i="6"/>
  <c r="C23" i="6"/>
  <c r="J22" i="6"/>
  <c r="D22" i="6"/>
  <c r="C22" i="6"/>
  <c r="J21" i="6"/>
  <c r="D21" i="6"/>
  <c r="C21" i="6"/>
  <c r="J20" i="6"/>
  <c r="D20" i="6"/>
  <c r="C20" i="6"/>
  <c r="J19" i="6"/>
  <c r="D19" i="6"/>
  <c r="C19" i="6"/>
  <c r="J18" i="6"/>
  <c r="D18" i="6"/>
  <c r="C18" i="6"/>
  <c r="J17" i="6"/>
  <c r="D17" i="6"/>
  <c r="C17" i="6"/>
  <c r="J16" i="6"/>
  <c r="D16" i="6"/>
  <c r="C16" i="6"/>
  <c r="J15" i="6"/>
  <c r="D15" i="6"/>
  <c r="C15" i="6"/>
  <c r="J14" i="6"/>
  <c r="D14" i="6"/>
  <c r="C14" i="6"/>
  <c r="J13" i="6"/>
  <c r="D13" i="6"/>
  <c r="C13" i="6"/>
  <c r="J12" i="6"/>
  <c r="D12" i="6"/>
  <c r="C12" i="6"/>
  <c r="J11" i="6"/>
  <c r="D11" i="6"/>
  <c r="C11" i="6"/>
  <c r="J10" i="6"/>
  <c r="D10" i="6"/>
  <c r="C10" i="6"/>
  <c r="J9" i="6"/>
  <c r="D9" i="6"/>
  <c r="C9" i="6"/>
  <c r="J8" i="6"/>
  <c r="D8" i="6"/>
  <c r="C8" i="6"/>
  <c r="J7" i="6"/>
  <c r="D7" i="6"/>
  <c r="C7" i="6"/>
  <c r="J6" i="6"/>
  <c r="D6" i="6"/>
  <c r="C6" i="6"/>
  <c r="J5" i="6"/>
  <c r="D5" i="6"/>
  <c r="C5" i="6"/>
  <c r="C12" i="5"/>
  <c r="B12" i="5"/>
  <c r="C11" i="5"/>
  <c r="F11" i="5" s="1"/>
  <c r="B11" i="5"/>
  <c r="C10" i="5"/>
  <c r="F10" i="5" s="1"/>
  <c r="B10" i="5"/>
  <c r="C9" i="5"/>
  <c r="F9" i="5" s="1"/>
  <c r="B9" i="5"/>
  <c r="C8" i="5"/>
  <c r="F8" i="5" s="1"/>
  <c r="B8" i="5"/>
  <c r="C7" i="5"/>
  <c r="F7" i="5" s="1"/>
  <c r="B7" i="5"/>
  <c r="C6" i="5"/>
  <c r="B15" i="5" s="1"/>
  <c r="B6" i="5"/>
  <c r="B19" i="5" s="1"/>
  <c r="B19" i="3"/>
  <c r="B18" i="3"/>
  <c r="C16" i="3"/>
  <c r="B16" i="3"/>
  <c r="C15" i="3"/>
  <c r="B15" i="3"/>
  <c r="C14" i="3"/>
  <c r="B14" i="3"/>
  <c r="C13" i="3"/>
  <c r="B13" i="3"/>
  <c r="C12" i="3"/>
  <c r="B12" i="3"/>
  <c r="G9" i="3"/>
  <c r="C9" i="3"/>
  <c r="G8" i="3"/>
  <c r="C8" i="3"/>
  <c r="G7" i="3"/>
  <c r="C7" i="3"/>
  <c r="G6" i="3"/>
  <c r="C6" i="3"/>
  <c r="G5" i="3"/>
  <c r="C5" i="3"/>
  <c r="G4" i="3"/>
  <c r="C4" i="3"/>
  <c r="E37" i="2"/>
  <c r="D37" i="2"/>
  <c r="E36" i="2"/>
  <c r="D36" i="2"/>
  <c r="E35" i="2"/>
  <c r="D35" i="2"/>
  <c r="E34" i="2"/>
  <c r="D34" i="2"/>
  <c r="E33" i="2"/>
  <c r="D33" i="2"/>
  <c r="E28" i="2"/>
  <c r="F28" i="2" s="1"/>
  <c r="D28" i="2"/>
  <c r="D27" i="2"/>
  <c r="D26" i="2"/>
  <c r="E26" i="2" s="1"/>
  <c r="D25" i="2"/>
  <c r="E25" i="2" s="1"/>
  <c r="F25" i="2" s="1"/>
  <c r="E24" i="2"/>
  <c r="F24" i="2" s="1"/>
  <c r="D24" i="2"/>
  <c r="F19" i="2"/>
  <c r="E19" i="2"/>
  <c r="F18" i="2"/>
  <c r="E18" i="2"/>
  <c r="F17" i="2"/>
  <c r="E17" i="2"/>
  <c r="F16" i="2"/>
  <c r="E16" i="2"/>
  <c r="F15" i="2"/>
  <c r="E15" i="2"/>
  <c r="G10" i="2"/>
  <c r="F10" i="2"/>
  <c r="G9" i="2"/>
  <c r="F9" i="2"/>
  <c r="G8" i="2"/>
  <c r="F8" i="2"/>
  <c r="G7" i="2"/>
  <c r="F7" i="2"/>
  <c r="G6" i="2"/>
  <c r="F6" i="2"/>
  <c r="H8" i="10" l="1"/>
  <c r="H9" i="10"/>
  <c r="B32" i="10"/>
  <c r="D32" i="10" s="1"/>
  <c r="G17" i="10"/>
  <c r="C11" i="10"/>
  <c r="C33" i="10" s="1"/>
  <c r="D16" i="3"/>
  <c r="D14" i="3"/>
  <c r="F27" i="2"/>
  <c r="E27" i="2"/>
  <c r="D13" i="3"/>
  <c r="D12" i="3"/>
  <c r="F26" i="2"/>
  <c r="D15" i="3"/>
  <c r="B16" i="5"/>
  <c r="B20" i="5"/>
  <c r="G7" i="10"/>
  <c r="G8" i="10"/>
  <c r="G9" i="10"/>
  <c r="B13" i="10"/>
  <c r="B19" i="10"/>
  <c r="I18" i="10"/>
  <c r="E6" i="5"/>
  <c r="E7" i="5"/>
  <c r="E8" i="5"/>
  <c r="E9" i="5"/>
  <c r="E10" i="5"/>
  <c r="E11" i="5"/>
  <c r="B14" i="5"/>
  <c r="B18" i="5"/>
  <c r="B9" i="10"/>
  <c r="B10" i="10"/>
  <c r="D10" i="10" s="1"/>
  <c r="H10" i="10"/>
  <c r="B14" i="10"/>
  <c r="D14" i="10" s="1"/>
  <c r="H17" i="10"/>
  <c r="G18" i="10"/>
  <c r="G19" i="10" s="1"/>
  <c r="B21" i="10"/>
  <c r="D21" i="10" s="1"/>
  <c r="B26" i="10"/>
  <c r="B17" i="5"/>
  <c r="F6" i="5"/>
  <c r="B16" i="10"/>
  <c r="I17" i="10"/>
  <c r="H18" i="10"/>
  <c r="B23" i="10"/>
  <c r="B28" i="10"/>
  <c r="B30" i="10"/>
  <c r="D30" i="10" s="1"/>
  <c r="H11" i="10" l="1"/>
  <c r="I19" i="10"/>
  <c r="H19" i="10"/>
  <c r="D26" i="10"/>
  <c r="B25" i="10"/>
  <c r="D25" i="10" s="1"/>
  <c r="D23" i="10"/>
  <c r="B22" i="10"/>
  <c r="D22" i="10" s="1"/>
  <c r="B18" i="10"/>
  <c r="D18" i="10" s="1"/>
  <c r="D19" i="10"/>
  <c r="G11" i="10"/>
  <c r="D9" i="10"/>
  <c r="B8" i="10"/>
  <c r="D28" i="10"/>
  <c r="B27" i="10"/>
  <c r="D27" i="10" s="1"/>
  <c r="D16" i="10"/>
  <c r="B15" i="10"/>
  <c r="D15" i="10" s="1"/>
  <c r="B12" i="10"/>
  <c r="D13" i="10"/>
  <c r="B11" i="10" l="1"/>
  <c r="D11" i="10" s="1"/>
  <c r="D12" i="10"/>
  <c r="D8" i="10"/>
  <c r="D33" i="10" l="1"/>
  <c r="B33" i="10"/>
</calcChain>
</file>

<file path=xl/sharedStrings.xml><?xml version="1.0" encoding="utf-8"?>
<sst xmlns="http://schemas.openxmlformats.org/spreadsheetml/2006/main" count="1071" uniqueCount="265">
  <si>
    <t>RELATIVE REFERENCES</t>
  </si>
  <si>
    <t>(1)</t>
  </si>
  <si>
    <t>(2)</t>
  </si>
  <si>
    <t>(3)</t>
  </si>
  <si>
    <t>(4)</t>
  </si>
  <si>
    <t>(1)*(3)</t>
  </si>
  <si>
    <t>(2)*(4)</t>
  </si>
  <si>
    <t>Item</t>
  </si>
  <si>
    <t>Unit Cost</t>
  </si>
  <si>
    <t>Sell Price</t>
  </si>
  <si>
    <t>Qty Purchased</t>
  </si>
  <si>
    <t>Qty Sold</t>
  </si>
  <si>
    <t>COGS</t>
  </si>
  <si>
    <t>Revenue</t>
  </si>
  <si>
    <t>Water</t>
  </si>
  <si>
    <t>Soft Drink</t>
  </si>
  <si>
    <t>Milk</t>
  </si>
  <si>
    <t>Banana</t>
  </si>
  <si>
    <t>Cereal</t>
  </si>
  <si>
    <t>ABSOLUTE REFERENCES</t>
  </si>
  <si>
    <t>(1)*(2)</t>
  </si>
  <si>
    <t>Quantity</t>
  </si>
  <si>
    <t>Cost</t>
  </si>
  <si>
    <t>Tax rate (1)</t>
  </si>
  <si>
    <t>(4) = (2) * (3)</t>
  </si>
  <si>
    <t>(5) = (1)*(4)</t>
  </si>
  <si>
    <t>(4)+(5)</t>
  </si>
  <si>
    <t>Sales Tax</t>
  </si>
  <si>
    <t>Quantity (1)</t>
  </si>
  <si>
    <t>First Name</t>
  </si>
  <si>
    <t>Last Name</t>
  </si>
  <si>
    <t>First &amp; Last Name</t>
  </si>
  <si>
    <t>Gender</t>
  </si>
  <si>
    <t>Age</t>
  </si>
  <si>
    <t>Monthly Salary</t>
  </si>
  <si>
    <t>Annual Salary</t>
  </si>
  <si>
    <t>City</t>
  </si>
  <si>
    <t>State</t>
  </si>
  <si>
    <t>Rigoberto</t>
  </si>
  <si>
    <t>Montoya</t>
  </si>
  <si>
    <t>Male</t>
  </si>
  <si>
    <t>Valentine</t>
  </si>
  <si>
    <t>Ramirez</t>
  </si>
  <si>
    <t>Female</t>
  </si>
  <si>
    <t>Benedict</t>
  </si>
  <si>
    <t>Carney</t>
  </si>
  <si>
    <t>Lisa</t>
  </si>
  <si>
    <t>Villa</t>
  </si>
  <si>
    <t>Beverly</t>
  </si>
  <si>
    <t>Landry</t>
  </si>
  <si>
    <t>Raquel</t>
  </si>
  <si>
    <t>Pierce</t>
  </si>
  <si>
    <t>Total</t>
  </si>
  <si>
    <t>Average</t>
  </si>
  <si>
    <t>Max</t>
  </si>
  <si>
    <t>(5)</t>
  </si>
  <si>
    <t>Min</t>
  </si>
  <si>
    <t>(6)</t>
  </si>
  <si>
    <t>Median</t>
  </si>
  <si>
    <t>(7)</t>
  </si>
  <si>
    <t>Number of people</t>
  </si>
  <si>
    <t>(8)</t>
  </si>
  <si>
    <t>(9)</t>
  </si>
  <si>
    <t>ADVANCED FUNCTIONS</t>
  </si>
  <si>
    <t>True or False (3)</t>
  </si>
  <si>
    <t>Yes or No (2) + (4)</t>
  </si>
  <si>
    <t>Female and &gt;45</t>
  </si>
  <si>
    <t>Male or &lt;=45</t>
  </si>
  <si>
    <t>Rigoberto Montoya</t>
  </si>
  <si>
    <t>Valentine Ramirez</t>
  </si>
  <si>
    <t>Benedict Carney</t>
  </si>
  <si>
    <t>Lisa Villa</t>
  </si>
  <si>
    <t>Beverly Landry</t>
  </si>
  <si>
    <t>Raquel Pierce</t>
  </si>
  <si>
    <t>Melba Beasly</t>
  </si>
  <si>
    <t>Name</t>
  </si>
  <si>
    <t>Marital Status</t>
  </si>
  <si>
    <t>Number of females</t>
  </si>
  <si>
    <t>Married</t>
  </si>
  <si>
    <t>Number of individuals over 45</t>
  </si>
  <si>
    <t>Number of males of 45 or less</t>
  </si>
  <si>
    <t>Charlotte King</t>
  </si>
  <si>
    <t>Single</t>
  </si>
  <si>
    <t>Average age of females</t>
  </si>
  <si>
    <t>Clara Spencer</t>
  </si>
  <si>
    <t>Average males over 45 salaries</t>
  </si>
  <si>
    <t>Clarence Kirby</t>
  </si>
  <si>
    <t>Sum of females' salaries</t>
  </si>
  <si>
    <t>(10)</t>
  </si>
  <si>
    <t>Emery Reid</t>
  </si>
  <si>
    <t>Sum of females under 41 salaries</t>
  </si>
  <si>
    <t>(11)</t>
  </si>
  <si>
    <t>Ernest Vaughn</t>
  </si>
  <si>
    <t>Frances Camacho</t>
  </si>
  <si>
    <t>Horacio Fisher</t>
  </si>
  <si>
    <t>Jaime Compton</t>
  </si>
  <si>
    <t>Jed Bauer</t>
  </si>
  <si>
    <t>Martin Beasley</t>
  </si>
  <si>
    <t>Melba Buchanan</t>
  </si>
  <si>
    <t>Phyllis Jefferson</t>
  </si>
  <si>
    <t>Terra Greer</t>
  </si>
  <si>
    <t>Valarie Thornton</t>
  </si>
  <si>
    <t>FORMATTING &amp; SORTING</t>
  </si>
  <si>
    <t>Phone</t>
  </si>
  <si>
    <t>Education</t>
  </si>
  <si>
    <t>Number of Children</t>
  </si>
  <si>
    <t>Phoenix</t>
  </si>
  <si>
    <t>AZ</t>
  </si>
  <si>
    <t>Bachelor</t>
  </si>
  <si>
    <t>New York</t>
  </si>
  <si>
    <t>NY</t>
  </si>
  <si>
    <t>Lower secondary</t>
  </si>
  <si>
    <t>Miami</t>
  </si>
  <si>
    <t>FL</t>
  </si>
  <si>
    <t>Master</t>
  </si>
  <si>
    <t>San Francisco</t>
  </si>
  <si>
    <t>CA</t>
  </si>
  <si>
    <t>Los Angeles</t>
  </si>
  <si>
    <t>Primary</t>
  </si>
  <si>
    <t>Porltland</t>
  </si>
  <si>
    <t>OR</t>
  </si>
  <si>
    <t>Austin</t>
  </si>
  <si>
    <t>TX</t>
  </si>
  <si>
    <t>Chicago</t>
  </si>
  <si>
    <t>IL</t>
  </si>
  <si>
    <t>Doctoral</t>
  </si>
  <si>
    <t>Dallas</t>
  </si>
  <si>
    <t>Upper secondary</t>
  </si>
  <si>
    <t>Boston</t>
  </si>
  <si>
    <t>MA</t>
  </si>
  <si>
    <t>Washington</t>
  </si>
  <si>
    <t>DC</t>
  </si>
  <si>
    <t>Detroit</t>
  </si>
  <si>
    <t>MI</t>
  </si>
  <si>
    <t>Seatle</t>
  </si>
  <si>
    <t>WA</t>
  </si>
  <si>
    <t>Raleigh</t>
  </si>
  <si>
    <t>NC</t>
  </si>
  <si>
    <t>Athens</t>
  </si>
  <si>
    <t>GA</t>
  </si>
  <si>
    <t>Tampa</t>
  </si>
  <si>
    <t>Las Vegas</t>
  </si>
  <si>
    <t>NV</t>
  </si>
  <si>
    <t>Houston</t>
  </si>
  <si>
    <t>Month</t>
  </si>
  <si>
    <t>January 2018</t>
  </si>
  <si>
    <t>MONTHLY EXPENSES</t>
  </si>
  <si>
    <t>Owner</t>
  </si>
  <si>
    <t>Income</t>
  </si>
  <si>
    <t>Family</t>
  </si>
  <si>
    <t>Monthly Budget</t>
  </si>
  <si>
    <t>Difference</t>
  </si>
  <si>
    <t>Dad</t>
  </si>
  <si>
    <t>TOTAL INCOME</t>
  </si>
  <si>
    <t>Mom</t>
  </si>
  <si>
    <t>Paycheck</t>
  </si>
  <si>
    <t>Daughter</t>
  </si>
  <si>
    <t>Freelance</t>
  </si>
  <si>
    <t>TOTAL EXPENSES</t>
  </si>
  <si>
    <t>House</t>
  </si>
  <si>
    <t>Mortgage</t>
  </si>
  <si>
    <t>Home Improvements</t>
  </si>
  <si>
    <t>Bills</t>
  </si>
  <si>
    <t>Utilities</t>
  </si>
  <si>
    <t>Food</t>
  </si>
  <si>
    <t>Groceries</t>
  </si>
  <si>
    <t>Eating Out</t>
  </si>
  <si>
    <t>Coffee</t>
  </si>
  <si>
    <t>Vehicle</t>
  </si>
  <si>
    <t>Auto and Gas</t>
  </si>
  <si>
    <t>Parking</t>
  </si>
  <si>
    <t>Donations</t>
  </si>
  <si>
    <t>Charity</t>
  </si>
  <si>
    <t>Miscelaneous</t>
  </si>
  <si>
    <t>Travel</t>
  </si>
  <si>
    <t>Stuff</t>
  </si>
  <si>
    <t>Classes</t>
  </si>
  <si>
    <t>Gear and Clothing</t>
  </si>
  <si>
    <t>Subscriptions</t>
  </si>
  <si>
    <t>NET INCOME/SAVINGS</t>
  </si>
  <si>
    <t>Date</t>
  </si>
  <si>
    <t>Description</t>
  </si>
  <si>
    <t>Category</t>
  </si>
  <si>
    <t>Amount</t>
  </si>
  <si>
    <t>Account #</t>
  </si>
  <si>
    <t>Account</t>
  </si>
  <si>
    <t>Methow Conservancy</t>
  </si>
  <si>
    <t>xxxx3244</t>
  </si>
  <si>
    <t>Family Checking</t>
  </si>
  <si>
    <t>Zeitgeist Coffee, Seattle, WA</t>
  </si>
  <si>
    <t>xxxx1561</t>
  </si>
  <si>
    <t>xxxx1005</t>
  </si>
  <si>
    <t>Dad - American Express</t>
  </si>
  <si>
    <t>Shell Oil, Auto Fuel Dispenser</t>
  </si>
  <si>
    <t>xxxx3827</t>
  </si>
  <si>
    <t>Dad - Mastercard Credit Card</t>
  </si>
  <si>
    <t>Winthrop Mountain Sports Winthrop, WA</t>
  </si>
  <si>
    <t>xxxx3499</t>
  </si>
  <si>
    <t>xxxx5345</t>
  </si>
  <si>
    <t>Mom - Mastercard Credit Card</t>
  </si>
  <si>
    <t>Toyota of Seattle, Seattle, WA</t>
  </si>
  <si>
    <t>Daughter - Visa Credit Card</t>
  </si>
  <si>
    <t>Amazon.com</t>
  </si>
  <si>
    <t>xxxx2387</t>
  </si>
  <si>
    <t>Mom - Visa Credit Card</t>
  </si>
  <si>
    <t>Chase Bank Mortgage</t>
  </si>
  <si>
    <t>Dad - Visa Credit Card</t>
  </si>
  <si>
    <t>Audible</t>
  </si>
  <si>
    <t>Storyville Coffee, Seattle, WA</t>
  </si>
  <si>
    <t>Hank's Harvest Foodstwisp WA</t>
  </si>
  <si>
    <t>Ikea Seattle, Renton, WA</t>
  </si>
  <si>
    <t>Itunes.com</t>
  </si>
  <si>
    <t>Mazama Store, Mazama</t>
  </si>
  <si>
    <t>New York Times Digital</t>
  </si>
  <si>
    <t>Roadpost Usa</t>
  </si>
  <si>
    <t>Chevron Service Stn</t>
  </si>
  <si>
    <t>Texaco Service Stn</t>
  </si>
  <si>
    <t>Costco Gas, Burlington</t>
  </si>
  <si>
    <t>Dropbox</t>
  </si>
  <si>
    <t>Zoka Coffee Roa, Seattle, WA</t>
  </si>
  <si>
    <t>Okanogan County Energy, Winthrop, WA</t>
  </si>
  <si>
    <t>Alaska Air</t>
  </si>
  <si>
    <t>Seattle YMCA</t>
  </si>
  <si>
    <t>Trader Joe's #130, Seattle</t>
  </si>
  <si>
    <t>Tiller (tillerhq.com)</t>
  </si>
  <si>
    <t>Alaska Wilderness League</t>
  </si>
  <si>
    <t>Big Star Montessori</t>
  </si>
  <si>
    <t>PCC Natural Market - Issaquah WA</t>
  </si>
  <si>
    <t>Etsy</t>
  </si>
  <si>
    <t>Espresso Vivace Seattle, Seattle, WA</t>
  </si>
  <si>
    <t>The Essential Baking Co, Seattle, WA</t>
  </si>
  <si>
    <t>AT&amp;T</t>
  </si>
  <si>
    <t>Centurylink</t>
  </si>
  <si>
    <t>Portage Bay Cafe and Cate, Seattle, WA</t>
  </si>
  <si>
    <t>Whole Foods - Seattle WA</t>
  </si>
  <si>
    <t>REI, Store 11, Seattle</t>
  </si>
  <si>
    <t>Union Garage</t>
  </si>
  <si>
    <t>Evergreen Iga Market</t>
  </si>
  <si>
    <t>Glover Street Market</t>
  </si>
  <si>
    <t>Home Depot</t>
  </si>
  <si>
    <t>United Way</t>
  </si>
  <si>
    <t>Khan Academy</t>
  </si>
  <si>
    <t>North Valley Lumber</t>
  </si>
  <si>
    <t>December 2017</t>
  </si>
  <si>
    <t>EXPENSES BY FAMILY MEMBER</t>
  </si>
  <si>
    <t>Expense</t>
  </si>
  <si>
    <t>EXPENSES BY MONTH</t>
  </si>
  <si>
    <t>February 2018</t>
  </si>
  <si>
    <t>Expenses</t>
  </si>
  <si>
    <t>Net Income/Savings</t>
  </si>
  <si>
    <t>Actual</t>
  </si>
  <si>
    <t>Date Formatted</t>
  </si>
  <si>
    <t>Cost &amp; Revenue Calculation</t>
  </si>
  <si>
    <t>SALARY CALCULATION &amp; ANALYSIS</t>
  </si>
  <si>
    <t>Conditional Validation</t>
  </si>
  <si>
    <t>Conditional Forematting</t>
  </si>
  <si>
    <t>Age&gt;45= Highlighted in Red</t>
  </si>
  <si>
    <t xml:space="preserve"> Expense Model</t>
  </si>
  <si>
    <t>Pre-Tax Revenue</t>
  </si>
  <si>
    <t xml:space="preserve"> AZ</t>
  </si>
  <si>
    <t xml:space="preserve"> NY</t>
  </si>
  <si>
    <t xml:space="preserve"> FL</t>
  </si>
  <si>
    <t xml:space="preserve"> CA</t>
  </si>
  <si>
    <t xml:space="preserve"> OR</t>
  </si>
  <si>
    <t xml:space="preserve">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</si>
</sst>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[$R]#,##0"/>
    <numFmt numFmtId="167" formatCode="\(000\)\ 000\-000"/>
    <numFmt numFmtId="168" formatCode="mmmm\ yyyy"/>
    <numFmt numFmtId="169" formatCode="m/d/yyyy\ h:mm:ss"/>
    <numFmt numFmtId="170" formatCode="mmm&quot; &quot;yyyy"/>
  </numFmts>
  <fonts count="17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FFFF"/>
      <name val="Overpass"/>
    </font>
    <font>
      <b/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u/>
      <sz val="14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2E86DE"/>
        <bgColor rgb="FF2E86DE"/>
      </patternFill>
    </fill>
    <fill>
      <patternFill patternType="solid">
        <fgColor rgb="FFB7E1CD"/>
        <bgColor rgb="FFB7E1CD"/>
      </patternFill>
    </fill>
    <fill>
      <patternFill patternType="solid">
        <fgColor rgb="FFFEF8E3"/>
        <bgColor rgb="FFFEF8E3"/>
      </patternFill>
    </fill>
    <fill>
      <patternFill patternType="solid">
        <fgColor rgb="FFF9CB9C"/>
        <bgColor rgb="FFF9CB9C"/>
      </patternFill>
    </fill>
    <fill>
      <patternFill patternType="solid">
        <fgColor rgb="FFFFE6DD"/>
        <bgColor rgb="FFFFE6DD"/>
      </patternFill>
    </fill>
    <fill>
      <patternFill patternType="solid">
        <fgColor rgb="FFF6B26B"/>
        <bgColor rgb="FFF6B26B"/>
      </patternFill>
    </fill>
    <fill>
      <patternFill patternType="solid">
        <fgColor theme="4"/>
      </patternFill>
    </fill>
    <fill>
      <patternFill patternType="solid">
        <fgColor theme="6" tint="0.59999389629810485"/>
        <bgColor rgb="FFFFFF00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/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14" borderId="0" applyNumberFormat="0" applyBorder="0" applyAlignment="0" applyProtection="0"/>
    <xf numFmtId="0" fontId="1" fillId="17" borderId="0" applyNumberFormat="0" applyBorder="0" applyAlignment="0" applyProtection="0"/>
  </cellStyleXfs>
  <cellXfs count="113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quotePrefix="1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/>
    <xf numFmtId="0" fontId="2" fillId="0" borderId="0" xfId="0" applyFont="1" applyAlignment="1">
      <alignment horizontal="right"/>
    </xf>
    <xf numFmtId="0" fontId="6" fillId="0" borderId="0" xfId="0" applyFont="1"/>
    <xf numFmtId="0" fontId="2" fillId="3" borderId="0" xfId="0" applyFont="1" applyFill="1"/>
    <xf numFmtId="165" fontId="3" fillId="4" borderId="0" xfId="0" applyNumberFormat="1" applyFont="1" applyFill="1"/>
    <xf numFmtId="165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7" borderId="2" xfId="0" applyFont="1" applyFill="1" applyBorder="1"/>
    <xf numFmtId="1" fontId="3" fillId="7" borderId="2" xfId="0" applyNumberFormat="1" applyFont="1" applyFill="1" applyBorder="1"/>
    <xf numFmtId="166" fontId="3" fillId="7" borderId="2" xfId="0" applyNumberFormat="1" applyFont="1" applyFill="1" applyBorder="1"/>
    <xf numFmtId="167" fontId="3" fillId="7" borderId="2" xfId="0" applyNumberFormat="1" applyFont="1" applyFill="1" applyBorder="1"/>
    <xf numFmtId="0" fontId="3" fillId="4" borderId="2" xfId="0" applyFont="1" applyFill="1" applyBorder="1"/>
    <xf numFmtId="166" fontId="0" fillId="4" borderId="2" xfId="0" applyNumberFormat="1" applyFont="1" applyFill="1" applyBorder="1" applyAlignment="1"/>
    <xf numFmtId="166" fontId="3" fillId="4" borderId="2" xfId="0" applyNumberFormat="1" applyFont="1" applyFill="1" applyBorder="1"/>
    <xf numFmtId="167" fontId="3" fillId="4" borderId="2" xfId="0" applyNumberFormat="1" applyFont="1" applyFill="1" applyBorder="1"/>
    <xf numFmtId="0" fontId="8" fillId="7" borderId="1" xfId="0" applyFont="1" applyFill="1" applyBorder="1"/>
    <xf numFmtId="0" fontId="8" fillId="7" borderId="3" xfId="0" applyFont="1" applyFill="1" applyBorder="1"/>
    <xf numFmtId="0" fontId="2" fillId="0" borderId="7" xfId="0" applyFont="1" applyBorder="1" applyAlignment="1">
      <alignment horizontal="center"/>
    </xf>
    <xf numFmtId="0" fontId="2" fillId="9" borderId="7" xfId="0" applyFont="1" applyFill="1" applyBorder="1"/>
    <xf numFmtId="44" fontId="2" fillId="9" borderId="7" xfId="0" applyNumberFormat="1" applyFont="1" applyFill="1" applyBorder="1"/>
    <xf numFmtId="0" fontId="5" fillId="0" borderId="15" xfId="0" applyFont="1" applyBorder="1" applyAlignment="1">
      <alignment horizontal="right"/>
    </xf>
    <xf numFmtId="44" fontId="5" fillId="0" borderId="15" xfId="0" applyNumberFormat="1" applyFont="1" applyBorder="1"/>
    <xf numFmtId="44" fontId="5" fillId="10" borderId="16" xfId="0" applyNumberFormat="1" applyFont="1" applyFill="1" applyBorder="1"/>
    <xf numFmtId="0" fontId="5" fillId="0" borderId="17" xfId="0" applyFont="1" applyBorder="1" applyAlignment="1">
      <alignment horizontal="right"/>
    </xf>
    <xf numFmtId="44" fontId="5" fillId="0" borderId="17" xfId="0" applyNumberFormat="1" applyFont="1" applyBorder="1"/>
    <xf numFmtId="44" fontId="5" fillId="10" borderId="17" xfId="0" applyNumberFormat="1" applyFont="1" applyFill="1" applyBorder="1"/>
    <xf numFmtId="0" fontId="2" fillId="11" borderId="7" xfId="0" applyFont="1" applyFill="1" applyBorder="1"/>
    <xf numFmtId="44" fontId="2" fillId="11" borderId="7" xfId="0" applyNumberFormat="1" applyFont="1" applyFill="1" applyBorder="1"/>
    <xf numFmtId="0" fontId="10" fillId="12" borderId="7" xfId="0" applyFont="1" applyFill="1" applyBorder="1"/>
    <xf numFmtId="44" fontId="2" fillId="12" borderId="7" xfId="0" applyNumberFormat="1" applyFont="1" applyFill="1" applyBorder="1"/>
    <xf numFmtId="0" fontId="5" fillId="0" borderId="18" xfId="0" applyFont="1" applyBorder="1" applyAlignment="1">
      <alignment horizontal="right"/>
    </xf>
    <xf numFmtId="44" fontId="5" fillId="0" borderId="18" xfId="0" applyNumberFormat="1" applyFont="1" applyBorder="1"/>
    <xf numFmtId="44" fontId="5" fillId="10" borderId="19" xfId="0" applyNumberFormat="1" applyFont="1" applyFill="1" applyBorder="1"/>
    <xf numFmtId="0" fontId="2" fillId="12" borderId="7" xfId="0" applyFont="1" applyFill="1" applyBorder="1"/>
    <xf numFmtId="0" fontId="5" fillId="0" borderId="20" xfId="0" applyFont="1" applyBorder="1" applyAlignment="1">
      <alignment horizontal="right"/>
    </xf>
    <xf numFmtId="44" fontId="5" fillId="0" borderId="20" xfId="0" applyNumberFormat="1" applyFont="1" applyBorder="1"/>
    <xf numFmtId="44" fontId="5" fillId="10" borderId="20" xfId="0" applyNumberFormat="1" applyFont="1" applyFill="1" applyBorder="1"/>
    <xf numFmtId="0" fontId="5" fillId="0" borderId="10" xfId="0" applyFont="1" applyBorder="1" applyAlignment="1">
      <alignment horizontal="right"/>
    </xf>
    <xf numFmtId="44" fontId="5" fillId="0" borderId="10" xfId="0" applyNumberFormat="1" applyFont="1" applyBorder="1"/>
    <xf numFmtId="44" fontId="5" fillId="10" borderId="21" xfId="0" applyNumberFormat="1" applyFont="1" applyFill="1" applyBorder="1"/>
    <xf numFmtId="0" fontId="2" fillId="13" borderId="7" xfId="0" applyFont="1" applyFill="1" applyBorder="1"/>
    <xf numFmtId="44" fontId="2" fillId="13" borderId="7" xfId="0" applyNumberFormat="1" applyFont="1" applyFill="1" applyBorder="1"/>
    <xf numFmtId="49" fontId="9" fillId="8" borderId="1" xfId="0" quotePrefix="1" applyNumberFormat="1" applyFont="1" applyFill="1" applyBorder="1" applyAlignment="1">
      <alignment horizontal="center"/>
    </xf>
    <xf numFmtId="0" fontId="9" fillId="8" borderId="1" xfId="0" applyFont="1" applyFill="1" applyBorder="1"/>
    <xf numFmtId="164" fontId="9" fillId="8" borderId="1" xfId="0" applyNumberFormat="1" applyFont="1" applyFill="1" applyBorder="1" applyAlignment="1">
      <alignment horizontal="center"/>
    </xf>
    <xf numFmtId="164" fontId="9" fillId="8" borderId="1" xfId="0" applyNumberFormat="1" applyFont="1" applyFill="1" applyBorder="1"/>
    <xf numFmtId="14" fontId="3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8" fontId="2" fillId="0" borderId="0" xfId="0" applyNumberFormat="1" applyFont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169" fontId="9" fillId="8" borderId="1" xfId="0" applyNumberFormat="1" applyFont="1" applyFill="1" applyBorder="1" applyAlignment="1">
      <alignment horizontal="center"/>
    </xf>
    <xf numFmtId="0" fontId="9" fillId="8" borderId="0" xfId="0" applyFont="1" applyFill="1"/>
    <xf numFmtId="170" fontId="3" fillId="0" borderId="0" xfId="0" applyNumberFormat="1" applyFont="1"/>
    <xf numFmtId="0" fontId="0" fillId="0" borderId="0" xfId="0" applyFont="1" applyAlignment="1"/>
    <xf numFmtId="0" fontId="0" fillId="0" borderId="0" xfId="0" applyFont="1" applyAlignment="1"/>
    <xf numFmtId="0" fontId="0" fillId="0" borderId="22" xfId="0" applyFont="1" applyBorder="1" applyAlignment="1"/>
    <xf numFmtId="0" fontId="2" fillId="0" borderId="22" xfId="0" applyFont="1" applyBorder="1"/>
    <xf numFmtId="0" fontId="2" fillId="3" borderId="22" xfId="0" applyFont="1" applyFill="1" applyBorder="1" applyAlignment="1">
      <alignment horizontal="center"/>
    </xf>
    <xf numFmtId="0" fontId="3" fillId="4" borderId="22" xfId="0" applyFont="1" applyFill="1" applyBorder="1"/>
    <xf numFmtId="164" fontId="3" fillId="4" borderId="22" xfId="0" applyNumberFormat="1" applyFont="1" applyFill="1" applyBorder="1"/>
    <xf numFmtId="0" fontId="3" fillId="4" borderId="22" xfId="0" applyFont="1" applyFill="1" applyBorder="1" applyAlignment="1">
      <alignment horizontal="center"/>
    </xf>
    <xf numFmtId="0" fontId="3" fillId="15" borderId="22" xfId="0" applyFont="1" applyFill="1" applyBorder="1" applyAlignment="1">
      <alignment horizontal="center"/>
    </xf>
    <xf numFmtId="0" fontId="3" fillId="0" borderId="22" xfId="0" applyFont="1" applyBorder="1"/>
    <xf numFmtId="164" fontId="3" fillId="0" borderId="22" xfId="0" applyNumberFormat="1" applyFont="1" applyBorder="1"/>
    <xf numFmtId="0" fontId="3" fillId="0" borderId="22" xfId="0" applyFont="1" applyBorder="1" applyAlignment="1">
      <alignment horizontal="center"/>
    </xf>
    <xf numFmtId="164" fontId="3" fillId="4" borderId="22" xfId="0" applyNumberFormat="1" applyFont="1" applyFill="1" applyBorder="1" applyAlignment="1">
      <alignment horizontal="right"/>
    </xf>
    <xf numFmtId="164" fontId="3" fillId="0" borderId="22" xfId="0" applyNumberFormat="1" applyFont="1" applyBorder="1" applyAlignment="1">
      <alignment horizontal="right"/>
    </xf>
    <xf numFmtId="9" fontId="2" fillId="5" borderId="22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3" borderId="22" xfId="0" applyFont="1" applyFill="1" applyBorder="1"/>
    <xf numFmtId="0" fontId="3" fillId="15" borderId="22" xfId="0" applyFont="1" applyFill="1" applyBorder="1"/>
    <xf numFmtId="165" fontId="3" fillId="4" borderId="22" xfId="0" applyNumberFormat="1" applyFont="1" applyFill="1" applyBorder="1"/>
    <xf numFmtId="165" fontId="3" fillId="15" borderId="22" xfId="0" applyNumberFormat="1" applyFont="1" applyFill="1" applyBorder="1"/>
    <xf numFmtId="165" fontId="3" fillId="0" borderId="22" xfId="0" applyNumberFormat="1" applyFont="1" applyBorder="1"/>
    <xf numFmtId="0" fontId="2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right"/>
    </xf>
    <xf numFmtId="0" fontId="7" fillId="15" borderId="0" xfId="0" applyFont="1" applyFill="1"/>
    <xf numFmtId="0" fontId="7" fillId="15" borderId="0" xfId="0" applyFont="1" applyFill="1" applyAlignment="1">
      <alignment horizontal="center"/>
    </xf>
    <xf numFmtId="165" fontId="7" fillId="15" borderId="0" xfId="0" applyNumberFormat="1" applyFont="1" applyFill="1"/>
    <xf numFmtId="0" fontId="2" fillId="3" borderId="4" xfId="0" applyFont="1" applyFill="1" applyBorder="1" applyAlignment="1">
      <alignment horizontal="center"/>
    </xf>
    <xf numFmtId="0" fontId="1" fillId="18" borderId="22" xfId="2" applyFill="1" applyBorder="1" applyAlignment="1"/>
    <xf numFmtId="0" fontId="11" fillId="0" borderId="22" xfId="0" applyFont="1" applyBorder="1" applyAlignment="1"/>
    <xf numFmtId="0" fontId="12" fillId="16" borderId="0" xfId="1" applyFont="1" applyFill="1" applyAlignment="1">
      <alignment horizontal="center" vertical="center"/>
    </xf>
    <xf numFmtId="0" fontId="14" fillId="16" borderId="0" xfId="0" applyFont="1" applyFill="1" applyAlignment="1">
      <alignment horizontal="center"/>
    </xf>
    <xf numFmtId="0" fontId="1" fillId="17" borderId="0" xfId="2" applyAlignment="1">
      <alignment horizontal="center"/>
    </xf>
    <xf numFmtId="0" fontId="15" fillId="16" borderId="5" xfId="0" applyFont="1" applyFill="1" applyBorder="1" applyAlignment="1">
      <alignment horizontal="center"/>
    </xf>
    <xf numFmtId="0" fontId="3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44" fontId="3" fillId="0" borderId="5" xfId="0" applyNumberFormat="1" applyFont="1" applyBorder="1"/>
    <xf numFmtId="44" fontId="2" fillId="0" borderId="5" xfId="0" applyNumberFormat="1" applyFont="1" applyBorder="1"/>
    <xf numFmtId="0" fontId="2" fillId="0" borderId="5" xfId="0" quotePrefix="1" applyFont="1" applyBorder="1"/>
    <xf numFmtId="0" fontId="16" fillId="16" borderId="0" xfId="0" applyFont="1" applyFill="1"/>
  </cellXfs>
  <cellStyles count="3">
    <cellStyle name="60% - Accent2" xfId="2" builtinId="36"/>
    <cellStyle name="Accent1" xfId="1" builtinId="29"/>
    <cellStyle name="Normal" xfId="0" builtinId="0"/>
  </cellStyles>
  <dxfs count="30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</dxf>
    <dxf>
      <font>
        <b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2E8F1"/>
          <bgColor rgb="FFA2E8F1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2E8F1"/>
          <bgColor rgb="FFA2E8F1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6">
    <tableStyle name="Task 7a Analyse your expenses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Task 7a Analyse your expenses-style 2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Task 8 Basic charts-style" pivot="0" count="4" xr9:uid="{00000000-0011-0000-FFFF-FFFF02000000}">
      <tableStyleElement type="headerRow" dxfId="23"/>
      <tableStyleElement type="totalRow" dxfId="22"/>
      <tableStyleElement type="firstRowStripe" dxfId="21"/>
      <tableStyleElement type="secondRowStripe" dxfId="20"/>
    </tableStyle>
    <tableStyle name="Task 8 Basic charts-style 2" pivot="0" count="4" xr9:uid="{00000000-0011-0000-FFFF-FFFF03000000}">
      <tableStyleElement type="headerRow" dxfId="19"/>
      <tableStyleElement type="totalRow" dxfId="18"/>
      <tableStyleElement type="firstRowStripe" dxfId="17"/>
      <tableStyleElement type="secondRowStripe" dxfId="16"/>
    </tableStyle>
    <tableStyle name="Task 7 &amp; 8 Solution example-style" pivot="0" count="4" xr9:uid="{00000000-0011-0000-FFFF-FFFF04000000}">
      <tableStyleElement type="headerRow" dxfId="15"/>
      <tableStyleElement type="totalRow" dxfId="14"/>
      <tableStyleElement type="firstRowStripe" dxfId="13"/>
      <tableStyleElement type="secondRowStripe" dxfId="12"/>
    </tableStyle>
    <tableStyle name="Task 7 &amp; 8 Solution example-style 2" pivot="0" count="4" xr9:uid="{00000000-0011-0000-FFFF-FFFF05000000}">
      <tableStyleElement type="headerRow" dxfId="11"/>
      <tableStyleElement type="total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Income and Expense by Family Member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 Expense Model'!$F$7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Expense Model'!$G$6:$H$6</c:f>
              <c:strCache>
                <c:ptCount val="2"/>
                <c:pt idx="0">
                  <c:v>Income</c:v>
                </c:pt>
                <c:pt idx="1">
                  <c:v>Expense</c:v>
                </c:pt>
              </c:strCache>
            </c:strRef>
          </c:cat>
          <c:val>
            <c:numRef>
              <c:f>' Expense Model'!$G$7:$H$7</c:f>
              <c:numCache>
                <c:formatCode>_("$"* #,##0.00_);_("$"* \(#,##0.00\);_("$"* "-"??_);_(@_)</c:formatCode>
                <c:ptCount val="2"/>
                <c:pt idx="0">
                  <c:v>6467</c:v>
                </c:pt>
                <c:pt idx="1">
                  <c:v>3043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6945-4C2E-B563-208513D33060}"/>
            </c:ext>
          </c:extLst>
        </c:ser>
        <c:ser>
          <c:idx val="1"/>
          <c:order val="1"/>
          <c:tx>
            <c:strRef>
              <c:f>' Expense Model'!$F$8</c:f>
              <c:strCache>
                <c:ptCount val="1"/>
                <c:pt idx="0">
                  <c:v>Dad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Expense Model'!$G$6:$H$6</c:f>
              <c:strCache>
                <c:ptCount val="2"/>
                <c:pt idx="0">
                  <c:v>Income</c:v>
                </c:pt>
                <c:pt idx="1">
                  <c:v>Expense</c:v>
                </c:pt>
              </c:strCache>
            </c:strRef>
          </c:cat>
          <c:val>
            <c:numRef>
              <c:f>' Expense Model'!$G$8:$H$8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1811.4577822356655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6945-4C2E-B563-208513D33060}"/>
            </c:ext>
          </c:extLst>
        </c:ser>
        <c:ser>
          <c:idx val="2"/>
          <c:order val="2"/>
          <c:tx>
            <c:strRef>
              <c:f>' Expense Model'!$F$9</c:f>
              <c:strCache>
                <c:ptCount val="1"/>
                <c:pt idx="0">
                  <c:v>Mom</c:v>
                </c:pt>
              </c:strCache>
            </c:strRef>
          </c:tx>
          <c:spPr>
            <a:solidFill>
              <a:srgbClr val="FBBC04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Expense Model'!$G$6:$H$6</c:f>
              <c:strCache>
                <c:ptCount val="2"/>
                <c:pt idx="0">
                  <c:v>Income</c:v>
                </c:pt>
                <c:pt idx="1">
                  <c:v>Expense</c:v>
                </c:pt>
              </c:strCache>
            </c:strRef>
          </c:cat>
          <c:val>
            <c:numRef>
              <c:f>' Expense Model'!$G$9:$H$9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1304.71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6945-4C2E-B563-208513D33060}"/>
            </c:ext>
          </c:extLst>
        </c:ser>
        <c:ser>
          <c:idx val="3"/>
          <c:order val="3"/>
          <c:tx>
            <c:strRef>
              <c:f>' Expense Model'!$F$10</c:f>
              <c:strCache>
                <c:ptCount val="1"/>
                <c:pt idx="0">
                  <c:v>Daughter</c:v>
                </c:pt>
              </c:strCache>
            </c:strRef>
          </c:tx>
          <c:spPr>
            <a:solidFill>
              <a:srgbClr val="34A853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Expense Model'!$G$6:$H$6</c:f>
              <c:strCache>
                <c:ptCount val="2"/>
                <c:pt idx="0">
                  <c:v>Income</c:v>
                </c:pt>
                <c:pt idx="1">
                  <c:v>Expense</c:v>
                </c:pt>
              </c:strCache>
            </c:strRef>
          </c:cat>
          <c:val>
            <c:numRef>
              <c:f>' Expense Model'!$G$10:$H$10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174.27495445493372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6945-4C2E-B563-208513D3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2561481"/>
        <c:axId val="1812446931"/>
      </c:barChart>
      <c:catAx>
        <c:axId val="2072561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2446931"/>
        <c:crosses val="autoZero"/>
        <c:auto val="1"/>
        <c:lblAlgn val="ctr"/>
        <c:lblOffset val="100"/>
        <c:noMultiLvlLbl val="1"/>
      </c:catAx>
      <c:valAx>
        <c:axId val="1812446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25614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Income and Expenses by Month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 Expense Model'!$F$16</c:f>
              <c:strCache>
                <c:ptCount val="1"/>
              </c:strCache>
            </c:strRef>
          </c:tx>
          <c:spPr>
            <a:solidFill>
              <a:srgbClr val="4285F4"/>
            </a:solidFill>
          </c:spPr>
          <c:invertIfNegative val="1"/>
          <c:val>
            <c:numRef>
              <c:f>' Expense Model'!$G$16:$I$16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034-4164-8F15-F6959FFEAA5A}"/>
            </c:ext>
          </c:extLst>
        </c:ser>
        <c:ser>
          <c:idx val="1"/>
          <c:order val="1"/>
          <c:tx>
            <c:strRef>
              <c:f>' Expense Model'!$F$17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rgbClr val="EA4335"/>
            </a:solidFill>
          </c:spPr>
          <c:invertIfNegative val="1"/>
          <c:val>
            <c:numRef>
              <c:f>' Expense Model'!$G$17:$I$17</c:f>
              <c:numCache>
                <c:formatCode>_("$"* #,##0.00_);_("$"* \(#,##0.00\);_("$"* "-"??_);_(@_)</c:formatCode>
                <c:ptCount val="3"/>
                <c:pt idx="0">
                  <c:v>6197.587855184428</c:v>
                </c:pt>
                <c:pt idx="1">
                  <c:v>6467</c:v>
                </c:pt>
                <c:pt idx="2">
                  <c:v>5544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034-4164-8F15-F6959FFEAA5A}"/>
            </c:ext>
          </c:extLst>
        </c:ser>
        <c:ser>
          <c:idx val="2"/>
          <c:order val="2"/>
          <c:tx>
            <c:strRef>
              <c:f>' Expense Model'!$F$18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rgbClr val="FBBC04"/>
            </a:solidFill>
          </c:spPr>
          <c:invertIfNegative val="1"/>
          <c:val>
            <c:numRef>
              <c:f>' Expense Model'!$G$18:$I$18</c:f>
              <c:numCache>
                <c:formatCode>_("$"* #,##0.00_);_("$"* \(#,##0.00\);_("$"* "-"??_);_(@_)</c:formatCode>
                <c:ptCount val="3"/>
                <c:pt idx="0">
                  <c:v>5257.1023498064096</c:v>
                </c:pt>
                <c:pt idx="1">
                  <c:v>6333.4427366906002</c:v>
                </c:pt>
                <c:pt idx="2">
                  <c:v>5978.7029084571868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034-4164-8F15-F6959FFEAA5A}"/>
            </c:ext>
          </c:extLst>
        </c:ser>
        <c:ser>
          <c:idx val="3"/>
          <c:order val="3"/>
          <c:tx>
            <c:strRef>
              <c:f>' Expense Model'!$F$19</c:f>
              <c:strCache>
                <c:ptCount val="1"/>
                <c:pt idx="0">
                  <c:v>Net Income/Savings</c:v>
                </c:pt>
              </c:strCache>
            </c:strRef>
          </c:tx>
          <c:invertIfNegative val="0"/>
          <c:val>
            <c:numRef>
              <c:f>' Expense Model'!$G$19:$I$19</c:f>
              <c:numCache>
                <c:formatCode>_("$"* #,##0.00_);_("$"* \(#,##0.00\);_("$"* "-"??_);_(@_)</c:formatCode>
                <c:ptCount val="3"/>
                <c:pt idx="0">
                  <c:v>940.48550537801839</c:v>
                </c:pt>
                <c:pt idx="1">
                  <c:v>133.55726330939979</c:v>
                </c:pt>
                <c:pt idx="2">
                  <c:v>-434.70290845718682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34-4164-8F15-F6959FFEA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606668"/>
        <c:axId val="1604134819"/>
      </c:barChart>
      <c:catAx>
        <c:axId val="1149606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4134819"/>
        <c:crosses val="autoZero"/>
        <c:auto val="1"/>
        <c:lblAlgn val="ctr"/>
        <c:lblOffset val="100"/>
        <c:tickLblSkip val="1"/>
        <c:noMultiLvlLbl val="1"/>
      </c:catAx>
      <c:valAx>
        <c:axId val="1604134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96066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247650</xdr:colOff>
      <xdr:row>2</xdr:row>
      <xdr:rowOff>85725</xdr:rowOff>
    </xdr:from>
    <xdr:ext cx="4724400" cy="29241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247650</xdr:colOff>
      <xdr:row>17</xdr:row>
      <xdr:rowOff>161925</xdr:rowOff>
    </xdr:from>
    <xdr:ext cx="4724400" cy="29241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6:H11" headerRowCount="0" tableBorderDxfId="1">
  <tableColumns count="3">
    <tableColumn id="1" xr3:uid="{00000000-0010-0000-0400-000001000000}" name="Column1"/>
    <tableColumn id="2" xr3:uid="{00000000-0010-0000-0400-000002000000}" name="Column2"/>
    <tableColumn id="3" xr3:uid="{00000000-0010-0000-0400-000003000000}" name="Column3"/>
  </tableColumns>
  <tableStyleInfo name="Task 7 &amp; 8 Solution exampl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F16:I19" headerRowCount="0" tableBorderDxfId="0">
  <tableColumns count="4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</tableColumns>
  <tableStyleInfo name="Task 7 &amp; 8 Solution example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outlinePr summaryBelow="0" summaryRight="0"/>
  </sheetPr>
  <dimension ref="A1:J1000"/>
  <sheetViews>
    <sheetView tabSelected="1" workbookViewId="0">
      <selection activeCell="C21" sqref="C21"/>
    </sheetView>
  </sheetViews>
  <sheetFormatPr defaultColWidth="14.42578125" defaultRowHeight="15" customHeight="1"/>
  <cols>
    <col min="1" max="1" width="14.42578125" customWidth="1"/>
    <col min="2" max="2" width="13.28515625" customWidth="1"/>
    <col min="3" max="3" width="15.85546875" customWidth="1"/>
    <col min="4" max="4" width="13.42578125" customWidth="1"/>
    <col min="5" max="6" width="14.42578125" customWidth="1"/>
  </cols>
  <sheetData>
    <row r="1" spans="1:10" ht="15.75" customHeight="1">
      <c r="A1" s="102" t="s">
        <v>252</v>
      </c>
      <c r="B1" s="102"/>
      <c r="C1" s="102"/>
    </row>
    <row r="2" spans="1:10" ht="15.75" customHeight="1"/>
    <row r="3" spans="1:10" ht="15.75" customHeight="1">
      <c r="A3" s="1" t="s">
        <v>0</v>
      </c>
    </row>
    <row r="4" spans="1:10" ht="15.75" customHeight="1">
      <c r="B4" s="6" t="s">
        <v>1</v>
      </c>
      <c r="C4" s="6" t="s">
        <v>2</v>
      </c>
      <c r="D4" s="6" t="s">
        <v>3</v>
      </c>
      <c r="E4" s="6" t="s">
        <v>4</v>
      </c>
      <c r="F4" s="5" t="s">
        <v>5</v>
      </c>
      <c r="G4" s="5" t="s">
        <v>6</v>
      </c>
    </row>
    <row r="5" spans="1:10" ht="15.75" customHeight="1">
      <c r="A5" s="77" t="s">
        <v>7</v>
      </c>
      <c r="B5" s="77" t="s">
        <v>8</v>
      </c>
      <c r="C5" s="77" t="s">
        <v>9</v>
      </c>
      <c r="D5" s="77" t="s">
        <v>10</v>
      </c>
      <c r="E5" s="77" t="s">
        <v>11</v>
      </c>
      <c r="F5" s="77" t="s">
        <v>12</v>
      </c>
      <c r="G5" s="77" t="s">
        <v>13</v>
      </c>
    </row>
    <row r="6" spans="1:10" ht="15.75" customHeight="1">
      <c r="A6" s="78" t="s">
        <v>14</v>
      </c>
      <c r="B6" s="79">
        <v>0.3</v>
      </c>
      <c r="C6" s="79">
        <v>1</v>
      </c>
      <c r="D6" s="80">
        <v>20</v>
      </c>
      <c r="E6" s="80">
        <v>18</v>
      </c>
      <c r="F6" s="81">
        <f t="shared" ref="F6:G6" si="0">B6*D6</f>
        <v>6</v>
      </c>
      <c r="G6" s="81">
        <f t="shared" si="0"/>
        <v>18</v>
      </c>
    </row>
    <row r="7" spans="1:10" ht="15.75" customHeight="1">
      <c r="A7" s="82" t="s">
        <v>15</v>
      </c>
      <c r="B7" s="83">
        <v>0.5</v>
      </c>
      <c r="C7" s="83">
        <v>1.5</v>
      </c>
      <c r="D7" s="84">
        <v>30</v>
      </c>
      <c r="E7" s="84">
        <v>23</v>
      </c>
      <c r="F7" s="81">
        <f t="shared" ref="F7:G7" si="1">B7*D7</f>
        <v>15</v>
      </c>
      <c r="G7" s="81">
        <f t="shared" si="1"/>
        <v>34.5</v>
      </c>
    </row>
    <row r="8" spans="1:10" ht="15.75" customHeight="1">
      <c r="A8" s="78" t="s">
        <v>16</v>
      </c>
      <c r="B8" s="79">
        <v>0.7</v>
      </c>
      <c r="C8" s="79">
        <v>2.99</v>
      </c>
      <c r="D8" s="80">
        <v>10</v>
      </c>
      <c r="E8" s="80">
        <v>8</v>
      </c>
      <c r="F8" s="81">
        <f t="shared" ref="F8:G8" si="2">B8*D8</f>
        <v>7</v>
      </c>
      <c r="G8" s="81">
        <f t="shared" si="2"/>
        <v>23.92</v>
      </c>
    </row>
    <row r="9" spans="1:10" ht="15.75" customHeight="1">
      <c r="A9" s="82" t="s">
        <v>17</v>
      </c>
      <c r="B9" s="83">
        <v>0.1</v>
      </c>
      <c r="C9" s="83">
        <v>0.5</v>
      </c>
      <c r="D9" s="84">
        <v>12</v>
      </c>
      <c r="E9" s="84">
        <v>10</v>
      </c>
      <c r="F9" s="81">
        <f t="shared" ref="F9:G9" si="3">B9*D9</f>
        <v>1.2000000000000002</v>
      </c>
      <c r="G9" s="81">
        <f t="shared" si="3"/>
        <v>5</v>
      </c>
    </row>
    <row r="10" spans="1:10" ht="15.75" customHeight="1">
      <c r="A10" s="78" t="s">
        <v>18</v>
      </c>
      <c r="B10" s="79">
        <v>2.1</v>
      </c>
      <c r="C10" s="79">
        <v>6.99</v>
      </c>
      <c r="D10" s="80">
        <v>15</v>
      </c>
      <c r="E10" s="80">
        <v>9</v>
      </c>
      <c r="F10" s="81">
        <f t="shared" ref="F10:G10" si="4">B10*D10</f>
        <v>31.5</v>
      </c>
      <c r="G10" s="81">
        <f t="shared" si="4"/>
        <v>62.910000000000004</v>
      </c>
      <c r="J10" s="73"/>
    </row>
    <row r="11" spans="1:10" ht="15.75" customHeight="1"/>
    <row r="12" spans="1:10" ht="15.75" customHeight="1">
      <c r="A12" s="1" t="s">
        <v>19</v>
      </c>
    </row>
    <row r="13" spans="1:10" ht="15.75" customHeight="1">
      <c r="B13" s="6" t="s">
        <v>1</v>
      </c>
      <c r="C13" s="6" t="s">
        <v>2</v>
      </c>
      <c r="D13" s="6" t="s">
        <v>3</v>
      </c>
      <c r="E13" s="5" t="s">
        <v>20</v>
      </c>
      <c r="F13" s="5" t="s">
        <v>5</v>
      </c>
    </row>
    <row r="14" spans="1:10" ht="15.75" customHeight="1">
      <c r="A14" s="77" t="s">
        <v>7</v>
      </c>
      <c r="B14" s="77" t="s">
        <v>21</v>
      </c>
      <c r="C14" s="77" t="s">
        <v>22</v>
      </c>
      <c r="D14" s="77" t="s">
        <v>9</v>
      </c>
      <c r="E14" s="77" t="s">
        <v>12</v>
      </c>
      <c r="F14" s="77" t="s">
        <v>13</v>
      </c>
    </row>
    <row r="15" spans="1:10" ht="15.75" customHeight="1">
      <c r="A15" s="78" t="s">
        <v>14</v>
      </c>
      <c r="B15" s="80">
        <v>20</v>
      </c>
      <c r="C15" s="79">
        <v>0.3</v>
      </c>
      <c r="D15" s="79">
        <v>1</v>
      </c>
      <c r="E15" s="81">
        <f t="shared" ref="E15:F15" si="5">$B15*C15</f>
        <v>6</v>
      </c>
      <c r="F15" s="81">
        <f t="shared" si="5"/>
        <v>20</v>
      </c>
    </row>
    <row r="16" spans="1:10" ht="15.75" customHeight="1">
      <c r="A16" s="82" t="s">
        <v>15</v>
      </c>
      <c r="B16" s="84">
        <v>30</v>
      </c>
      <c r="C16" s="83">
        <v>0.5</v>
      </c>
      <c r="D16" s="83">
        <v>1.5</v>
      </c>
      <c r="E16" s="81">
        <f t="shared" ref="E16:F16" si="6">$B16*C16</f>
        <v>15</v>
      </c>
      <c r="F16" s="81">
        <f t="shared" si="6"/>
        <v>45</v>
      </c>
    </row>
    <row r="17" spans="1:6" ht="15.75" customHeight="1">
      <c r="A17" s="78" t="s">
        <v>16</v>
      </c>
      <c r="B17" s="80">
        <v>10</v>
      </c>
      <c r="C17" s="79">
        <v>0.7</v>
      </c>
      <c r="D17" s="79">
        <v>2.99</v>
      </c>
      <c r="E17" s="81">
        <f t="shared" ref="E17:F17" si="7">$B17*C17</f>
        <v>7</v>
      </c>
      <c r="F17" s="81">
        <f t="shared" si="7"/>
        <v>29.900000000000002</v>
      </c>
    </row>
    <row r="18" spans="1:6" ht="15.75" customHeight="1">
      <c r="A18" s="82" t="s">
        <v>17</v>
      </c>
      <c r="B18" s="84">
        <v>12</v>
      </c>
      <c r="C18" s="83">
        <v>0.1</v>
      </c>
      <c r="D18" s="83">
        <v>0.5</v>
      </c>
      <c r="E18" s="81">
        <f t="shared" ref="E18:F18" si="8">$B18*C18</f>
        <v>1.2000000000000002</v>
      </c>
      <c r="F18" s="81">
        <f t="shared" si="8"/>
        <v>6</v>
      </c>
    </row>
    <row r="19" spans="1:6" ht="15.75" customHeight="1">
      <c r="A19" s="78" t="s">
        <v>18</v>
      </c>
      <c r="B19" s="80">
        <v>15</v>
      </c>
      <c r="C19" s="79">
        <v>2.1</v>
      </c>
      <c r="D19" s="79">
        <v>6.99</v>
      </c>
      <c r="E19" s="81">
        <f t="shared" ref="E19:F19" si="9">$B19*C19</f>
        <v>31.5</v>
      </c>
      <c r="F19" s="81">
        <f t="shared" si="9"/>
        <v>104.85000000000001</v>
      </c>
    </row>
    <row r="20" spans="1:6" ht="15.75" customHeight="1"/>
    <row r="21" spans="1:6" ht="15.75" customHeight="1">
      <c r="B21" s="9" t="s">
        <v>23</v>
      </c>
      <c r="C21" s="87">
        <v>0.08</v>
      </c>
    </row>
    <row r="22" spans="1:6" ht="15.75" customHeight="1">
      <c r="B22" s="6" t="s">
        <v>2</v>
      </c>
      <c r="C22" s="6" t="s">
        <v>3</v>
      </c>
      <c r="D22" s="6" t="s">
        <v>24</v>
      </c>
      <c r="E22" s="5" t="s">
        <v>25</v>
      </c>
      <c r="F22" s="5" t="s">
        <v>26</v>
      </c>
    </row>
    <row r="23" spans="1:6" ht="15.75" customHeight="1">
      <c r="A23" s="77" t="s">
        <v>7</v>
      </c>
      <c r="B23" s="77" t="s">
        <v>11</v>
      </c>
      <c r="C23" s="77" t="s">
        <v>9</v>
      </c>
      <c r="D23" s="77" t="s">
        <v>258</v>
      </c>
      <c r="E23" s="77" t="s">
        <v>27</v>
      </c>
      <c r="F23" s="77" t="s">
        <v>13</v>
      </c>
    </row>
    <row r="24" spans="1:6" ht="15.75" customHeight="1">
      <c r="A24" s="78" t="s">
        <v>14</v>
      </c>
      <c r="B24" s="80">
        <v>20</v>
      </c>
      <c r="C24" s="79">
        <v>1</v>
      </c>
      <c r="D24" s="85">
        <f t="shared" ref="D24:D28" si="10">C24*B24</f>
        <v>20</v>
      </c>
      <c r="E24" s="81">
        <f t="shared" ref="E24:E28" si="11">D24*$C$21</f>
        <v>1.6</v>
      </c>
      <c r="F24" s="79">
        <f t="shared" ref="F24:F28" si="12">D24+E24</f>
        <v>21.6</v>
      </c>
    </row>
    <row r="25" spans="1:6" ht="15.75" customHeight="1">
      <c r="A25" s="82" t="s">
        <v>15</v>
      </c>
      <c r="B25" s="84">
        <v>30</v>
      </c>
      <c r="C25" s="83">
        <v>1.5</v>
      </c>
      <c r="D25" s="86">
        <f t="shared" si="10"/>
        <v>45</v>
      </c>
      <c r="E25" s="81">
        <f t="shared" si="11"/>
        <v>3.6</v>
      </c>
      <c r="F25" s="83">
        <f t="shared" si="12"/>
        <v>48.6</v>
      </c>
    </row>
    <row r="26" spans="1:6" ht="15.75" customHeight="1">
      <c r="A26" s="78" t="s">
        <v>16</v>
      </c>
      <c r="B26" s="80">
        <v>10</v>
      </c>
      <c r="C26" s="79">
        <v>2.99</v>
      </c>
      <c r="D26" s="85">
        <f t="shared" si="10"/>
        <v>29.900000000000002</v>
      </c>
      <c r="E26" s="81">
        <f t="shared" si="11"/>
        <v>2.3920000000000003</v>
      </c>
      <c r="F26" s="79">
        <f t="shared" si="12"/>
        <v>32.292000000000002</v>
      </c>
    </row>
    <row r="27" spans="1:6" ht="15.75" customHeight="1">
      <c r="A27" s="82" t="s">
        <v>17</v>
      </c>
      <c r="B27" s="84">
        <v>12</v>
      </c>
      <c r="C27" s="83">
        <v>0.5</v>
      </c>
      <c r="D27" s="86">
        <f t="shared" si="10"/>
        <v>6</v>
      </c>
      <c r="E27" s="81">
        <f t="shared" si="11"/>
        <v>0.48</v>
      </c>
      <c r="F27" s="83">
        <f t="shared" si="12"/>
        <v>6.48</v>
      </c>
    </row>
    <row r="28" spans="1:6" ht="15.75" customHeight="1">
      <c r="A28" s="78" t="s">
        <v>18</v>
      </c>
      <c r="B28" s="80">
        <v>15</v>
      </c>
      <c r="C28" s="79">
        <v>6.99</v>
      </c>
      <c r="D28" s="85">
        <f t="shared" si="10"/>
        <v>104.85000000000001</v>
      </c>
      <c r="E28" s="81">
        <f t="shared" si="11"/>
        <v>8.3880000000000017</v>
      </c>
      <c r="F28" s="79">
        <f t="shared" si="12"/>
        <v>113.23800000000001</v>
      </c>
    </row>
    <row r="29" spans="1:6" ht="15.75" customHeight="1"/>
    <row r="30" spans="1:6" ht="15.75" customHeight="1">
      <c r="B30" s="9" t="s">
        <v>28</v>
      </c>
      <c r="C30" s="88">
        <v>20</v>
      </c>
    </row>
    <row r="31" spans="1:6" ht="15.75" customHeight="1">
      <c r="B31" s="6" t="s">
        <v>2</v>
      </c>
      <c r="C31" s="6" t="s">
        <v>3</v>
      </c>
      <c r="D31" s="5" t="s">
        <v>20</v>
      </c>
      <c r="E31" s="5" t="s">
        <v>5</v>
      </c>
    </row>
    <row r="32" spans="1:6" ht="15.75" customHeight="1">
      <c r="A32" s="77" t="s">
        <v>7</v>
      </c>
      <c r="B32" s="77" t="s">
        <v>22</v>
      </c>
      <c r="C32" s="77" t="s">
        <v>9</v>
      </c>
      <c r="D32" s="77" t="s">
        <v>12</v>
      </c>
      <c r="E32" s="77" t="s">
        <v>13</v>
      </c>
    </row>
    <row r="33" spans="1:5" ht="15.75" customHeight="1">
      <c r="A33" s="78" t="s">
        <v>14</v>
      </c>
      <c r="B33" s="79">
        <v>0.3</v>
      </c>
      <c r="C33" s="79">
        <v>1</v>
      </c>
      <c r="D33" s="81">
        <f t="shared" ref="D33:D37" si="13">$B33*$C$30</f>
        <v>6</v>
      </c>
      <c r="E33" s="81">
        <f t="shared" ref="E33:E37" si="14">$C33*$C$30</f>
        <v>20</v>
      </c>
    </row>
    <row r="34" spans="1:5" ht="15.75" customHeight="1">
      <c r="A34" s="82" t="s">
        <v>15</v>
      </c>
      <c r="B34" s="83">
        <v>0.5</v>
      </c>
      <c r="C34" s="83">
        <v>1.5</v>
      </c>
      <c r="D34" s="81">
        <f t="shared" si="13"/>
        <v>10</v>
      </c>
      <c r="E34" s="81">
        <f t="shared" si="14"/>
        <v>30</v>
      </c>
    </row>
    <row r="35" spans="1:5" ht="15.75" customHeight="1">
      <c r="A35" s="78" t="s">
        <v>16</v>
      </c>
      <c r="B35" s="79">
        <v>0.7</v>
      </c>
      <c r="C35" s="79">
        <v>2.99</v>
      </c>
      <c r="D35" s="81">
        <f t="shared" si="13"/>
        <v>14</v>
      </c>
      <c r="E35" s="81">
        <f t="shared" si="14"/>
        <v>59.800000000000004</v>
      </c>
    </row>
    <row r="36" spans="1:5" ht="15.75" customHeight="1">
      <c r="A36" s="82" t="s">
        <v>17</v>
      </c>
      <c r="B36" s="83">
        <v>0.1</v>
      </c>
      <c r="C36" s="83">
        <v>0.5</v>
      </c>
      <c r="D36" s="81">
        <f t="shared" si="13"/>
        <v>2</v>
      </c>
      <c r="E36" s="81">
        <f t="shared" si="14"/>
        <v>10</v>
      </c>
    </row>
    <row r="37" spans="1:5" ht="15.75" customHeight="1">
      <c r="A37" s="78" t="s">
        <v>18</v>
      </c>
      <c r="B37" s="79">
        <v>2.1</v>
      </c>
      <c r="C37" s="79">
        <v>6.99</v>
      </c>
      <c r="D37" s="81">
        <f t="shared" si="13"/>
        <v>42</v>
      </c>
      <c r="E37" s="81">
        <f t="shared" si="14"/>
        <v>139.80000000000001</v>
      </c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</sheetPr>
  <dimension ref="A1:I990"/>
  <sheetViews>
    <sheetView workbookViewId="0">
      <selection activeCell="D22" sqref="D22"/>
    </sheetView>
  </sheetViews>
  <sheetFormatPr defaultColWidth="14.42578125" defaultRowHeight="15" customHeight="1" outlineLevelRow="1"/>
  <cols>
    <col min="1" max="1" width="22" bestFit="1" customWidth="1"/>
    <col min="2" max="2" width="15.85546875" customWidth="1"/>
    <col min="3" max="3" width="18.42578125" customWidth="1"/>
    <col min="4" max="4" width="16.85546875" customWidth="1"/>
    <col min="5" max="5" width="9.85546875" customWidth="1"/>
    <col min="6" max="6" width="15.85546875" customWidth="1"/>
    <col min="7" max="7" width="15" customWidth="1"/>
    <col min="8" max="8" width="16.42578125" customWidth="1"/>
  </cols>
  <sheetData>
    <row r="1" spans="1:9" ht="15.75" customHeight="1">
      <c r="A1" s="103" t="s">
        <v>253</v>
      </c>
      <c r="B1" s="103"/>
    </row>
    <row r="2" spans="1:9" ht="15.75" customHeight="1" outlineLevel="1">
      <c r="C2" s="6" t="s">
        <v>1</v>
      </c>
    </row>
    <row r="3" spans="1:9" ht="15.75" customHeight="1">
      <c r="A3" s="77" t="s">
        <v>29</v>
      </c>
      <c r="B3" s="77" t="s">
        <v>30</v>
      </c>
      <c r="C3" s="77" t="s">
        <v>31</v>
      </c>
      <c r="D3" s="77" t="s">
        <v>32</v>
      </c>
      <c r="E3" s="77" t="s">
        <v>33</v>
      </c>
      <c r="F3" s="77" t="s">
        <v>34</v>
      </c>
      <c r="G3" s="77" t="s">
        <v>35</v>
      </c>
      <c r="H3" s="89" t="s">
        <v>36</v>
      </c>
      <c r="I3" s="89" t="s">
        <v>264</v>
      </c>
    </row>
    <row r="4" spans="1:9" ht="15.75" customHeight="1">
      <c r="A4" s="78" t="s">
        <v>38</v>
      </c>
      <c r="B4" s="78" t="s">
        <v>39</v>
      </c>
      <c r="C4" s="90" t="str">
        <f t="shared" ref="C4:C9" si="0">CONCATENATE(A4," ",B4)</f>
        <v>Rigoberto Montoya</v>
      </c>
      <c r="D4" s="78" t="s">
        <v>40</v>
      </c>
      <c r="E4" s="80">
        <v>40</v>
      </c>
      <c r="F4" s="91">
        <v>7526</v>
      </c>
      <c r="G4" s="92">
        <f t="shared" ref="G4:G9" si="1">F4*12</f>
        <v>90312</v>
      </c>
      <c r="H4" s="78" t="s">
        <v>106</v>
      </c>
      <c r="I4" s="78" t="s">
        <v>259</v>
      </c>
    </row>
    <row r="5" spans="1:9" ht="15.75" customHeight="1">
      <c r="A5" s="82" t="s">
        <v>41</v>
      </c>
      <c r="B5" s="82" t="s">
        <v>42</v>
      </c>
      <c r="C5" s="90" t="str">
        <f t="shared" si="0"/>
        <v>Valentine Ramirez</v>
      </c>
      <c r="D5" s="82" t="s">
        <v>43</v>
      </c>
      <c r="E5" s="84">
        <v>49</v>
      </c>
      <c r="F5" s="93">
        <v>3169</v>
      </c>
      <c r="G5" s="92">
        <f t="shared" si="1"/>
        <v>38028</v>
      </c>
      <c r="H5" s="82" t="s">
        <v>109</v>
      </c>
      <c r="I5" s="82" t="s">
        <v>260</v>
      </c>
    </row>
    <row r="6" spans="1:9" ht="15.75" customHeight="1">
      <c r="A6" s="78" t="s">
        <v>44</v>
      </c>
      <c r="B6" s="78" t="s">
        <v>45</v>
      </c>
      <c r="C6" s="90" t="str">
        <f t="shared" si="0"/>
        <v>Benedict Carney</v>
      </c>
      <c r="D6" s="78" t="s">
        <v>40</v>
      </c>
      <c r="E6" s="80">
        <v>42</v>
      </c>
      <c r="F6" s="91">
        <v>4632</v>
      </c>
      <c r="G6" s="92">
        <f t="shared" si="1"/>
        <v>55584</v>
      </c>
      <c r="H6" s="78" t="s">
        <v>112</v>
      </c>
      <c r="I6" s="78" t="s">
        <v>261</v>
      </c>
    </row>
    <row r="7" spans="1:9" ht="15.75" customHeight="1">
      <c r="A7" s="82" t="s">
        <v>46</v>
      </c>
      <c r="B7" s="82" t="s">
        <v>47</v>
      </c>
      <c r="C7" s="90" t="str">
        <f t="shared" si="0"/>
        <v>Lisa Villa</v>
      </c>
      <c r="D7" s="82" t="s">
        <v>43</v>
      </c>
      <c r="E7" s="84">
        <v>40</v>
      </c>
      <c r="F7" s="93">
        <v>9262</v>
      </c>
      <c r="G7" s="92">
        <f t="shared" si="1"/>
        <v>111144</v>
      </c>
      <c r="H7" s="82" t="s">
        <v>115</v>
      </c>
      <c r="I7" s="82" t="s">
        <v>262</v>
      </c>
    </row>
    <row r="8" spans="1:9" ht="15.75" customHeight="1">
      <c r="A8" s="78" t="s">
        <v>48</v>
      </c>
      <c r="B8" s="78" t="s">
        <v>49</v>
      </c>
      <c r="C8" s="90" t="str">
        <f t="shared" si="0"/>
        <v>Beverly Landry</v>
      </c>
      <c r="D8" s="78" t="s">
        <v>40</v>
      </c>
      <c r="E8" s="80">
        <v>48</v>
      </c>
      <c r="F8" s="91">
        <v>7234</v>
      </c>
      <c r="G8" s="92">
        <f t="shared" si="1"/>
        <v>86808</v>
      </c>
      <c r="H8" s="78" t="s">
        <v>117</v>
      </c>
      <c r="I8" s="78" t="s">
        <v>262</v>
      </c>
    </row>
    <row r="9" spans="1:9" ht="15.75" customHeight="1">
      <c r="A9" s="82" t="s">
        <v>50</v>
      </c>
      <c r="B9" s="82" t="s">
        <v>51</v>
      </c>
      <c r="C9" s="90" t="str">
        <f t="shared" si="0"/>
        <v>Raquel Pierce</v>
      </c>
      <c r="D9" s="82" t="s">
        <v>43</v>
      </c>
      <c r="E9" s="84">
        <v>48</v>
      </c>
      <c r="F9" s="93">
        <v>2394</v>
      </c>
      <c r="G9" s="92">
        <f t="shared" si="1"/>
        <v>28728</v>
      </c>
      <c r="H9" s="82" t="s">
        <v>119</v>
      </c>
      <c r="I9" s="82" t="s">
        <v>263</v>
      </c>
    </row>
    <row r="10" spans="1:9" ht="15.75" customHeight="1"/>
    <row r="11" spans="1:9" ht="15.75" customHeight="1">
      <c r="A11" s="75"/>
      <c r="B11" s="94" t="s">
        <v>33</v>
      </c>
      <c r="C11" s="94" t="s">
        <v>34</v>
      </c>
      <c r="D11" s="94" t="s">
        <v>35</v>
      </c>
    </row>
    <row r="12" spans="1:9" ht="15.75" customHeight="1">
      <c r="A12" s="95" t="s">
        <v>52</v>
      </c>
      <c r="B12" s="90">
        <f t="shared" ref="B12:D12" si="2">SUM(E$4:E$9)</f>
        <v>267</v>
      </c>
      <c r="C12" s="92">
        <f t="shared" si="2"/>
        <v>34217</v>
      </c>
      <c r="D12" s="92">
        <f t="shared" si="2"/>
        <v>410604</v>
      </c>
      <c r="E12" s="4" t="s">
        <v>3</v>
      </c>
    </row>
    <row r="13" spans="1:9" ht="15.75" customHeight="1">
      <c r="A13" s="95" t="s">
        <v>53</v>
      </c>
      <c r="B13" s="90">
        <f t="shared" ref="B13:D13" si="3">AVERAGE(E$4:E$9)</f>
        <v>44.5</v>
      </c>
      <c r="C13" s="92">
        <f t="shared" si="3"/>
        <v>5702.833333333333</v>
      </c>
      <c r="D13" s="92">
        <f t="shared" si="3"/>
        <v>68434</v>
      </c>
      <c r="E13" s="4" t="s">
        <v>4</v>
      </c>
    </row>
    <row r="14" spans="1:9" ht="15.75" customHeight="1">
      <c r="A14" s="95" t="s">
        <v>54</v>
      </c>
      <c r="B14" s="90">
        <f t="shared" ref="B14:D14" si="4">MAX(E$4:E$9)</f>
        <v>49</v>
      </c>
      <c r="C14" s="92">
        <f t="shared" si="4"/>
        <v>9262</v>
      </c>
      <c r="D14" s="92">
        <f t="shared" si="4"/>
        <v>111144</v>
      </c>
      <c r="E14" s="4" t="s">
        <v>55</v>
      </c>
    </row>
    <row r="15" spans="1:9" ht="15.75" customHeight="1">
      <c r="A15" s="95" t="s">
        <v>56</v>
      </c>
      <c r="B15" s="90">
        <f t="shared" ref="B15:D15" si="5">MIN(E$4:E$9)</f>
        <v>40</v>
      </c>
      <c r="C15" s="92">
        <f t="shared" si="5"/>
        <v>2394</v>
      </c>
      <c r="D15" s="92">
        <f t="shared" si="5"/>
        <v>28728</v>
      </c>
      <c r="E15" s="4" t="s">
        <v>57</v>
      </c>
    </row>
    <row r="16" spans="1:9" ht="15.75" customHeight="1">
      <c r="A16" s="95" t="s">
        <v>58</v>
      </c>
      <c r="B16" s="90">
        <f t="shared" ref="B16:D16" si="6">MEDIAN(E$4:E$9)</f>
        <v>45</v>
      </c>
      <c r="C16" s="92">
        <f t="shared" si="6"/>
        <v>5933</v>
      </c>
      <c r="D16" s="92">
        <f t="shared" si="6"/>
        <v>71196</v>
      </c>
      <c r="E16" s="4" t="s">
        <v>59</v>
      </c>
    </row>
    <row r="17" spans="1:3" ht="15.75" customHeight="1"/>
    <row r="18" spans="1:3" ht="15.75" customHeight="1">
      <c r="A18" s="76" t="s">
        <v>60</v>
      </c>
      <c r="B18" s="90">
        <f>COUNT(E4:E9)</f>
        <v>6</v>
      </c>
      <c r="C18" s="4" t="s">
        <v>61</v>
      </c>
    </row>
    <row r="19" spans="1:3" ht="15.75" customHeight="1">
      <c r="A19" s="76" t="s">
        <v>60</v>
      </c>
      <c r="B19" s="90">
        <f>COUNT(E4:E9)</f>
        <v>6</v>
      </c>
      <c r="C19" s="4" t="s">
        <v>62</v>
      </c>
    </row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A1:B1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80000"/>
    <outlinePr summaryBelow="0" summaryRight="0"/>
  </sheetPr>
  <dimension ref="A1:G989"/>
  <sheetViews>
    <sheetView workbookViewId="0">
      <selection activeCell="A3" sqref="A3"/>
    </sheetView>
  </sheetViews>
  <sheetFormatPr defaultColWidth="14.42578125" defaultRowHeight="15" customHeight="1" outlineLevelRow="1"/>
  <cols>
    <col min="1" max="1" width="33.85546875" bestFit="1" customWidth="1"/>
    <col min="2" max="2" width="15.42578125" customWidth="1"/>
    <col min="3" max="3" width="17" customWidth="1"/>
    <col min="4" max="4" width="20" customWidth="1"/>
    <col min="5" max="5" width="17.28515625" customWidth="1"/>
    <col min="6" max="6" width="17" customWidth="1"/>
    <col min="7" max="7" width="14.42578125" customWidth="1"/>
  </cols>
  <sheetData>
    <row r="1" spans="1:7" ht="20.25" customHeight="1">
      <c r="A1" s="112" t="s">
        <v>63</v>
      </c>
      <c r="C1" s="15"/>
      <c r="D1" s="15"/>
    </row>
    <row r="2" spans="1:7" ht="15.75" customHeight="1" outlineLevel="1"/>
    <row r="3" spans="1:7" ht="15.75" customHeight="1">
      <c r="B3" s="5"/>
      <c r="C3" s="5"/>
      <c r="E3" s="104" t="s">
        <v>254</v>
      </c>
      <c r="F3" s="104"/>
    </row>
    <row r="4" spans="1:7" ht="15.75" customHeight="1">
      <c r="B4" s="6" t="s">
        <v>1</v>
      </c>
      <c r="C4" s="6" t="s">
        <v>1</v>
      </c>
      <c r="E4" s="5" t="s">
        <v>64</v>
      </c>
      <c r="F4" s="5" t="s">
        <v>65</v>
      </c>
    </row>
    <row r="5" spans="1:7" ht="15.75" customHeight="1">
      <c r="A5" s="7" t="s">
        <v>31</v>
      </c>
      <c r="B5" s="7" t="s">
        <v>32</v>
      </c>
      <c r="C5" s="7" t="s">
        <v>33</v>
      </c>
      <c r="D5" s="7" t="s">
        <v>34</v>
      </c>
      <c r="E5" s="11" t="s">
        <v>66</v>
      </c>
      <c r="F5" s="11" t="s">
        <v>67</v>
      </c>
    </row>
    <row r="6" spans="1:7" ht="15.75" customHeight="1">
      <c r="A6" s="8" t="s">
        <v>68</v>
      </c>
      <c r="B6" s="96" t="str">
        <f t="shared" ref="B6:B12" si="0">IFERROR(VLOOKUP(A6,$D$13:$G$33,2,FALSE),"Value not found")</f>
        <v>Male</v>
      </c>
      <c r="C6" s="96">
        <f t="shared" ref="C6:C12" si="1">IFERROR(VLOOKUP(A6:A12,$D$13:$G$33,4,FALSE),"Value Not Found")</f>
        <v>40</v>
      </c>
      <c r="D6" s="12">
        <v>7526</v>
      </c>
      <c r="E6" s="96" t="b">
        <f t="shared" ref="E6:E11" si="2">IF(AND($B6="Female",$C6&gt;45),TRUE,FALSE)</f>
        <v>0</v>
      </c>
      <c r="F6" s="97" t="str">
        <f t="shared" ref="F6:F11" si="3">IF(OR(B6="Male",C6&lt;=45),"YES","NO")</f>
        <v>YES</v>
      </c>
    </row>
    <row r="7" spans="1:7" ht="15.75" customHeight="1">
      <c r="A7" s="2" t="s">
        <v>69</v>
      </c>
      <c r="B7" s="96" t="str">
        <f t="shared" si="0"/>
        <v>Female</v>
      </c>
      <c r="C7" s="96">
        <f t="shared" si="1"/>
        <v>49</v>
      </c>
      <c r="D7" s="13">
        <v>3169</v>
      </c>
      <c r="E7" s="96" t="b">
        <f t="shared" si="2"/>
        <v>1</v>
      </c>
      <c r="F7" s="97" t="str">
        <f t="shared" si="3"/>
        <v>NO</v>
      </c>
    </row>
    <row r="8" spans="1:7" ht="15.75" customHeight="1">
      <c r="A8" s="8" t="s">
        <v>70</v>
      </c>
      <c r="B8" s="96" t="str">
        <f t="shared" si="0"/>
        <v>Male</v>
      </c>
      <c r="C8" s="96">
        <f t="shared" si="1"/>
        <v>42</v>
      </c>
      <c r="D8" s="12">
        <v>4632</v>
      </c>
      <c r="E8" s="96" t="b">
        <f t="shared" si="2"/>
        <v>0</v>
      </c>
      <c r="F8" s="97" t="str">
        <f t="shared" si="3"/>
        <v>YES</v>
      </c>
    </row>
    <row r="9" spans="1:7" ht="15.75" customHeight="1">
      <c r="A9" s="2" t="s">
        <v>71</v>
      </c>
      <c r="B9" s="96" t="str">
        <f t="shared" si="0"/>
        <v>Female</v>
      </c>
      <c r="C9" s="96">
        <f t="shared" si="1"/>
        <v>40</v>
      </c>
      <c r="D9" s="13">
        <v>9262</v>
      </c>
      <c r="E9" s="96" t="b">
        <f t="shared" si="2"/>
        <v>0</v>
      </c>
      <c r="F9" s="97" t="str">
        <f t="shared" si="3"/>
        <v>YES</v>
      </c>
    </row>
    <row r="10" spans="1:7" ht="15.75" customHeight="1">
      <c r="A10" s="8" t="s">
        <v>72</v>
      </c>
      <c r="B10" s="96" t="str">
        <f t="shared" si="0"/>
        <v>Male</v>
      </c>
      <c r="C10" s="96">
        <f t="shared" si="1"/>
        <v>48</v>
      </c>
      <c r="D10" s="12">
        <v>7234</v>
      </c>
      <c r="E10" s="96" t="b">
        <f t="shared" si="2"/>
        <v>0</v>
      </c>
      <c r="F10" s="97" t="str">
        <f t="shared" si="3"/>
        <v>YES</v>
      </c>
    </row>
    <row r="11" spans="1:7" ht="15.75" customHeight="1">
      <c r="A11" s="2" t="s">
        <v>73</v>
      </c>
      <c r="B11" s="96" t="str">
        <f t="shared" si="0"/>
        <v>Female</v>
      </c>
      <c r="C11" s="96">
        <f t="shared" si="1"/>
        <v>48</v>
      </c>
      <c r="D11" s="13">
        <v>2394</v>
      </c>
      <c r="E11" s="96" t="b">
        <f t="shared" si="2"/>
        <v>1</v>
      </c>
      <c r="F11" s="97" t="str">
        <f t="shared" si="3"/>
        <v>NO</v>
      </c>
    </row>
    <row r="12" spans="1:7" ht="15.75" customHeight="1">
      <c r="A12" s="8" t="s">
        <v>74</v>
      </c>
      <c r="B12" s="96" t="str">
        <f t="shared" si="0"/>
        <v>Value not found</v>
      </c>
      <c r="C12" s="96" t="str">
        <f t="shared" si="1"/>
        <v>Value Not Found</v>
      </c>
    </row>
    <row r="13" spans="1:7" ht="15.75" customHeight="1">
      <c r="D13" s="16" t="s">
        <v>75</v>
      </c>
      <c r="E13" s="17" t="s">
        <v>32</v>
      </c>
      <c r="F13" s="17" t="s">
        <v>76</v>
      </c>
      <c r="G13" s="18" t="s">
        <v>33</v>
      </c>
    </row>
    <row r="14" spans="1:7" ht="15.75" customHeight="1">
      <c r="A14" s="1" t="s">
        <v>77</v>
      </c>
      <c r="B14" s="96">
        <f>COUNTIF(B6:B12,"Female")</f>
        <v>3</v>
      </c>
      <c r="C14" s="4" t="s">
        <v>57</v>
      </c>
      <c r="D14" s="19" t="s">
        <v>70</v>
      </c>
      <c r="E14" s="20" t="s">
        <v>40</v>
      </c>
      <c r="F14" s="20" t="s">
        <v>78</v>
      </c>
      <c r="G14" s="21">
        <v>42</v>
      </c>
    </row>
    <row r="15" spans="1:7" ht="15.75" customHeight="1">
      <c r="A15" s="1" t="s">
        <v>79</v>
      </c>
      <c r="B15" s="96">
        <f>COUNTIF($C6:$C11, "&gt;45")</f>
        <v>3</v>
      </c>
      <c r="C15" s="4" t="s">
        <v>57</v>
      </c>
      <c r="D15" s="19" t="s">
        <v>72</v>
      </c>
      <c r="E15" s="20" t="s">
        <v>40</v>
      </c>
      <c r="F15" s="20" t="s">
        <v>78</v>
      </c>
      <c r="G15" s="21">
        <v>48</v>
      </c>
    </row>
    <row r="16" spans="1:7" ht="15.75" customHeight="1">
      <c r="A16" s="1" t="s">
        <v>80</v>
      </c>
      <c r="B16" s="96">
        <f>COUNTIFS($B6:$B11,"Male",$C6:$C11,"&lt;=45")</f>
        <v>2</v>
      </c>
      <c r="C16" s="4" t="s">
        <v>59</v>
      </c>
      <c r="D16" s="19" t="s">
        <v>81</v>
      </c>
      <c r="E16" s="20" t="s">
        <v>43</v>
      </c>
      <c r="F16" s="20" t="s">
        <v>82</v>
      </c>
      <c r="G16" s="21">
        <v>49</v>
      </c>
    </row>
    <row r="17" spans="1:7" ht="15.75" customHeight="1">
      <c r="A17" s="1" t="s">
        <v>83</v>
      </c>
      <c r="B17" s="96">
        <f>AVERAGEIF($B6:$B11,"Female",$C6:$C11)</f>
        <v>45.666666666666664</v>
      </c>
      <c r="C17" s="4" t="s">
        <v>61</v>
      </c>
      <c r="D17" s="19" t="s">
        <v>84</v>
      </c>
      <c r="E17" s="20" t="s">
        <v>43</v>
      </c>
      <c r="F17" s="20" t="s">
        <v>78</v>
      </c>
      <c r="G17" s="21">
        <v>48</v>
      </c>
    </row>
    <row r="18" spans="1:7" ht="15.75" customHeight="1">
      <c r="A18" s="1" t="s">
        <v>85</v>
      </c>
      <c r="B18" s="98">
        <f>AVERAGEIFS($D6:$D11,$B6:$B11,"Male",$C6:$C11,"&gt;45")</f>
        <v>7234</v>
      </c>
      <c r="C18" s="4" t="s">
        <v>62</v>
      </c>
      <c r="D18" s="19" t="s">
        <v>86</v>
      </c>
      <c r="E18" s="20" t="s">
        <v>40</v>
      </c>
      <c r="F18" s="20" t="s">
        <v>82</v>
      </c>
      <c r="G18" s="21">
        <v>45</v>
      </c>
    </row>
    <row r="19" spans="1:7" ht="15.75" customHeight="1">
      <c r="A19" s="1" t="s">
        <v>87</v>
      </c>
      <c r="B19" s="98">
        <f>SUMIF(B6:B11,"Female", D6:D11)</f>
        <v>14825</v>
      </c>
      <c r="C19" s="4" t="s">
        <v>88</v>
      </c>
      <c r="D19" s="19" t="s">
        <v>89</v>
      </c>
      <c r="E19" s="20" t="s">
        <v>40</v>
      </c>
      <c r="F19" s="20" t="s">
        <v>82</v>
      </c>
      <c r="G19" s="21">
        <v>42</v>
      </c>
    </row>
    <row r="20" spans="1:7" ht="15.75" customHeight="1">
      <c r="A20" s="1" t="s">
        <v>90</v>
      </c>
      <c r="B20" s="98">
        <f>SUMIFS(D6:D11,B6:B11,"Female",C6:C11,"&lt;41")</f>
        <v>9262</v>
      </c>
      <c r="C20" s="4" t="s">
        <v>91</v>
      </c>
      <c r="D20" s="19" t="s">
        <v>92</v>
      </c>
      <c r="E20" s="20" t="s">
        <v>40</v>
      </c>
      <c r="F20" s="20" t="s">
        <v>82</v>
      </c>
      <c r="G20" s="21">
        <v>43</v>
      </c>
    </row>
    <row r="21" spans="1:7" ht="15.75" customHeight="1">
      <c r="D21" s="19" t="s">
        <v>93</v>
      </c>
      <c r="E21" s="20" t="s">
        <v>43</v>
      </c>
      <c r="F21" s="20" t="s">
        <v>78</v>
      </c>
      <c r="G21" s="21">
        <v>45</v>
      </c>
    </row>
    <row r="22" spans="1:7" ht="15.75" customHeight="1">
      <c r="A22" s="9"/>
      <c r="B22" s="9"/>
      <c r="C22" s="9"/>
      <c r="D22" s="19" t="s">
        <v>94</v>
      </c>
      <c r="E22" s="20" t="s">
        <v>40</v>
      </c>
      <c r="F22" s="20" t="s">
        <v>78</v>
      </c>
      <c r="G22" s="21">
        <v>48</v>
      </c>
    </row>
    <row r="23" spans="1:7" ht="15.75" customHeight="1">
      <c r="A23" s="9"/>
      <c r="B23" s="9"/>
      <c r="C23" s="9"/>
      <c r="D23" s="19" t="s">
        <v>95</v>
      </c>
      <c r="E23" s="20" t="s">
        <v>40</v>
      </c>
      <c r="F23" s="20" t="s">
        <v>82</v>
      </c>
      <c r="G23" s="21">
        <v>47</v>
      </c>
    </row>
    <row r="24" spans="1:7" ht="15.75" customHeight="1">
      <c r="A24" s="9"/>
      <c r="B24" s="9"/>
      <c r="C24" s="9"/>
      <c r="D24" s="19" t="s">
        <v>96</v>
      </c>
      <c r="E24" s="20" t="s">
        <v>40</v>
      </c>
      <c r="F24" s="20" t="s">
        <v>78</v>
      </c>
      <c r="G24" s="21">
        <v>48</v>
      </c>
    </row>
    <row r="25" spans="1:7" ht="15.75" customHeight="1">
      <c r="A25" s="9"/>
      <c r="B25" s="9"/>
      <c r="C25" s="9"/>
      <c r="D25" s="19" t="s">
        <v>71</v>
      </c>
      <c r="E25" s="20" t="s">
        <v>43</v>
      </c>
      <c r="F25" s="20" t="s">
        <v>82</v>
      </c>
      <c r="G25" s="21">
        <v>40</v>
      </c>
    </row>
    <row r="26" spans="1:7" ht="15.75" customHeight="1">
      <c r="D26" s="19" t="s">
        <v>97</v>
      </c>
      <c r="E26" s="20" t="s">
        <v>40</v>
      </c>
      <c r="F26" s="20" t="s">
        <v>78</v>
      </c>
      <c r="G26" s="21">
        <v>44</v>
      </c>
    </row>
    <row r="27" spans="1:7" ht="15.75" customHeight="1">
      <c r="D27" s="19" t="s">
        <v>98</v>
      </c>
      <c r="E27" s="20" t="s">
        <v>43</v>
      </c>
      <c r="F27" s="20" t="s">
        <v>78</v>
      </c>
      <c r="G27" s="21">
        <v>48</v>
      </c>
    </row>
    <row r="28" spans="1:7" ht="15.75" customHeight="1">
      <c r="D28" s="19" t="s">
        <v>99</v>
      </c>
      <c r="E28" s="20" t="s">
        <v>43</v>
      </c>
      <c r="F28" s="20" t="s">
        <v>82</v>
      </c>
      <c r="G28" s="21">
        <v>43</v>
      </c>
    </row>
    <row r="29" spans="1:7" ht="15.75" customHeight="1">
      <c r="D29" s="19" t="s">
        <v>73</v>
      </c>
      <c r="E29" s="20" t="s">
        <v>43</v>
      </c>
      <c r="F29" s="20" t="s">
        <v>82</v>
      </c>
      <c r="G29" s="21">
        <v>48</v>
      </c>
    </row>
    <row r="30" spans="1:7" ht="15.75" customHeight="1">
      <c r="D30" s="19" t="s">
        <v>68</v>
      </c>
      <c r="E30" s="20" t="s">
        <v>40</v>
      </c>
      <c r="F30" s="20" t="s">
        <v>78</v>
      </c>
      <c r="G30" s="21">
        <v>40</v>
      </c>
    </row>
    <row r="31" spans="1:7" ht="15.75" customHeight="1">
      <c r="D31" s="19" t="s">
        <v>100</v>
      </c>
      <c r="E31" s="20" t="s">
        <v>43</v>
      </c>
      <c r="F31" s="20" t="s">
        <v>82</v>
      </c>
      <c r="G31" s="21">
        <v>47</v>
      </c>
    </row>
    <row r="32" spans="1:7" ht="15.75" customHeight="1">
      <c r="D32" s="19" t="s">
        <v>101</v>
      </c>
      <c r="E32" s="20" t="s">
        <v>43</v>
      </c>
      <c r="F32" s="20" t="s">
        <v>82</v>
      </c>
      <c r="G32" s="21">
        <v>41</v>
      </c>
    </row>
    <row r="33" spans="4:7" ht="15.75" customHeight="1">
      <c r="D33" s="22" t="s">
        <v>69</v>
      </c>
      <c r="E33" s="23" t="s">
        <v>43</v>
      </c>
      <c r="F33" s="23" t="s">
        <v>78</v>
      </c>
      <c r="G33" s="24">
        <v>49</v>
      </c>
    </row>
    <row r="34" spans="4:7" ht="15.75" customHeight="1"/>
    <row r="35" spans="4:7" ht="15.75" customHeight="1"/>
    <row r="36" spans="4:7" ht="15.75" customHeight="1"/>
    <row r="37" spans="4:7" ht="15.75" customHeight="1"/>
    <row r="38" spans="4:7" ht="15.75" customHeight="1"/>
    <row r="39" spans="4:7" ht="15.75" customHeight="1"/>
    <row r="40" spans="4:7" ht="15.75" customHeight="1"/>
    <row r="41" spans="4:7" ht="15.75" customHeight="1"/>
    <row r="42" spans="4:7" ht="15.75" customHeight="1"/>
    <row r="43" spans="4:7" ht="15.75" customHeight="1"/>
    <row r="44" spans="4:7" ht="15.75" customHeight="1"/>
    <row r="45" spans="4:7" ht="15.75" customHeight="1"/>
    <row r="46" spans="4:7" ht="15.75" customHeight="1"/>
    <row r="47" spans="4:7" ht="15.75" customHeight="1"/>
    <row r="48" spans="4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1">
    <mergeCell ref="E3:F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8761D"/>
    <outlinePr summaryRight="0"/>
  </sheetPr>
  <dimension ref="A1:N988"/>
  <sheetViews>
    <sheetView workbookViewId="0">
      <selection activeCell="D2" sqref="D2"/>
    </sheetView>
  </sheetViews>
  <sheetFormatPr defaultColWidth="14.42578125" defaultRowHeight="15" customHeight="1" outlineLevelRow="1"/>
  <cols>
    <col min="1" max="1" width="3.140625" customWidth="1"/>
    <col min="2" max="2" width="15" customWidth="1"/>
    <col min="3" max="4" width="13.85546875" customWidth="1"/>
    <col min="5" max="5" width="12.28515625" customWidth="1"/>
    <col min="6" max="6" width="25.85546875" bestFit="1" customWidth="1"/>
    <col min="7" max="9" width="13.85546875" customWidth="1"/>
    <col min="10" max="10" width="13.5703125" customWidth="1"/>
    <col min="11" max="11" width="12.85546875" customWidth="1"/>
    <col min="12" max="12" width="15.28515625" customWidth="1"/>
    <col min="13" max="13" width="13.28515625" customWidth="1"/>
    <col min="14" max="14" width="17.28515625" customWidth="1"/>
  </cols>
  <sheetData>
    <row r="1" spans="1:14" ht="15.75" customHeight="1">
      <c r="A1" s="105" t="s">
        <v>102</v>
      </c>
      <c r="B1" s="105"/>
      <c r="C1" s="105"/>
    </row>
    <row r="2" spans="1:14" ht="15.75" customHeight="1" outlineLevel="1">
      <c r="F2" s="100" t="s">
        <v>255</v>
      </c>
    </row>
    <row r="3" spans="1:14" ht="15.75" customHeight="1" outlineLevel="1">
      <c r="F3" s="101" t="s">
        <v>256</v>
      </c>
    </row>
    <row r="4" spans="1:14" ht="15.75" customHeight="1">
      <c r="A4" s="2"/>
      <c r="B4" s="25" t="s">
        <v>75</v>
      </c>
      <c r="C4" s="25" t="s">
        <v>29</v>
      </c>
      <c r="D4" s="25" t="s">
        <v>30</v>
      </c>
      <c r="E4" s="26" t="s">
        <v>32</v>
      </c>
      <c r="F4" s="99" t="s">
        <v>33</v>
      </c>
      <c r="G4" s="26" t="s">
        <v>36</v>
      </c>
      <c r="H4" s="26" t="s">
        <v>37</v>
      </c>
      <c r="I4" s="26" t="s">
        <v>34</v>
      </c>
      <c r="J4" s="25" t="s">
        <v>35</v>
      </c>
      <c r="K4" s="26" t="s">
        <v>103</v>
      </c>
      <c r="L4" s="26" t="s">
        <v>104</v>
      </c>
      <c r="M4" s="26" t="s">
        <v>76</v>
      </c>
      <c r="N4" s="25" t="s">
        <v>105</v>
      </c>
    </row>
    <row r="5" spans="1:14" ht="15.75" customHeight="1">
      <c r="A5" s="2"/>
      <c r="B5" s="27" t="s">
        <v>68</v>
      </c>
      <c r="C5" s="27" t="str">
        <f ca="1">IFERROR(__xludf.DUMMYFUNCTION("SPLIT(B17,"" "")"),"Rigoberto")</f>
        <v>Rigoberto</v>
      </c>
      <c r="D5" s="27" t="str">
        <f ca="1">IFERROR(__xludf.DUMMYFUNCTION("""COMPUTED_VALUE"""),"Montoya")</f>
        <v>Montoya</v>
      </c>
      <c r="E5" s="27" t="s">
        <v>40</v>
      </c>
      <c r="F5" s="28">
        <v>40</v>
      </c>
      <c r="G5" s="27" t="s">
        <v>106</v>
      </c>
      <c r="H5" s="27" t="s">
        <v>107</v>
      </c>
      <c r="I5" s="29">
        <v>7526</v>
      </c>
      <c r="J5" s="29">
        <f t="shared" ref="J5:J24" si="0">I5*12</f>
        <v>90312</v>
      </c>
      <c r="K5" s="30">
        <v>327637448</v>
      </c>
      <c r="L5" s="27" t="s">
        <v>108</v>
      </c>
      <c r="M5" s="27" t="s">
        <v>78</v>
      </c>
      <c r="N5" s="27">
        <v>2</v>
      </c>
    </row>
    <row r="6" spans="1:14" ht="15.75" customHeight="1">
      <c r="A6" s="2"/>
      <c r="B6" s="31" t="s">
        <v>69</v>
      </c>
      <c r="C6" s="31" t="str">
        <f ca="1">IFERROR(__xludf.DUMMYFUNCTION("SPLIT(B18,"" "")"),"Valentine")</f>
        <v>Valentine</v>
      </c>
      <c r="D6" s="31" t="str">
        <f ca="1">IFERROR(__xludf.DUMMYFUNCTION("""COMPUTED_VALUE"""),"Ramirez")</f>
        <v>Ramirez</v>
      </c>
      <c r="E6" s="31" t="s">
        <v>43</v>
      </c>
      <c r="F6" s="31">
        <v>49</v>
      </c>
      <c r="G6" s="31" t="s">
        <v>109</v>
      </c>
      <c r="H6" s="31" t="s">
        <v>110</v>
      </c>
      <c r="I6" s="32">
        <v>3169</v>
      </c>
      <c r="J6" s="33">
        <f t="shared" si="0"/>
        <v>38028</v>
      </c>
      <c r="K6" s="34">
        <v>243493818</v>
      </c>
      <c r="L6" s="31" t="s">
        <v>111</v>
      </c>
      <c r="M6" s="31" t="s">
        <v>78</v>
      </c>
      <c r="N6" s="31">
        <v>3</v>
      </c>
    </row>
    <row r="7" spans="1:14" ht="15.75" customHeight="1">
      <c r="A7" s="2"/>
      <c r="B7" s="27" t="s">
        <v>70</v>
      </c>
      <c r="C7" s="27" t="str">
        <f ca="1">IFERROR(__xludf.DUMMYFUNCTION("SPLIT(B19,"" "")"),"Benedict")</f>
        <v>Benedict</v>
      </c>
      <c r="D7" s="27" t="str">
        <f ca="1">IFERROR(__xludf.DUMMYFUNCTION("""COMPUTED_VALUE"""),"Carney")</f>
        <v>Carney</v>
      </c>
      <c r="E7" s="27" t="s">
        <v>40</v>
      </c>
      <c r="F7" s="27">
        <v>42</v>
      </c>
      <c r="G7" s="27" t="s">
        <v>112</v>
      </c>
      <c r="H7" s="27" t="s">
        <v>113</v>
      </c>
      <c r="I7" s="29">
        <v>4632</v>
      </c>
      <c r="J7" s="29">
        <f t="shared" si="0"/>
        <v>55584</v>
      </c>
      <c r="K7" s="30">
        <v>539740192</v>
      </c>
      <c r="L7" s="27" t="s">
        <v>114</v>
      </c>
      <c r="M7" s="27" t="s">
        <v>82</v>
      </c>
      <c r="N7" s="27">
        <v>0</v>
      </c>
    </row>
    <row r="8" spans="1:14" ht="15.75" customHeight="1">
      <c r="A8" s="2"/>
      <c r="B8" s="31" t="s">
        <v>71</v>
      </c>
      <c r="C8" s="31" t="str">
        <f ca="1">IFERROR(__xludf.DUMMYFUNCTION("SPLIT(B20,"" "")"),"Lisa")</f>
        <v>Lisa</v>
      </c>
      <c r="D8" s="31" t="str">
        <f ca="1">IFERROR(__xludf.DUMMYFUNCTION("""COMPUTED_VALUE"""),"Villa")</f>
        <v>Villa</v>
      </c>
      <c r="E8" s="31" t="s">
        <v>43</v>
      </c>
      <c r="F8" s="31">
        <v>40</v>
      </c>
      <c r="G8" s="31" t="s">
        <v>115</v>
      </c>
      <c r="H8" s="31" t="s">
        <v>116</v>
      </c>
      <c r="I8" s="33">
        <v>9262</v>
      </c>
      <c r="J8" s="33">
        <f t="shared" si="0"/>
        <v>111144</v>
      </c>
      <c r="K8" s="34">
        <v>496601806</v>
      </c>
      <c r="L8" s="31" t="s">
        <v>108</v>
      </c>
      <c r="M8" s="31" t="s">
        <v>78</v>
      </c>
      <c r="N8" s="31">
        <v>1</v>
      </c>
    </row>
    <row r="9" spans="1:14" ht="15.75" customHeight="1">
      <c r="A9" s="2"/>
      <c r="B9" s="27" t="s">
        <v>72</v>
      </c>
      <c r="C9" s="27" t="str">
        <f ca="1">IFERROR(__xludf.DUMMYFUNCTION("SPLIT(B21,"" "")"),"Beverly")</f>
        <v>Beverly</v>
      </c>
      <c r="D9" s="27" t="str">
        <f ca="1">IFERROR(__xludf.DUMMYFUNCTION("""COMPUTED_VALUE"""),"Landry")</f>
        <v>Landry</v>
      </c>
      <c r="E9" s="27" t="s">
        <v>40</v>
      </c>
      <c r="F9" s="27">
        <v>48</v>
      </c>
      <c r="G9" s="27" t="s">
        <v>117</v>
      </c>
      <c r="H9" s="27" t="s">
        <v>116</v>
      </c>
      <c r="I9" s="29">
        <v>7234</v>
      </c>
      <c r="J9" s="29">
        <f t="shared" si="0"/>
        <v>86808</v>
      </c>
      <c r="K9" s="30">
        <v>238247703</v>
      </c>
      <c r="L9" s="27" t="s">
        <v>118</v>
      </c>
      <c r="M9" s="27" t="s">
        <v>82</v>
      </c>
      <c r="N9" s="27">
        <v>0</v>
      </c>
    </row>
    <row r="10" spans="1:14" ht="15.75" customHeight="1">
      <c r="A10" s="2"/>
      <c r="B10" s="31" t="s">
        <v>73</v>
      </c>
      <c r="C10" s="31" t="str">
        <f ca="1">IFERROR(__xludf.DUMMYFUNCTION("SPLIT(B22,"" "")"),"Raquel")</f>
        <v>Raquel</v>
      </c>
      <c r="D10" s="31" t="str">
        <f ca="1">IFERROR(__xludf.DUMMYFUNCTION("""COMPUTED_VALUE"""),"Pierce")</f>
        <v>Pierce</v>
      </c>
      <c r="E10" s="31" t="s">
        <v>43</v>
      </c>
      <c r="F10" s="31">
        <v>48</v>
      </c>
      <c r="G10" s="31" t="s">
        <v>119</v>
      </c>
      <c r="H10" s="31" t="s">
        <v>120</v>
      </c>
      <c r="I10" s="33">
        <v>2394</v>
      </c>
      <c r="J10" s="33">
        <f t="shared" si="0"/>
        <v>28728</v>
      </c>
      <c r="K10" s="34">
        <v>710502241</v>
      </c>
      <c r="L10" s="31" t="s">
        <v>114</v>
      </c>
      <c r="M10" s="31" t="s">
        <v>82</v>
      </c>
      <c r="N10" s="31">
        <v>2</v>
      </c>
    </row>
    <row r="11" spans="1:14" ht="15.75" customHeight="1">
      <c r="A11" s="2"/>
      <c r="B11" s="27" t="s">
        <v>101</v>
      </c>
      <c r="C11" s="27" t="str">
        <f ca="1">IFERROR(__xludf.DUMMYFUNCTION("SPLIT(B23,"" "")"),"Valarie")</f>
        <v>Valarie</v>
      </c>
      <c r="D11" s="27" t="str">
        <f ca="1">IFERROR(__xludf.DUMMYFUNCTION("""COMPUTED_VALUE"""),"Thornton")</f>
        <v>Thornton</v>
      </c>
      <c r="E11" s="27" t="s">
        <v>43</v>
      </c>
      <c r="F11" s="27">
        <v>41</v>
      </c>
      <c r="G11" s="27" t="s">
        <v>121</v>
      </c>
      <c r="H11" s="27" t="s">
        <v>122</v>
      </c>
      <c r="I11" s="29">
        <v>2555</v>
      </c>
      <c r="J11" s="29">
        <f t="shared" si="0"/>
        <v>30660</v>
      </c>
      <c r="K11" s="30">
        <v>126484863</v>
      </c>
      <c r="L11" s="27" t="s">
        <v>118</v>
      </c>
      <c r="M11" s="27" t="s">
        <v>82</v>
      </c>
      <c r="N11" s="27">
        <v>0</v>
      </c>
    </row>
    <row r="12" spans="1:14" ht="15.75" customHeight="1">
      <c r="A12" s="2"/>
      <c r="B12" s="31" t="s">
        <v>97</v>
      </c>
      <c r="C12" s="31" t="str">
        <f ca="1">IFERROR(__xludf.DUMMYFUNCTION("SPLIT(B24,"" "")"),"Martin")</f>
        <v>Martin</v>
      </c>
      <c r="D12" s="31" t="str">
        <f ca="1">IFERROR(__xludf.DUMMYFUNCTION("""COMPUTED_VALUE"""),"Beasley")</f>
        <v>Beasley</v>
      </c>
      <c r="E12" s="31" t="s">
        <v>40</v>
      </c>
      <c r="F12" s="31">
        <v>44</v>
      </c>
      <c r="G12" s="31" t="s">
        <v>123</v>
      </c>
      <c r="H12" s="31" t="s">
        <v>124</v>
      </c>
      <c r="I12" s="33">
        <v>4267</v>
      </c>
      <c r="J12" s="33">
        <f t="shared" si="0"/>
        <v>51204</v>
      </c>
      <c r="K12" s="34">
        <v>475305514</v>
      </c>
      <c r="L12" s="31" t="s">
        <v>125</v>
      </c>
      <c r="M12" s="31" t="s">
        <v>78</v>
      </c>
      <c r="N12" s="31">
        <v>4</v>
      </c>
    </row>
    <row r="13" spans="1:14" ht="15.75" customHeight="1">
      <c r="A13" s="2"/>
      <c r="B13" s="27" t="s">
        <v>84</v>
      </c>
      <c r="C13" s="27" t="str">
        <f ca="1">IFERROR(__xludf.DUMMYFUNCTION("SPLIT(B25,"" "")"),"Clara")</f>
        <v>Clara</v>
      </c>
      <c r="D13" s="27" t="str">
        <f ca="1">IFERROR(__xludf.DUMMYFUNCTION("""COMPUTED_VALUE"""),"Spencer")</f>
        <v>Spencer</v>
      </c>
      <c r="E13" s="27" t="s">
        <v>43</v>
      </c>
      <c r="F13" s="27">
        <v>48</v>
      </c>
      <c r="G13" s="27" t="s">
        <v>126</v>
      </c>
      <c r="H13" s="27" t="s">
        <v>122</v>
      </c>
      <c r="I13" s="29">
        <v>5100</v>
      </c>
      <c r="J13" s="29">
        <f t="shared" si="0"/>
        <v>61200</v>
      </c>
      <c r="K13" s="30">
        <v>421237239</v>
      </c>
      <c r="L13" s="27" t="s">
        <v>127</v>
      </c>
      <c r="M13" s="27" t="s">
        <v>78</v>
      </c>
      <c r="N13" s="27">
        <v>0</v>
      </c>
    </row>
    <row r="14" spans="1:14" ht="15.75" customHeight="1">
      <c r="A14" s="2"/>
      <c r="B14" s="31" t="s">
        <v>92</v>
      </c>
      <c r="C14" s="31" t="str">
        <f ca="1">IFERROR(__xludf.DUMMYFUNCTION("SPLIT(B26,"" "")"),"Ernest")</f>
        <v>Ernest</v>
      </c>
      <c r="D14" s="31" t="str">
        <f ca="1">IFERROR(__xludf.DUMMYFUNCTION("""COMPUTED_VALUE"""),"Vaughn")</f>
        <v>Vaughn</v>
      </c>
      <c r="E14" s="31" t="s">
        <v>40</v>
      </c>
      <c r="F14" s="31">
        <v>43</v>
      </c>
      <c r="G14" s="31" t="s">
        <v>128</v>
      </c>
      <c r="H14" s="31" t="s">
        <v>129</v>
      </c>
      <c r="I14" s="33">
        <v>3140</v>
      </c>
      <c r="J14" s="33">
        <f t="shared" si="0"/>
        <v>37680</v>
      </c>
      <c r="K14" s="34">
        <v>240397658</v>
      </c>
      <c r="L14" s="31" t="s">
        <v>125</v>
      </c>
      <c r="M14" s="31" t="s">
        <v>82</v>
      </c>
      <c r="N14" s="31">
        <v>1</v>
      </c>
    </row>
    <row r="15" spans="1:14" ht="15.75" customHeight="1">
      <c r="A15" s="2"/>
      <c r="B15" s="27" t="s">
        <v>96</v>
      </c>
      <c r="C15" s="27" t="str">
        <f ca="1">IFERROR(__xludf.DUMMYFUNCTION("SPLIT(B27,"" "")"),"Jed")</f>
        <v>Jed</v>
      </c>
      <c r="D15" s="27" t="str">
        <f ca="1">IFERROR(__xludf.DUMMYFUNCTION("""COMPUTED_VALUE"""),"Bauer")</f>
        <v>Bauer</v>
      </c>
      <c r="E15" s="27" t="s">
        <v>40</v>
      </c>
      <c r="F15" s="27">
        <v>48</v>
      </c>
      <c r="G15" s="27" t="s">
        <v>115</v>
      </c>
      <c r="H15" s="27" t="s">
        <v>116</v>
      </c>
      <c r="I15" s="29">
        <v>4977</v>
      </c>
      <c r="J15" s="29">
        <f t="shared" si="0"/>
        <v>59724</v>
      </c>
      <c r="K15" s="30">
        <v>455817125</v>
      </c>
      <c r="L15" s="27" t="s">
        <v>108</v>
      </c>
      <c r="M15" s="27" t="s">
        <v>78</v>
      </c>
      <c r="N15" s="27">
        <v>0</v>
      </c>
    </row>
    <row r="16" spans="1:14" ht="15.75" customHeight="1">
      <c r="A16" s="2"/>
      <c r="B16" s="31" t="s">
        <v>93</v>
      </c>
      <c r="C16" s="31" t="str">
        <f ca="1">IFERROR(__xludf.DUMMYFUNCTION("SPLIT(B28,"" "")"),"Frances")</f>
        <v>Frances</v>
      </c>
      <c r="D16" s="31" t="str">
        <f ca="1">IFERROR(__xludf.DUMMYFUNCTION("""COMPUTED_VALUE"""),"Camacho")</f>
        <v>Camacho</v>
      </c>
      <c r="E16" s="31" t="s">
        <v>43</v>
      </c>
      <c r="F16" s="31">
        <v>45</v>
      </c>
      <c r="G16" s="31" t="s">
        <v>109</v>
      </c>
      <c r="H16" s="31" t="s">
        <v>110</v>
      </c>
      <c r="I16" s="33">
        <v>2928</v>
      </c>
      <c r="J16" s="33">
        <f t="shared" si="0"/>
        <v>35136</v>
      </c>
      <c r="K16" s="34">
        <v>616043098</v>
      </c>
      <c r="L16" s="31" t="s">
        <v>111</v>
      </c>
      <c r="M16" s="31" t="s">
        <v>82</v>
      </c>
      <c r="N16" s="31">
        <v>1</v>
      </c>
    </row>
    <row r="17" spans="1:14" ht="15.75" customHeight="1">
      <c r="A17" s="2"/>
      <c r="B17" s="27" t="s">
        <v>98</v>
      </c>
      <c r="C17" s="27" t="str">
        <f ca="1">IFERROR(__xludf.DUMMYFUNCTION("SPLIT(B29,"" "")"),"Melba")</f>
        <v>Melba</v>
      </c>
      <c r="D17" s="27" t="str">
        <f ca="1">IFERROR(__xludf.DUMMYFUNCTION("""COMPUTED_VALUE"""),"Buchanan")</f>
        <v>Buchanan</v>
      </c>
      <c r="E17" s="27" t="s">
        <v>43</v>
      </c>
      <c r="F17" s="27">
        <v>48</v>
      </c>
      <c r="G17" s="27" t="s">
        <v>130</v>
      </c>
      <c r="H17" s="27" t="s">
        <v>131</v>
      </c>
      <c r="I17" s="29">
        <v>8097</v>
      </c>
      <c r="J17" s="29">
        <f t="shared" si="0"/>
        <v>97164</v>
      </c>
      <c r="K17" s="30">
        <v>657734805</v>
      </c>
      <c r="L17" s="27" t="s">
        <v>125</v>
      </c>
      <c r="M17" s="27" t="s">
        <v>78</v>
      </c>
      <c r="N17" s="27">
        <v>0</v>
      </c>
    </row>
    <row r="18" spans="1:14" ht="15.75" customHeight="1">
      <c r="A18" s="2"/>
      <c r="B18" s="31" t="s">
        <v>94</v>
      </c>
      <c r="C18" s="31" t="str">
        <f ca="1">IFERROR(__xludf.DUMMYFUNCTION("SPLIT(B30,"" "")"),"Horacio")</f>
        <v>Horacio</v>
      </c>
      <c r="D18" s="31" t="str">
        <f ca="1">IFERROR(__xludf.DUMMYFUNCTION("""COMPUTED_VALUE"""),"Fisher")</f>
        <v>Fisher</v>
      </c>
      <c r="E18" s="31" t="s">
        <v>40</v>
      </c>
      <c r="F18" s="31">
        <v>48</v>
      </c>
      <c r="G18" s="31" t="s">
        <v>132</v>
      </c>
      <c r="H18" s="31" t="s">
        <v>133</v>
      </c>
      <c r="I18" s="33">
        <v>9843</v>
      </c>
      <c r="J18" s="33">
        <f t="shared" si="0"/>
        <v>118116</v>
      </c>
      <c r="K18" s="34">
        <v>590552403</v>
      </c>
      <c r="L18" s="31" t="s">
        <v>114</v>
      </c>
      <c r="M18" s="31" t="s">
        <v>78</v>
      </c>
      <c r="N18" s="31">
        <v>0</v>
      </c>
    </row>
    <row r="19" spans="1:14" ht="15.75" customHeight="1">
      <c r="A19" s="2"/>
      <c r="B19" s="27" t="s">
        <v>89</v>
      </c>
      <c r="C19" s="27" t="str">
        <f ca="1">IFERROR(__xludf.DUMMYFUNCTION("SPLIT(B31,"" "")"),"Emery")</f>
        <v>Emery</v>
      </c>
      <c r="D19" s="27" t="str">
        <f ca="1">IFERROR(__xludf.DUMMYFUNCTION("""COMPUTED_VALUE"""),"Reid")</f>
        <v>Reid</v>
      </c>
      <c r="E19" s="27" t="s">
        <v>40</v>
      </c>
      <c r="F19" s="27">
        <v>42</v>
      </c>
      <c r="G19" s="27" t="s">
        <v>134</v>
      </c>
      <c r="H19" s="27" t="s">
        <v>135</v>
      </c>
      <c r="I19" s="29">
        <v>9036</v>
      </c>
      <c r="J19" s="29">
        <f t="shared" si="0"/>
        <v>108432</v>
      </c>
      <c r="K19" s="30">
        <v>317277659</v>
      </c>
      <c r="L19" s="27" t="s">
        <v>125</v>
      </c>
      <c r="M19" s="27" t="s">
        <v>82</v>
      </c>
      <c r="N19" s="27">
        <v>3</v>
      </c>
    </row>
    <row r="20" spans="1:14" ht="15.75" customHeight="1">
      <c r="A20" s="2"/>
      <c r="B20" s="31" t="s">
        <v>95</v>
      </c>
      <c r="C20" s="31" t="str">
        <f ca="1">IFERROR(__xludf.DUMMYFUNCTION("SPLIT(B32,"" "")"),"Jaime")</f>
        <v>Jaime</v>
      </c>
      <c r="D20" s="31" t="str">
        <f ca="1">IFERROR(__xludf.DUMMYFUNCTION("""COMPUTED_VALUE"""),"Compton")</f>
        <v>Compton</v>
      </c>
      <c r="E20" s="31" t="s">
        <v>40</v>
      </c>
      <c r="F20" s="31">
        <v>47</v>
      </c>
      <c r="G20" s="31" t="s">
        <v>136</v>
      </c>
      <c r="H20" s="31" t="s">
        <v>137</v>
      </c>
      <c r="I20" s="33">
        <v>9178</v>
      </c>
      <c r="J20" s="33">
        <f t="shared" si="0"/>
        <v>110136</v>
      </c>
      <c r="K20" s="34">
        <v>654611351</v>
      </c>
      <c r="L20" s="31" t="s">
        <v>125</v>
      </c>
      <c r="M20" s="31" t="s">
        <v>82</v>
      </c>
      <c r="N20" s="31">
        <v>0</v>
      </c>
    </row>
    <row r="21" spans="1:14" ht="15.75" customHeight="1">
      <c r="A21" s="2"/>
      <c r="B21" s="27" t="s">
        <v>86</v>
      </c>
      <c r="C21" s="27" t="str">
        <f ca="1">IFERROR(__xludf.DUMMYFUNCTION("SPLIT(B33,"" "")"),"Clarence")</f>
        <v>Clarence</v>
      </c>
      <c r="D21" s="27" t="str">
        <f ca="1">IFERROR(__xludf.DUMMYFUNCTION("""COMPUTED_VALUE"""),"Kirby")</f>
        <v>Kirby</v>
      </c>
      <c r="E21" s="27" t="s">
        <v>40</v>
      </c>
      <c r="F21" s="27">
        <v>45</v>
      </c>
      <c r="G21" s="27" t="s">
        <v>138</v>
      </c>
      <c r="H21" s="27" t="s">
        <v>139</v>
      </c>
      <c r="I21" s="29">
        <v>4292</v>
      </c>
      <c r="J21" s="29">
        <f t="shared" si="0"/>
        <v>51504</v>
      </c>
      <c r="K21" s="30">
        <v>413699057</v>
      </c>
      <c r="L21" s="27" t="s">
        <v>111</v>
      </c>
      <c r="M21" s="27" t="s">
        <v>78</v>
      </c>
      <c r="N21" s="27">
        <v>5</v>
      </c>
    </row>
    <row r="22" spans="1:14" ht="15.75" customHeight="1">
      <c r="A22" s="2"/>
      <c r="B22" s="31" t="s">
        <v>81</v>
      </c>
      <c r="C22" s="31" t="str">
        <f ca="1">IFERROR(__xludf.DUMMYFUNCTION("SPLIT(B34,"" "")"),"Charlotte")</f>
        <v>Charlotte</v>
      </c>
      <c r="D22" s="31" t="str">
        <f ca="1">IFERROR(__xludf.DUMMYFUNCTION("""COMPUTED_VALUE"""),"King")</f>
        <v>King</v>
      </c>
      <c r="E22" s="31" t="s">
        <v>43</v>
      </c>
      <c r="F22" s="31">
        <v>49</v>
      </c>
      <c r="G22" s="31" t="s">
        <v>140</v>
      </c>
      <c r="H22" s="31" t="s">
        <v>113</v>
      </c>
      <c r="I22" s="33">
        <v>2464</v>
      </c>
      <c r="J22" s="33">
        <f t="shared" si="0"/>
        <v>29568</v>
      </c>
      <c r="K22" s="34">
        <v>150612156</v>
      </c>
      <c r="L22" s="31" t="s">
        <v>127</v>
      </c>
      <c r="M22" s="31" t="s">
        <v>82</v>
      </c>
      <c r="N22" s="31">
        <v>2</v>
      </c>
    </row>
    <row r="23" spans="1:14" ht="15.75" customHeight="1">
      <c r="A23" s="2"/>
      <c r="B23" s="27" t="s">
        <v>100</v>
      </c>
      <c r="C23" s="27" t="str">
        <f ca="1">IFERROR(__xludf.DUMMYFUNCTION("SPLIT(B35,"" "")"),"Terra")</f>
        <v>Terra</v>
      </c>
      <c r="D23" s="27" t="str">
        <f ca="1">IFERROR(__xludf.DUMMYFUNCTION("""COMPUTED_VALUE"""),"Greer")</f>
        <v>Greer</v>
      </c>
      <c r="E23" s="27" t="s">
        <v>43</v>
      </c>
      <c r="F23" s="27">
        <v>47</v>
      </c>
      <c r="G23" s="27" t="s">
        <v>141</v>
      </c>
      <c r="H23" s="27" t="s">
        <v>142</v>
      </c>
      <c r="I23" s="29">
        <v>863</v>
      </c>
      <c r="J23" s="29">
        <f t="shared" si="0"/>
        <v>10356</v>
      </c>
      <c r="K23" s="30">
        <v>103002425</v>
      </c>
      <c r="L23" s="27" t="s">
        <v>127</v>
      </c>
      <c r="M23" s="27" t="s">
        <v>82</v>
      </c>
      <c r="N23" s="27">
        <v>5</v>
      </c>
    </row>
    <row r="24" spans="1:14" ht="15.75" customHeight="1">
      <c r="A24" s="2"/>
      <c r="B24" s="31" t="s">
        <v>99</v>
      </c>
      <c r="C24" s="31" t="str">
        <f ca="1">IFERROR(__xludf.DUMMYFUNCTION("SPLIT(B36,"" "")"),"Phyllis")</f>
        <v>Phyllis</v>
      </c>
      <c r="D24" s="31" t="str">
        <f ca="1">IFERROR(__xludf.DUMMYFUNCTION("""COMPUTED_VALUE"""),"Jefferson")</f>
        <v>Jefferson</v>
      </c>
      <c r="E24" s="31" t="s">
        <v>43</v>
      </c>
      <c r="F24" s="31">
        <v>43</v>
      </c>
      <c r="G24" s="31" t="s">
        <v>143</v>
      </c>
      <c r="H24" s="31" t="s">
        <v>122</v>
      </c>
      <c r="I24" s="33">
        <v>8325</v>
      </c>
      <c r="J24" s="33">
        <f t="shared" si="0"/>
        <v>99900</v>
      </c>
      <c r="K24" s="34">
        <v>232302956</v>
      </c>
      <c r="L24" s="31" t="s">
        <v>114</v>
      </c>
      <c r="M24" s="31" t="s">
        <v>78</v>
      </c>
      <c r="N24" s="31">
        <v>1</v>
      </c>
    </row>
    <row r="25" spans="1:14" ht="15.75" customHeight="1">
      <c r="A25" s="35"/>
      <c r="B25" s="36"/>
    </row>
    <row r="26" spans="1:14" ht="15.75" customHeight="1">
      <c r="A26" s="35"/>
      <c r="B26" s="35"/>
    </row>
    <row r="27" spans="1:14" ht="15.75" customHeight="1">
      <c r="A27" s="35"/>
      <c r="B27" s="35"/>
    </row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autoFilter ref="B4:N24" xr:uid="{00000000-0009-0000-0000-000005000000}"/>
  <dataConsolidate/>
  <mergeCells count="1">
    <mergeCell ref="A1:C1"/>
  </mergeCells>
  <conditionalFormatting sqref="F1:F988">
    <cfRule type="cellIs" dxfId="7" priority="3" operator="greaterThan">
      <formula>45</formula>
    </cfRule>
  </conditionalFormatting>
  <conditionalFormatting sqref="F1:F1048576">
    <cfRule type="cellIs" dxfId="6" priority="2" operator="greaterThan">
      <formula>45</formula>
    </cfRule>
  </conditionalFormatting>
  <conditionalFormatting sqref="F5:F24">
    <cfRule type="cellIs" dxfId="5" priority="1" operator="greaterThan">
      <formula>45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B4A7D6"/>
    <outlinePr summaryBelow="0" summaryRight="0"/>
  </sheetPr>
  <dimension ref="A1:I1001"/>
  <sheetViews>
    <sheetView zoomScale="98" zoomScaleNormal="98" workbookViewId="0">
      <selection activeCell="D15" sqref="D15"/>
    </sheetView>
  </sheetViews>
  <sheetFormatPr defaultColWidth="14.42578125" defaultRowHeight="15" customHeight="1"/>
  <cols>
    <col min="1" max="1" width="23.28515625" customWidth="1"/>
    <col min="2" max="2" width="17" customWidth="1"/>
    <col min="3" max="3" width="17.28515625" customWidth="1"/>
    <col min="4" max="4" width="18.28515625" customWidth="1"/>
    <col min="5" max="5" width="14.42578125" customWidth="1"/>
    <col min="6" max="6" width="19.42578125" customWidth="1"/>
  </cols>
  <sheetData>
    <row r="1" spans="1:9" ht="15.75" customHeight="1">
      <c r="A1" s="105" t="s">
        <v>257</v>
      </c>
      <c r="B1" s="105"/>
      <c r="E1" s="68"/>
      <c r="F1" s="68"/>
      <c r="G1" s="68"/>
      <c r="H1" s="68"/>
    </row>
    <row r="2" spans="1:9" s="74" customFormat="1" ht="15.75" customHeight="1" thickBot="1">
      <c r="E2" s="68"/>
      <c r="F2" s="68"/>
      <c r="G2" s="68"/>
      <c r="H2" s="68"/>
    </row>
    <row r="3" spans="1:9" ht="15.75" customHeight="1" thickTop="1" thickBot="1">
      <c r="A3" s="14" t="s">
        <v>144</v>
      </c>
      <c r="B3" s="69" t="s">
        <v>145</v>
      </c>
      <c r="E3" s="5"/>
      <c r="F3" s="5"/>
      <c r="G3" s="68"/>
      <c r="H3" s="5"/>
    </row>
    <row r="4" spans="1:9" ht="15.75" customHeight="1" thickTop="1">
      <c r="F4" s="10" t="s">
        <v>244</v>
      </c>
      <c r="G4" s="68"/>
      <c r="H4" s="5"/>
    </row>
    <row r="5" spans="1:9" ht="15.75" customHeight="1">
      <c r="A5" s="10" t="s">
        <v>146</v>
      </c>
    </row>
    <row r="6" spans="1:9" ht="15.75" customHeight="1" thickBot="1">
      <c r="F6" s="106"/>
      <c r="G6" s="107" t="s">
        <v>148</v>
      </c>
      <c r="H6" s="107" t="s">
        <v>245</v>
      </c>
    </row>
    <row r="7" spans="1:9" ht="15.75" customHeight="1" thickTop="1" thickBot="1">
      <c r="B7" s="37" t="s">
        <v>250</v>
      </c>
      <c r="C7" s="37" t="s">
        <v>150</v>
      </c>
      <c r="D7" s="37" t="s">
        <v>151</v>
      </c>
      <c r="F7" s="108" t="s">
        <v>149</v>
      </c>
      <c r="G7" s="109">
        <f>SUMIFS('Formated Data'!$F:$F,'Formated Data'!$H:$H,$F7,'Formated Data'!$C:$C,$B$3,'Formated Data'!$F:$F,"&gt;0")</f>
        <v>6467</v>
      </c>
      <c r="H7" s="109">
        <f>-SUMIFS('Formated Data'!$F:$F,'Formated Data'!$H:$H,$F7,'Formated Data'!$C:$C,$B$3,'Formated Data'!$F:$F,"&lt;0")</f>
        <v>3043</v>
      </c>
    </row>
    <row r="8" spans="1:9" ht="15.75" customHeight="1" thickTop="1" thickBot="1">
      <c r="A8" s="38" t="s">
        <v>153</v>
      </c>
      <c r="B8" s="39">
        <f t="shared" ref="B8" si="0">SUM(B9:B10)</f>
        <v>6467</v>
      </c>
      <c r="C8" s="39">
        <f>SUM(C9:C10)</f>
        <v>5544</v>
      </c>
      <c r="D8" s="39">
        <f t="shared" ref="D8:D32" si="1">B8-C8</f>
        <v>923</v>
      </c>
      <c r="F8" s="108" t="s">
        <v>152</v>
      </c>
      <c r="G8" s="109">
        <f>SUMIFS('Formated Data'!$F:$F,'Formated Data'!$H:$H,$F8,'Formated Data'!$C:$C,$B$3,'Formated Data'!$F:$F,"&gt;0")</f>
        <v>0</v>
      </c>
      <c r="H8" s="109">
        <f>-SUMIFS('Formated Data'!$F:$F,'Formated Data'!$H:$H,$F8,'Formated Data'!$C:$C,$B$3,'Formated Data'!$F:$F,"&lt;0")</f>
        <v>1811.4577822356655</v>
      </c>
    </row>
    <row r="9" spans="1:9" ht="15.75" customHeight="1" thickTop="1" thickBot="1">
      <c r="A9" s="40" t="s">
        <v>155</v>
      </c>
      <c r="B9" s="41">
        <f>SUMIFS('Formated Data'!F:F,'Formated Data'!C:C,$B$3,'Formated Data'!E:E,$A9)</f>
        <v>5544</v>
      </c>
      <c r="C9" s="42">
        <v>5544</v>
      </c>
      <c r="D9" s="41">
        <f t="shared" si="1"/>
        <v>0</v>
      </c>
      <c r="F9" s="108" t="s">
        <v>154</v>
      </c>
      <c r="G9" s="109">
        <f>SUMIFS('Formated Data'!$F:$F,'Formated Data'!$H:$H,$F9,'Formated Data'!$C:$C,$B$3,'Formated Data'!$F:$F,"&gt;0")</f>
        <v>0</v>
      </c>
      <c r="H9" s="109">
        <f>-SUMIFS('Formated Data'!$F:$F,'Formated Data'!$H:$H,$F9,'Formated Data'!$C:$C,$B$3,'Formated Data'!$F:$F,"&lt;0")</f>
        <v>1304.71</v>
      </c>
    </row>
    <row r="10" spans="1:9" ht="15.75" customHeight="1" thickTop="1" thickBot="1">
      <c r="A10" s="43" t="s">
        <v>157</v>
      </c>
      <c r="B10" s="44">
        <f>SUMIFS('Formated Data'!F:F,'Formated Data'!C:C,$B$3,'Formated Data'!E:E,$A10)</f>
        <v>923</v>
      </c>
      <c r="C10" s="45">
        <v>0</v>
      </c>
      <c r="D10" s="44">
        <f t="shared" si="1"/>
        <v>923</v>
      </c>
      <c r="F10" s="108" t="s">
        <v>156</v>
      </c>
      <c r="G10" s="109">
        <f>SUMIFS('Formated Data'!$F:$F,'Formated Data'!$H:$H,$F10,'Formated Data'!$C:$C,$B$3,'Formated Data'!$F:$F,"&gt;0")</f>
        <v>0</v>
      </c>
      <c r="H10" s="109">
        <f>-SUMIFS('Formated Data'!$F:$F,'Formated Data'!$H:$H,$F10,'Formated Data'!$C:$C,$B$3,'Formated Data'!$F:$F,"&lt;0")</f>
        <v>174.27495445493372</v>
      </c>
    </row>
    <row r="11" spans="1:9" ht="15.75" customHeight="1" thickTop="1" thickBot="1">
      <c r="A11" s="46" t="s">
        <v>158</v>
      </c>
      <c r="B11" s="47">
        <f t="shared" ref="B11" si="2">B12+B15+B18+B22+B25+B27</f>
        <v>6333.4427366905984</v>
      </c>
      <c r="C11" s="47">
        <f>C12+C15+C18+C22+C25+C27</f>
        <v>5300</v>
      </c>
      <c r="D11" s="47">
        <f t="shared" si="1"/>
        <v>1033.4427366905984</v>
      </c>
      <c r="F11" s="108" t="s">
        <v>52</v>
      </c>
      <c r="G11" s="110">
        <f t="shared" ref="G11:H11" si="3">SUM(G7:G10)</f>
        <v>6467</v>
      </c>
      <c r="H11" s="110">
        <f t="shared" si="3"/>
        <v>6333.4427366905993</v>
      </c>
    </row>
    <row r="12" spans="1:9" ht="15.75" customHeight="1" thickTop="1" thickBot="1">
      <c r="A12" s="48" t="s">
        <v>159</v>
      </c>
      <c r="B12" s="49">
        <f t="shared" ref="B12" si="4">SUM(B13:B14)</f>
        <v>2154.33</v>
      </c>
      <c r="C12" s="49">
        <f>SUM(C13:C14)</f>
        <v>2250</v>
      </c>
      <c r="D12" s="49">
        <f t="shared" si="1"/>
        <v>-95.670000000000073</v>
      </c>
    </row>
    <row r="13" spans="1:9" ht="15.75" customHeight="1" thickTop="1" thickBot="1">
      <c r="A13" s="40" t="s">
        <v>160</v>
      </c>
      <c r="B13" s="41">
        <f>-SUMIFS('Formated Data'!F:F,'Formated Data'!C:C,$B$3,'Formated Data'!E:E,$A13)</f>
        <v>1903</v>
      </c>
      <c r="C13" s="42">
        <v>2000</v>
      </c>
      <c r="D13" s="41">
        <f t="shared" si="1"/>
        <v>-97</v>
      </c>
    </row>
    <row r="14" spans="1:9" ht="15.75" customHeight="1" thickTop="1" thickBot="1">
      <c r="A14" s="50" t="s">
        <v>161</v>
      </c>
      <c r="B14" s="51">
        <f>-SUMIFS('Formated Data'!F:F,'Formated Data'!C:C,$B$3,'Formated Data'!E:E,$A14)</f>
        <v>251.33</v>
      </c>
      <c r="C14" s="52">
        <v>250</v>
      </c>
      <c r="D14" s="51">
        <f t="shared" si="1"/>
        <v>1.3300000000000125</v>
      </c>
      <c r="F14" s="10" t="s">
        <v>246</v>
      </c>
    </row>
    <row r="15" spans="1:9" ht="15.75" customHeight="1" thickTop="1" thickBot="1">
      <c r="A15" s="53" t="s">
        <v>162</v>
      </c>
      <c r="B15" s="49">
        <f t="shared" ref="B15" si="5">SUM(B16:B17)</f>
        <v>656.34778223566536</v>
      </c>
      <c r="C15" s="49">
        <f>SUM(C16:C17)</f>
        <v>500</v>
      </c>
      <c r="D15" s="49">
        <f t="shared" si="1"/>
        <v>156.34778223566536</v>
      </c>
    </row>
    <row r="16" spans="1:9" ht="15.75" customHeight="1" thickTop="1" thickBot="1">
      <c r="A16" s="40" t="s">
        <v>163</v>
      </c>
      <c r="B16" s="41">
        <f>-SUMIFS('Formated Data'!F:F,'Formated Data'!C:C,$B$3,'Formated Data'!E:E,$A16)</f>
        <v>487.1877822356654</v>
      </c>
      <c r="C16" s="42">
        <v>350</v>
      </c>
      <c r="D16" s="41">
        <f t="shared" si="1"/>
        <v>137.1877822356654</v>
      </c>
      <c r="F16" s="106"/>
      <c r="G16" s="111" t="s">
        <v>243</v>
      </c>
      <c r="H16" s="111" t="s">
        <v>145</v>
      </c>
      <c r="I16" s="111" t="s">
        <v>247</v>
      </c>
    </row>
    <row r="17" spans="1:9" ht="15.75" customHeight="1" thickTop="1" thickBot="1">
      <c r="A17" s="50" t="s">
        <v>103</v>
      </c>
      <c r="B17" s="51">
        <f>-SUMIFS('Formated Data'!F:F,'Formated Data'!C:C,$B$3,'Formated Data'!E:E,$A17)</f>
        <v>169.16</v>
      </c>
      <c r="C17" s="52">
        <v>150</v>
      </c>
      <c r="D17" s="51">
        <f t="shared" si="1"/>
        <v>19.159999999999997</v>
      </c>
      <c r="F17" s="108" t="s">
        <v>148</v>
      </c>
      <c r="G17" s="109">
        <f>SUMIFS('Formated Data'!$F:$F,'Formated Data'!$C:$C,G$16,'Formated Data'!$F:$F,"&gt;0")</f>
        <v>6197.587855184428</v>
      </c>
      <c r="H17" s="109">
        <f>SUMIFS('Formated Data'!$F:$F,'Formated Data'!$C:$C,H$16,'Formated Data'!$F:$F,"&gt;0")</f>
        <v>6467</v>
      </c>
      <c r="I17" s="109">
        <f>SUMIFS('Formated Data'!$F:$F,'Formated Data'!$C:$C,I$16,'Formated Data'!$F:$F,"&gt;0")</f>
        <v>5544</v>
      </c>
    </row>
    <row r="18" spans="1:9" ht="15.75" customHeight="1" thickTop="1" thickBot="1">
      <c r="A18" s="53" t="s">
        <v>164</v>
      </c>
      <c r="B18" s="49">
        <f>SUM(B19:B21)</f>
        <v>470.94495445493374</v>
      </c>
      <c r="C18" s="49">
        <v>400</v>
      </c>
      <c r="D18" s="49">
        <f t="shared" si="1"/>
        <v>70.944954454933736</v>
      </c>
      <c r="F18" s="108" t="s">
        <v>248</v>
      </c>
      <c r="G18" s="109">
        <f>-SUMIFS('Formated Data'!$F:$F,'Formated Data'!$C:$C,G$16,'Formated Data'!$F:$F,"&lt;0")</f>
        <v>5257.1023498064096</v>
      </c>
      <c r="H18" s="109">
        <f>-SUMIFS('Formated Data'!$F:$F,'Formated Data'!$C:$C,H$16,'Formated Data'!$F:$F,"&lt;0")</f>
        <v>6333.4427366906002</v>
      </c>
      <c r="I18" s="109">
        <f>-SUMIFS('Formated Data'!$F:$F,'Formated Data'!$C:$C,I$16,'Formated Data'!$F:$F,"&lt;0")</f>
        <v>5978.7029084571868</v>
      </c>
    </row>
    <row r="19" spans="1:9" ht="15.75" customHeight="1" thickTop="1" thickBot="1">
      <c r="A19" s="40" t="s">
        <v>165</v>
      </c>
      <c r="B19" s="41">
        <f>-SUMIFS('Formated Data'!F:F,'Formated Data'!C:C,$B$3,'Formated Data'!E:E,$A19)</f>
        <v>290.45999999999998</v>
      </c>
      <c r="C19" s="42">
        <v>250</v>
      </c>
      <c r="D19" s="41">
        <f t="shared" si="1"/>
        <v>40.45999999999998</v>
      </c>
      <c r="F19" s="108" t="s">
        <v>249</v>
      </c>
      <c r="G19" s="110">
        <f t="shared" ref="G19:I19" si="6">G17-G18</f>
        <v>940.48550537801839</v>
      </c>
      <c r="H19" s="110">
        <f t="shared" si="6"/>
        <v>133.55726330939979</v>
      </c>
      <c r="I19" s="110">
        <f t="shared" si="6"/>
        <v>-434.70290845718682</v>
      </c>
    </row>
    <row r="20" spans="1:9" ht="15.75" customHeight="1" thickTop="1" thickBot="1">
      <c r="A20" s="54" t="s">
        <v>166</v>
      </c>
      <c r="B20" s="55">
        <f>-SUMIFS('Formated Data'!F:F,'Formated Data'!C:C,$B$3,'Formated Data'!E:E,$A20)</f>
        <v>180.48495445493373</v>
      </c>
      <c r="C20" s="56">
        <v>150</v>
      </c>
      <c r="D20" s="55">
        <f t="shared" si="1"/>
        <v>30.484954454933728</v>
      </c>
    </row>
    <row r="21" spans="1:9" ht="15.75" customHeight="1" thickTop="1" thickBot="1">
      <c r="A21" s="50" t="s">
        <v>167</v>
      </c>
      <c r="B21" s="51">
        <f>-SUMIFS('Formated Data'!F:F,'Formated Data'!C:C,$B$3,'Formated Data'!E:E,$A21)</f>
        <v>0</v>
      </c>
      <c r="C21" s="52">
        <v>25</v>
      </c>
      <c r="D21" s="51">
        <f t="shared" si="1"/>
        <v>-25</v>
      </c>
    </row>
    <row r="22" spans="1:9" ht="15.75" customHeight="1" thickTop="1" thickBot="1">
      <c r="A22" s="53" t="s">
        <v>168</v>
      </c>
      <c r="B22" s="49">
        <f t="shared" ref="B22" si="7">SUM(B23:B24)</f>
        <v>638.96999999999991</v>
      </c>
      <c r="C22" s="49">
        <f>SUM(C23:C24)</f>
        <v>350</v>
      </c>
      <c r="D22" s="49">
        <f t="shared" si="1"/>
        <v>288.96999999999991</v>
      </c>
    </row>
    <row r="23" spans="1:9" ht="15.75" customHeight="1" thickTop="1" thickBot="1">
      <c r="A23" s="40" t="s">
        <v>169</v>
      </c>
      <c r="B23" s="41">
        <f>-SUMIFS('Formated Data'!F:F,'Formated Data'!C:C,$B$3,'Formated Data'!E:E,$A23)</f>
        <v>588.96999999999991</v>
      </c>
      <c r="C23" s="42">
        <v>300</v>
      </c>
      <c r="D23" s="41">
        <f t="shared" si="1"/>
        <v>288.96999999999991</v>
      </c>
    </row>
    <row r="24" spans="1:9" ht="15.75" customHeight="1" thickTop="1" thickBot="1">
      <c r="A24" s="50" t="s">
        <v>170</v>
      </c>
      <c r="B24" s="51">
        <f>-SUMIFS('Formated Data'!F:F,'Formated Data'!C:C,$B$3,'Formated Data'!E:E,$A24)</f>
        <v>50</v>
      </c>
      <c r="C24" s="52">
        <v>50</v>
      </c>
      <c r="D24" s="51">
        <f t="shared" si="1"/>
        <v>0</v>
      </c>
    </row>
    <row r="25" spans="1:9" ht="15.75" customHeight="1" thickTop="1" thickBot="1">
      <c r="A25" s="53" t="s">
        <v>171</v>
      </c>
      <c r="B25" s="49">
        <f t="shared" ref="B25" si="8">SUM(B26)</f>
        <v>800</v>
      </c>
      <c r="C25" s="49">
        <f>SUM(C26)</f>
        <v>500</v>
      </c>
      <c r="D25" s="49">
        <f t="shared" si="1"/>
        <v>300</v>
      </c>
    </row>
    <row r="26" spans="1:9" ht="15.75" customHeight="1" thickTop="1" thickBot="1">
      <c r="A26" s="57" t="s">
        <v>172</v>
      </c>
      <c r="B26" s="58">
        <f>-SUMIFS('Formated Data'!F:F,'Formated Data'!C:C,$B$3,'Formated Data'!E:E,$A26)</f>
        <v>800</v>
      </c>
      <c r="C26" s="59">
        <v>500</v>
      </c>
      <c r="D26" s="58">
        <f t="shared" si="1"/>
        <v>300</v>
      </c>
    </row>
    <row r="27" spans="1:9" ht="15.75" customHeight="1" thickTop="1" thickBot="1">
      <c r="A27" s="53" t="s">
        <v>173</v>
      </c>
      <c r="B27" s="49">
        <f t="shared" ref="B27" si="9">SUM(B28:B32)</f>
        <v>1612.85</v>
      </c>
      <c r="C27" s="49">
        <f>SUM(C28:C32)</f>
        <v>1300</v>
      </c>
      <c r="D27" s="49">
        <f t="shared" si="1"/>
        <v>312.84999999999991</v>
      </c>
    </row>
    <row r="28" spans="1:9" ht="15.75" customHeight="1" thickTop="1" thickBot="1">
      <c r="A28" s="40" t="s">
        <v>174</v>
      </c>
      <c r="B28" s="41">
        <f>-SUMIFS('Formated Data'!F:F,'Formated Data'!C:C,$B$3,'Formated Data'!E:E,$A28)</f>
        <v>156.1</v>
      </c>
      <c r="C28" s="42">
        <v>100</v>
      </c>
      <c r="D28" s="41">
        <f t="shared" si="1"/>
        <v>56.099999999999994</v>
      </c>
    </row>
    <row r="29" spans="1:9" ht="15.75" customHeight="1" thickTop="1" thickBot="1">
      <c r="A29" s="54" t="s">
        <v>175</v>
      </c>
      <c r="B29" s="55">
        <f>-SUMIFS('Formated Data'!F:F,'Formated Data'!C:C,$B$3,'Formated Data'!E:E,$A29)</f>
        <v>55.82</v>
      </c>
      <c r="C29" s="56">
        <v>100</v>
      </c>
      <c r="D29" s="55">
        <f t="shared" si="1"/>
        <v>-44.18</v>
      </c>
    </row>
    <row r="30" spans="1:9" ht="15.75" customHeight="1" thickTop="1" thickBot="1">
      <c r="A30" s="54" t="s">
        <v>176</v>
      </c>
      <c r="B30" s="55">
        <f>-SUMIFS('Formated Data'!F:F,'Formated Data'!C:C,$B$3,'Formated Data'!E:E,$A30)</f>
        <v>740</v>
      </c>
      <c r="C30" s="56">
        <v>500</v>
      </c>
      <c r="D30" s="55">
        <f t="shared" si="1"/>
        <v>240</v>
      </c>
    </row>
    <row r="31" spans="1:9" ht="15.75" customHeight="1" thickTop="1" thickBot="1">
      <c r="A31" s="54" t="s">
        <v>177</v>
      </c>
      <c r="B31" s="55">
        <f>-SUMIFS('Formated Data'!F:F,'Formated Data'!C:C,$B$3,'Formated Data'!E:E,$A31)</f>
        <v>543.97</v>
      </c>
      <c r="C31" s="56">
        <v>500</v>
      </c>
      <c r="D31" s="55">
        <f t="shared" si="1"/>
        <v>43.970000000000027</v>
      </c>
    </row>
    <row r="32" spans="1:9" ht="15.75" customHeight="1" thickTop="1" thickBot="1">
      <c r="A32" s="43" t="s">
        <v>178</v>
      </c>
      <c r="B32" s="44">
        <f>-SUMIFS('Formated Data'!F:F,'Formated Data'!C:C,$B$3,'Formated Data'!E:E,$A32)</f>
        <v>116.95999999999998</v>
      </c>
      <c r="C32" s="45">
        <v>100</v>
      </c>
      <c r="D32" s="44">
        <f t="shared" si="1"/>
        <v>16.95999999999998</v>
      </c>
    </row>
    <row r="33" spans="1:4" ht="15.75" customHeight="1" thickTop="1" thickBot="1">
      <c r="A33" s="60" t="s">
        <v>179</v>
      </c>
      <c r="B33" s="61">
        <f t="shared" ref="B33" si="10">B8-B11</f>
        <v>133.55726330940161</v>
      </c>
      <c r="C33" s="61">
        <f>C8-C11</f>
        <v>244</v>
      </c>
      <c r="D33" s="61">
        <f>D8-D11</f>
        <v>-110.44273669059839</v>
      </c>
    </row>
    <row r="34" spans="1:4" ht="15.75" customHeight="1" thickTop="1"/>
    <row r="35" spans="1:4" ht="15.75" customHeight="1"/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B1"/>
  </mergeCells>
  <conditionalFormatting sqref="B33">
    <cfRule type="cellIs" dxfId="4" priority="1" operator="greaterThan">
      <formula>0</formula>
    </cfRule>
  </conditionalFormatting>
  <conditionalFormatting sqref="B33">
    <cfRule type="cellIs" dxfId="3" priority="2" operator="lessThanOrEqual">
      <formula>0</formula>
    </cfRule>
  </conditionalFormatting>
  <conditionalFormatting sqref="D12 D15 D18 D22 D25 D27">
    <cfRule type="cellIs" dxfId="2" priority="3" operator="greaterThan">
      <formula>0</formula>
    </cfRule>
  </conditionalFormatting>
  <pageMargins left="0.7" right="0.7" top="0.75" bottom="0.75" header="0" footer="0"/>
  <pageSetup orientation="landscape"/>
  <drawing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'Formated Data'!$P$2:$P$4</xm:f>
          </x14:formula1>
          <xm:sqref>B3</xm:sqref>
        </x14:dataValidation>
        <x14:dataValidation type="list" showInputMessage="1" showErrorMessage="1" xr:uid="{D6B261AD-930A-48F2-8226-D0672C79723B}">
          <x14:formula1>
            <xm:f>'Formated Data'!$C:$C</xm:f>
          </x14:formula1>
          <xm:sqref>D2</xm:sqref>
        </x14:dataValidation>
        <x14:dataValidation type="list" allowBlank="1" showInputMessage="1" showErrorMessage="1" xr:uid="{8EBD9C85-40C2-4B03-B08A-6AE761B386D6}">
          <x14:formula1>
            <xm:f>'Formated Data'!$B$2:$B$101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B4A7D6"/>
    <outlinePr summaryBelow="0" summaryRight="0"/>
  </sheetPr>
  <dimension ref="A1:P1000"/>
  <sheetViews>
    <sheetView workbookViewId="0">
      <selection activeCell="H4" sqref="H4"/>
    </sheetView>
  </sheetViews>
  <sheetFormatPr defaultColWidth="14.42578125" defaultRowHeight="15" customHeight="1"/>
  <cols>
    <col min="1" max="1" width="17.28515625" customWidth="1"/>
    <col min="2" max="4" width="26.7109375" customWidth="1"/>
    <col min="5" max="5" width="19.85546875" customWidth="1"/>
    <col min="6" max="6" width="18.42578125" customWidth="1"/>
    <col min="7" max="7" width="17.7109375" customWidth="1"/>
    <col min="9" max="9" width="13" customWidth="1"/>
    <col min="10" max="11" width="29.140625" customWidth="1"/>
    <col min="12" max="12" width="25.85546875" customWidth="1"/>
  </cols>
  <sheetData>
    <row r="1" spans="1:16" ht="15.75" customHeight="1">
      <c r="A1" s="70" t="s">
        <v>180</v>
      </c>
      <c r="B1" s="63"/>
      <c r="C1" s="63" t="s">
        <v>251</v>
      </c>
      <c r="D1" s="63" t="s">
        <v>181</v>
      </c>
      <c r="E1" s="63" t="s">
        <v>182</v>
      </c>
      <c r="F1" s="64" t="s">
        <v>183</v>
      </c>
      <c r="G1" s="63" t="s">
        <v>184</v>
      </c>
      <c r="H1" s="63" t="s">
        <v>147</v>
      </c>
      <c r="J1" s="71"/>
      <c r="K1" s="63" t="s">
        <v>184</v>
      </c>
      <c r="L1" s="65" t="s">
        <v>185</v>
      </c>
      <c r="M1" s="65" t="s">
        <v>147</v>
      </c>
    </row>
    <row r="2" spans="1:16" ht="15.75" customHeight="1">
      <c r="A2" s="66">
        <v>43145</v>
      </c>
      <c r="B2" s="72" t="str">
        <f t="shared" ref="B2:B33" si="0">TEXT($A2,"MMMM")&amp;" "&amp;TEXT($A2,"YYY")</f>
        <v>February 2018</v>
      </c>
      <c r="C2" s="72" t="str">
        <f t="shared" ref="C2:C33" si="1">TEXT(A2,"mmmm")&amp;" "&amp;TEXT(A2,"yyyy")</f>
        <v>February 2018</v>
      </c>
      <c r="D2" s="2" t="s">
        <v>186</v>
      </c>
      <c r="E2" s="2" t="s">
        <v>172</v>
      </c>
      <c r="F2" s="3">
        <v>-250</v>
      </c>
      <c r="G2" s="2" t="s">
        <v>187</v>
      </c>
      <c r="H2" s="2" t="str">
        <f t="shared" ref="H2:H33" si="2">VLOOKUP(G2,$K$2:$M$8,3,FALSE)</f>
        <v>Family</v>
      </c>
      <c r="I2" s="72"/>
      <c r="J2" s="2"/>
      <c r="K2" s="2" t="s">
        <v>187</v>
      </c>
      <c r="L2" s="2" t="s">
        <v>188</v>
      </c>
      <c r="M2" s="2" t="s">
        <v>149</v>
      </c>
      <c r="P2" t="s">
        <v>247</v>
      </c>
    </row>
    <row r="3" spans="1:16" ht="15.75" customHeight="1">
      <c r="A3" s="66">
        <v>43145</v>
      </c>
      <c r="B3" s="72" t="str">
        <f t="shared" si="0"/>
        <v>February 2018</v>
      </c>
      <c r="C3" s="72" t="str">
        <f t="shared" si="1"/>
        <v>February 2018</v>
      </c>
      <c r="D3" s="2" t="s">
        <v>189</v>
      </c>
      <c r="E3" s="2" t="s">
        <v>167</v>
      </c>
      <c r="F3" s="3">
        <v>-10.095479406824349</v>
      </c>
      <c r="G3" s="2" t="s">
        <v>190</v>
      </c>
      <c r="H3" s="2" t="str">
        <f t="shared" si="2"/>
        <v>Daughter</v>
      </c>
      <c r="I3" s="72"/>
      <c r="J3" s="2"/>
      <c r="K3" s="2" t="s">
        <v>191</v>
      </c>
      <c r="L3" s="2" t="s">
        <v>192</v>
      </c>
      <c r="M3" s="2" t="s">
        <v>152</v>
      </c>
      <c r="P3" t="s">
        <v>145</v>
      </c>
    </row>
    <row r="4" spans="1:16" ht="15.75" customHeight="1">
      <c r="A4" s="66">
        <v>43144</v>
      </c>
      <c r="B4" s="72" t="str">
        <f t="shared" si="0"/>
        <v>February 2018</v>
      </c>
      <c r="C4" s="72" t="str">
        <f t="shared" si="1"/>
        <v>February 2018</v>
      </c>
      <c r="D4" s="2" t="s">
        <v>193</v>
      </c>
      <c r="E4" s="2" t="s">
        <v>169</v>
      </c>
      <c r="F4" s="3">
        <v>-38.689165809099251</v>
      </c>
      <c r="G4" s="2" t="s">
        <v>191</v>
      </c>
      <c r="H4" s="2" t="str">
        <f t="shared" si="2"/>
        <v>Dad</v>
      </c>
      <c r="I4" s="72"/>
      <c r="J4" s="2"/>
      <c r="K4" s="2" t="s">
        <v>194</v>
      </c>
      <c r="L4" s="2" t="s">
        <v>195</v>
      </c>
      <c r="M4" s="2" t="s">
        <v>152</v>
      </c>
      <c r="P4" t="s">
        <v>243</v>
      </c>
    </row>
    <row r="5" spans="1:16" ht="15.75" customHeight="1">
      <c r="A5" s="66">
        <v>43143</v>
      </c>
      <c r="B5" s="72" t="str">
        <f t="shared" si="0"/>
        <v>February 2018</v>
      </c>
      <c r="C5" s="72" t="str">
        <f t="shared" si="1"/>
        <v>February 2018</v>
      </c>
      <c r="D5" s="2" t="s">
        <v>196</v>
      </c>
      <c r="E5" s="2" t="s">
        <v>177</v>
      </c>
      <c r="F5" s="3">
        <v>-39.323944970056019</v>
      </c>
      <c r="G5" s="2" t="s">
        <v>197</v>
      </c>
      <c r="H5" s="2" t="str">
        <f t="shared" si="2"/>
        <v>Dad</v>
      </c>
      <c r="J5" s="2"/>
      <c r="K5" s="2" t="s">
        <v>198</v>
      </c>
      <c r="L5" s="2" t="s">
        <v>199</v>
      </c>
      <c r="M5" s="2" t="s">
        <v>154</v>
      </c>
    </row>
    <row r="6" spans="1:16" ht="15.75" customHeight="1">
      <c r="A6" s="66">
        <v>43142</v>
      </c>
      <c r="B6" s="72" t="str">
        <f t="shared" si="0"/>
        <v>February 2018</v>
      </c>
      <c r="C6" s="72" t="str">
        <f t="shared" si="1"/>
        <v>February 2018</v>
      </c>
      <c r="D6" s="2" t="s">
        <v>200</v>
      </c>
      <c r="E6" s="2" t="s">
        <v>169</v>
      </c>
      <c r="F6" s="3">
        <v>-3251.3820558013899</v>
      </c>
      <c r="G6" s="2" t="s">
        <v>197</v>
      </c>
      <c r="H6" s="2" t="str">
        <f t="shared" si="2"/>
        <v>Dad</v>
      </c>
      <c r="J6" s="2"/>
      <c r="K6" s="2" t="s">
        <v>190</v>
      </c>
      <c r="L6" s="2" t="s">
        <v>201</v>
      </c>
      <c r="M6" s="2" t="s">
        <v>156</v>
      </c>
    </row>
    <row r="7" spans="1:16" ht="15.75" customHeight="1">
      <c r="A7" s="66">
        <v>43141</v>
      </c>
      <c r="B7" s="72" t="str">
        <f t="shared" si="0"/>
        <v>February 2018</v>
      </c>
      <c r="C7" s="72" t="str">
        <f t="shared" si="1"/>
        <v>February 2018</v>
      </c>
      <c r="D7" s="2" t="s">
        <v>202</v>
      </c>
      <c r="E7" s="2" t="s">
        <v>177</v>
      </c>
      <c r="F7" s="3">
        <v>-25.808571837218487</v>
      </c>
      <c r="G7" s="2" t="s">
        <v>194</v>
      </c>
      <c r="H7" s="2" t="str">
        <f t="shared" si="2"/>
        <v>Dad</v>
      </c>
      <c r="J7" s="2"/>
      <c r="K7" s="2" t="s">
        <v>203</v>
      </c>
      <c r="L7" s="2" t="s">
        <v>204</v>
      </c>
      <c r="M7" s="2" t="s">
        <v>154</v>
      </c>
    </row>
    <row r="8" spans="1:16" ht="15.75" customHeight="1">
      <c r="A8" s="66">
        <v>43140</v>
      </c>
      <c r="B8" s="72" t="str">
        <f t="shared" si="0"/>
        <v>February 2018</v>
      </c>
      <c r="C8" s="72" t="str">
        <f t="shared" si="1"/>
        <v>February 2018</v>
      </c>
      <c r="D8" s="2" t="s">
        <v>205</v>
      </c>
      <c r="E8" s="2" t="s">
        <v>160</v>
      </c>
      <c r="F8" s="3">
        <v>-1903</v>
      </c>
      <c r="G8" s="2" t="s">
        <v>187</v>
      </c>
      <c r="H8" s="2" t="str">
        <f t="shared" si="2"/>
        <v>Family</v>
      </c>
      <c r="J8" s="2"/>
      <c r="K8" s="2" t="s">
        <v>197</v>
      </c>
      <c r="L8" s="2" t="s">
        <v>206</v>
      </c>
      <c r="M8" s="2" t="s">
        <v>152</v>
      </c>
    </row>
    <row r="9" spans="1:16" ht="15.75" customHeight="1">
      <c r="A9" s="66">
        <v>43140</v>
      </c>
      <c r="B9" s="72" t="str">
        <f t="shared" si="0"/>
        <v>February 2018</v>
      </c>
      <c r="C9" s="72" t="str">
        <f t="shared" si="1"/>
        <v>February 2018</v>
      </c>
      <c r="D9" s="2" t="s">
        <v>155</v>
      </c>
      <c r="E9" s="2" t="s">
        <v>155</v>
      </c>
      <c r="F9" s="67">
        <v>5544</v>
      </c>
      <c r="G9" s="2" t="s">
        <v>187</v>
      </c>
      <c r="H9" s="2" t="str">
        <f t="shared" si="2"/>
        <v>Family</v>
      </c>
    </row>
    <row r="10" spans="1:16" ht="15.75" customHeight="1">
      <c r="A10" s="66">
        <v>43140</v>
      </c>
      <c r="B10" s="72" t="str">
        <f t="shared" si="0"/>
        <v>February 2018</v>
      </c>
      <c r="C10" s="72" t="str">
        <f t="shared" si="1"/>
        <v>February 2018</v>
      </c>
      <c r="D10" s="2" t="s">
        <v>207</v>
      </c>
      <c r="E10" s="2" t="s">
        <v>178</v>
      </c>
      <c r="F10" s="3">
        <v>-9.1152874139295825</v>
      </c>
      <c r="G10" s="2" t="s">
        <v>194</v>
      </c>
      <c r="H10" s="2" t="str">
        <f t="shared" si="2"/>
        <v>Dad</v>
      </c>
    </row>
    <row r="11" spans="1:16" ht="15.75" customHeight="1">
      <c r="A11" s="66">
        <v>43139</v>
      </c>
      <c r="B11" s="72" t="str">
        <f t="shared" si="0"/>
        <v>February 2018</v>
      </c>
      <c r="C11" s="72" t="str">
        <f t="shared" si="1"/>
        <v>February 2018</v>
      </c>
      <c r="D11" s="2" t="s">
        <v>208</v>
      </c>
      <c r="E11" s="2" t="s">
        <v>166</v>
      </c>
      <c r="F11" s="3">
        <v>-8.9280584789857258</v>
      </c>
      <c r="G11" s="2" t="s">
        <v>203</v>
      </c>
      <c r="H11" s="2" t="str">
        <f t="shared" si="2"/>
        <v>Mom</v>
      </c>
    </row>
    <row r="12" spans="1:16" ht="15.75" customHeight="1">
      <c r="A12" s="66">
        <v>43139</v>
      </c>
      <c r="B12" s="72" t="str">
        <f t="shared" si="0"/>
        <v>February 2018</v>
      </c>
      <c r="C12" s="72" t="str">
        <f t="shared" si="1"/>
        <v>February 2018</v>
      </c>
      <c r="D12" s="2" t="s">
        <v>209</v>
      </c>
      <c r="E12" s="2" t="s">
        <v>165</v>
      </c>
      <c r="F12" s="3">
        <v>-46.45521318072057</v>
      </c>
      <c r="G12" s="2" t="s">
        <v>191</v>
      </c>
      <c r="H12" s="2" t="str">
        <f t="shared" si="2"/>
        <v>Dad</v>
      </c>
    </row>
    <row r="13" spans="1:16" ht="15.75" customHeight="1">
      <c r="A13" s="66">
        <v>43138</v>
      </c>
      <c r="B13" s="72" t="str">
        <f t="shared" si="0"/>
        <v>February 2018</v>
      </c>
      <c r="C13" s="72" t="str">
        <f t="shared" si="1"/>
        <v>February 2018</v>
      </c>
      <c r="D13" s="2" t="s">
        <v>210</v>
      </c>
      <c r="E13" s="2" t="s">
        <v>161</v>
      </c>
      <c r="F13" s="3">
        <v>-246.53506616141286</v>
      </c>
      <c r="G13" s="2" t="s">
        <v>197</v>
      </c>
      <c r="H13" s="2" t="str">
        <f t="shared" si="2"/>
        <v>Dad</v>
      </c>
    </row>
    <row r="14" spans="1:16" ht="15.75" customHeight="1">
      <c r="A14" s="66">
        <v>43137</v>
      </c>
      <c r="B14" s="72" t="str">
        <f t="shared" si="0"/>
        <v>February 2018</v>
      </c>
      <c r="C14" s="72" t="str">
        <f t="shared" si="1"/>
        <v>February 2018</v>
      </c>
      <c r="D14" s="2" t="s">
        <v>211</v>
      </c>
      <c r="E14" s="2" t="s">
        <v>178</v>
      </c>
      <c r="F14" s="3">
        <v>-1.5893293546870486</v>
      </c>
      <c r="G14" s="2" t="s">
        <v>198</v>
      </c>
      <c r="H14" s="2" t="str">
        <f t="shared" si="2"/>
        <v>Mom</v>
      </c>
    </row>
    <row r="15" spans="1:16" ht="15.75" customHeight="1">
      <c r="A15" s="66">
        <v>43136</v>
      </c>
      <c r="B15" s="72" t="str">
        <f t="shared" si="0"/>
        <v>February 2018</v>
      </c>
      <c r="C15" s="72" t="str">
        <f t="shared" si="1"/>
        <v>February 2018</v>
      </c>
      <c r="D15" s="2" t="s">
        <v>212</v>
      </c>
      <c r="E15" s="2" t="s">
        <v>166</v>
      </c>
      <c r="F15" s="3">
        <v>-15.534943959463117</v>
      </c>
      <c r="G15" s="2" t="s">
        <v>191</v>
      </c>
      <c r="H15" s="2" t="str">
        <f t="shared" si="2"/>
        <v>Dad</v>
      </c>
    </row>
    <row r="16" spans="1:16" ht="15.75" customHeight="1">
      <c r="A16" s="66">
        <v>43136</v>
      </c>
      <c r="B16" s="72" t="str">
        <f t="shared" si="0"/>
        <v>February 2018</v>
      </c>
      <c r="C16" s="72" t="str">
        <f t="shared" si="1"/>
        <v>February 2018</v>
      </c>
      <c r="D16" s="2" t="s">
        <v>213</v>
      </c>
      <c r="E16" s="2" t="s">
        <v>178</v>
      </c>
      <c r="F16" s="3">
        <v>-18.083209013978067</v>
      </c>
      <c r="G16" s="2" t="s">
        <v>198</v>
      </c>
      <c r="H16" s="2" t="str">
        <f t="shared" si="2"/>
        <v>Mom</v>
      </c>
    </row>
    <row r="17" spans="1:8" ht="15.75" customHeight="1">
      <c r="A17" s="66">
        <v>43135</v>
      </c>
      <c r="B17" s="72" t="str">
        <f t="shared" si="0"/>
        <v>February 2018</v>
      </c>
      <c r="C17" s="72" t="str">
        <f t="shared" si="1"/>
        <v>February 2018</v>
      </c>
      <c r="D17" s="2" t="s">
        <v>214</v>
      </c>
      <c r="E17" s="2" t="s">
        <v>178</v>
      </c>
      <c r="F17" s="3">
        <v>-35.848294657848044</v>
      </c>
      <c r="G17" s="2" t="s">
        <v>197</v>
      </c>
      <c r="H17" s="2" t="str">
        <f t="shared" si="2"/>
        <v>Dad</v>
      </c>
    </row>
    <row r="18" spans="1:8" ht="15.75" customHeight="1">
      <c r="A18" s="66">
        <v>43134</v>
      </c>
      <c r="B18" s="72" t="str">
        <f t="shared" si="0"/>
        <v>February 2018</v>
      </c>
      <c r="C18" s="72" t="str">
        <f t="shared" si="1"/>
        <v>February 2018</v>
      </c>
      <c r="D18" s="2" t="s">
        <v>215</v>
      </c>
      <c r="E18" s="2" t="s">
        <v>169</v>
      </c>
      <c r="F18" s="3">
        <v>-27.690756578335399</v>
      </c>
      <c r="G18" s="2" t="s">
        <v>191</v>
      </c>
      <c r="H18" s="2" t="str">
        <f t="shared" si="2"/>
        <v>Dad</v>
      </c>
    </row>
    <row r="19" spans="1:8" ht="15.75" customHeight="1">
      <c r="A19" s="66">
        <v>43133</v>
      </c>
      <c r="B19" s="72" t="str">
        <f t="shared" si="0"/>
        <v>February 2018</v>
      </c>
      <c r="C19" s="72" t="str">
        <f t="shared" si="1"/>
        <v>February 2018</v>
      </c>
      <c r="D19" s="2" t="s">
        <v>216</v>
      </c>
      <c r="E19" s="2" t="s">
        <v>169</v>
      </c>
      <c r="F19" s="3">
        <v>-25.280933498351065</v>
      </c>
      <c r="G19" s="2" t="s">
        <v>191</v>
      </c>
      <c r="H19" s="2" t="str">
        <f t="shared" si="2"/>
        <v>Dad</v>
      </c>
    </row>
    <row r="20" spans="1:8" ht="15.75" customHeight="1">
      <c r="A20" s="66">
        <v>43132</v>
      </c>
      <c r="B20" s="72" t="str">
        <f t="shared" si="0"/>
        <v>February 2018</v>
      </c>
      <c r="C20" s="72" t="str">
        <f t="shared" si="1"/>
        <v>February 2018</v>
      </c>
      <c r="D20" s="2" t="s">
        <v>217</v>
      </c>
      <c r="E20" s="2" t="s">
        <v>169</v>
      </c>
      <c r="F20" s="3">
        <v>-19.15537966529622</v>
      </c>
      <c r="G20" s="2" t="s">
        <v>191</v>
      </c>
      <c r="H20" s="2" t="str">
        <f t="shared" si="2"/>
        <v>Dad</v>
      </c>
    </row>
    <row r="21" spans="1:8" ht="15.75" customHeight="1">
      <c r="A21" s="66">
        <v>43132</v>
      </c>
      <c r="B21" s="72" t="str">
        <f t="shared" si="0"/>
        <v>February 2018</v>
      </c>
      <c r="C21" s="72" t="str">
        <f t="shared" si="1"/>
        <v>February 2018</v>
      </c>
      <c r="D21" s="2" t="s">
        <v>218</v>
      </c>
      <c r="E21" s="2" t="s">
        <v>178</v>
      </c>
      <c r="F21" s="3">
        <v>-6.1872186695911999</v>
      </c>
      <c r="G21" s="2" t="s">
        <v>203</v>
      </c>
      <c r="H21" s="2" t="str">
        <f t="shared" si="2"/>
        <v>Mom</v>
      </c>
    </row>
    <row r="22" spans="1:8" ht="15.75" customHeight="1">
      <c r="A22" s="66">
        <v>43131</v>
      </c>
      <c r="B22" s="72" t="str">
        <f t="shared" si="0"/>
        <v>January 2018</v>
      </c>
      <c r="C22" s="72" t="str">
        <f t="shared" si="1"/>
        <v>January 2018</v>
      </c>
      <c r="D22" s="2" t="s">
        <v>219</v>
      </c>
      <c r="E22" s="2" t="s">
        <v>166</v>
      </c>
      <c r="F22" s="3">
        <v>-2.1049544549337211</v>
      </c>
      <c r="G22" s="2" t="s">
        <v>190</v>
      </c>
      <c r="H22" s="2" t="str">
        <f t="shared" si="2"/>
        <v>Daughter</v>
      </c>
    </row>
    <row r="23" spans="1:8" ht="15.75" customHeight="1">
      <c r="A23" s="66">
        <v>43131</v>
      </c>
      <c r="B23" s="72" t="str">
        <f t="shared" si="0"/>
        <v>January 2018</v>
      </c>
      <c r="C23" s="72" t="str">
        <f t="shared" si="1"/>
        <v>January 2018</v>
      </c>
      <c r="D23" s="2" t="s">
        <v>220</v>
      </c>
      <c r="E23" s="2" t="s">
        <v>163</v>
      </c>
      <c r="F23" s="3">
        <v>-164.34778223566545</v>
      </c>
      <c r="G23" s="2" t="s">
        <v>197</v>
      </c>
      <c r="H23" s="2" t="str">
        <f t="shared" si="2"/>
        <v>Dad</v>
      </c>
    </row>
    <row r="24" spans="1:8" ht="15.75" customHeight="1">
      <c r="A24" s="66">
        <v>43130</v>
      </c>
      <c r="B24" s="72" t="str">
        <f t="shared" si="0"/>
        <v>January 2018</v>
      </c>
      <c r="C24" s="72" t="str">
        <f t="shared" si="1"/>
        <v>January 2018</v>
      </c>
      <c r="D24" s="2" t="s">
        <v>221</v>
      </c>
      <c r="E24" s="2" t="s">
        <v>174</v>
      </c>
      <c r="F24" s="3">
        <v>-156.1</v>
      </c>
      <c r="G24" s="2" t="s">
        <v>190</v>
      </c>
      <c r="H24" s="2" t="str">
        <f t="shared" si="2"/>
        <v>Daughter</v>
      </c>
    </row>
    <row r="25" spans="1:8" ht="15.75" customHeight="1">
      <c r="A25" s="66">
        <v>43129</v>
      </c>
      <c r="B25" s="72" t="str">
        <f t="shared" si="0"/>
        <v>January 2018</v>
      </c>
      <c r="C25" s="72" t="str">
        <f t="shared" si="1"/>
        <v>January 2018</v>
      </c>
      <c r="D25" s="2" t="s">
        <v>222</v>
      </c>
      <c r="E25" s="2" t="s">
        <v>172</v>
      </c>
      <c r="F25" s="3">
        <v>-400</v>
      </c>
      <c r="G25" s="2" t="s">
        <v>198</v>
      </c>
      <c r="H25" s="2" t="str">
        <f t="shared" si="2"/>
        <v>Mom</v>
      </c>
    </row>
    <row r="26" spans="1:8" ht="15.75" customHeight="1">
      <c r="A26" s="66">
        <v>43128</v>
      </c>
      <c r="B26" s="72" t="str">
        <f t="shared" si="0"/>
        <v>January 2018</v>
      </c>
      <c r="C26" s="72" t="str">
        <f t="shared" si="1"/>
        <v>January 2018</v>
      </c>
      <c r="D26" s="2" t="s">
        <v>223</v>
      </c>
      <c r="E26" s="2" t="s">
        <v>165</v>
      </c>
      <c r="F26" s="3">
        <v>-69.099999999999994</v>
      </c>
      <c r="G26" s="2" t="s">
        <v>191</v>
      </c>
      <c r="H26" s="2" t="str">
        <f t="shared" si="2"/>
        <v>Dad</v>
      </c>
    </row>
    <row r="27" spans="1:8" ht="15.75" customHeight="1">
      <c r="A27" s="66">
        <v>43127</v>
      </c>
      <c r="B27" s="72" t="str">
        <f t="shared" si="0"/>
        <v>January 2018</v>
      </c>
      <c r="C27" s="72" t="str">
        <f t="shared" si="1"/>
        <v>January 2018</v>
      </c>
      <c r="D27" s="2" t="s">
        <v>214</v>
      </c>
      <c r="E27" s="2" t="s">
        <v>178</v>
      </c>
      <c r="F27" s="3">
        <v>-56.98</v>
      </c>
      <c r="G27" s="2" t="s">
        <v>197</v>
      </c>
      <c r="H27" s="2" t="str">
        <f t="shared" si="2"/>
        <v>Dad</v>
      </c>
    </row>
    <row r="28" spans="1:8" ht="15.75" customHeight="1">
      <c r="A28" s="66">
        <v>43126</v>
      </c>
      <c r="B28" s="72" t="str">
        <f t="shared" si="0"/>
        <v>January 2018</v>
      </c>
      <c r="C28" s="72" t="str">
        <f t="shared" si="1"/>
        <v>January 2018</v>
      </c>
      <c r="D28" s="2" t="s">
        <v>215</v>
      </c>
      <c r="E28" s="2" t="s">
        <v>169</v>
      </c>
      <c r="F28" s="3">
        <v>-37.619999999999997</v>
      </c>
      <c r="G28" s="2" t="s">
        <v>191</v>
      </c>
      <c r="H28" s="2" t="str">
        <f t="shared" si="2"/>
        <v>Dad</v>
      </c>
    </row>
    <row r="29" spans="1:8" ht="15.75" customHeight="1">
      <c r="A29" s="66">
        <v>43126</v>
      </c>
      <c r="B29" s="72" t="str">
        <f t="shared" si="0"/>
        <v>January 2018</v>
      </c>
      <c r="C29" s="72" t="str">
        <f t="shared" si="1"/>
        <v>January 2018</v>
      </c>
      <c r="D29" s="2" t="s">
        <v>224</v>
      </c>
      <c r="E29" s="2" t="s">
        <v>178</v>
      </c>
      <c r="F29" s="3">
        <v>-10</v>
      </c>
      <c r="G29" s="2" t="s">
        <v>203</v>
      </c>
      <c r="H29" s="2" t="str">
        <f t="shared" si="2"/>
        <v>Mom</v>
      </c>
    </row>
    <row r="30" spans="1:8" ht="15.75" customHeight="1">
      <c r="A30" s="66">
        <v>43125</v>
      </c>
      <c r="B30" s="72" t="str">
        <f t="shared" si="0"/>
        <v>January 2018</v>
      </c>
      <c r="C30" s="72" t="str">
        <f t="shared" si="1"/>
        <v>January 2018</v>
      </c>
      <c r="D30" s="2" t="s">
        <v>193</v>
      </c>
      <c r="E30" s="2" t="s">
        <v>169</v>
      </c>
      <c r="F30" s="3">
        <v>-47.83</v>
      </c>
      <c r="G30" s="2" t="s">
        <v>191</v>
      </c>
      <c r="H30" s="2" t="str">
        <f t="shared" si="2"/>
        <v>Dad</v>
      </c>
    </row>
    <row r="31" spans="1:8" ht="15.75" customHeight="1">
      <c r="A31" s="66">
        <v>43124</v>
      </c>
      <c r="B31" s="72" t="str">
        <f t="shared" si="0"/>
        <v>January 2018</v>
      </c>
      <c r="C31" s="72" t="str">
        <f t="shared" si="1"/>
        <v>January 2018</v>
      </c>
      <c r="D31" s="2" t="s">
        <v>196</v>
      </c>
      <c r="E31" s="2" t="s">
        <v>175</v>
      </c>
      <c r="F31" s="3">
        <v>-55.82</v>
      </c>
      <c r="G31" s="2" t="s">
        <v>197</v>
      </c>
      <c r="H31" s="2" t="str">
        <f t="shared" si="2"/>
        <v>Dad</v>
      </c>
    </row>
    <row r="32" spans="1:8" ht="15.75" customHeight="1">
      <c r="A32" s="66">
        <v>43123</v>
      </c>
      <c r="B32" s="72" t="str">
        <f t="shared" si="0"/>
        <v>January 2018</v>
      </c>
      <c r="C32" s="72" t="str">
        <f t="shared" si="1"/>
        <v>January 2018</v>
      </c>
      <c r="D32" s="2" t="s">
        <v>225</v>
      </c>
      <c r="E32" s="2" t="s">
        <v>172</v>
      </c>
      <c r="F32" s="3">
        <v>-400</v>
      </c>
      <c r="G32" s="2" t="s">
        <v>187</v>
      </c>
      <c r="H32" s="2" t="str">
        <f t="shared" si="2"/>
        <v>Family</v>
      </c>
    </row>
    <row r="33" spans="1:8" ht="15.75" customHeight="1">
      <c r="A33" s="66">
        <v>43122</v>
      </c>
      <c r="B33" s="72" t="str">
        <f t="shared" si="0"/>
        <v>January 2018</v>
      </c>
      <c r="C33" s="72" t="str">
        <f t="shared" si="1"/>
        <v>January 2018</v>
      </c>
      <c r="D33" s="2" t="s">
        <v>226</v>
      </c>
      <c r="E33" s="2" t="s">
        <v>176</v>
      </c>
      <c r="F33" s="3">
        <v>-740</v>
      </c>
      <c r="G33" s="2" t="s">
        <v>187</v>
      </c>
      <c r="H33" s="2" t="str">
        <f t="shared" si="2"/>
        <v>Family</v>
      </c>
    </row>
    <row r="34" spans="1:8" ht="15.75" customHeight="1">
      <c r="A34" s="66">
        <v>43122</v>
      </c>
      <c r="B34" s="72" t="str">
        <f t="shared" ref="B34:B65" si="3">TEXT($A34,"MMMM")&amp;" "&amp;TEXT($A34,"YYY")</f>
        <v>January 2018</v>
      </c>
      <c r="C34" s="72" t="str">
        <f t="shared" ref="C34:C65" si="4">TEXT(A34,"mmmm")&amp;" "&amp;TEXT(A34,"yyyy")</f>
        <v>January 2018</v>
      </c>
      <c r="D34" s="2" t="s">
        <v>211</v>
      </c>
      <c r="E34" s="2" t="s">
        <v>178</v>
      </c>
      <c r="F34" s="3">
        <v>-2.99</v>
      </c>
      <c r="G34" s="2" t="s">
        <v>198</v>
      </c>
      <c r="H34" s="2" t="str">
        <f t="shared" ref="H34:H65" si="5">VLOOKUP(G34,$K$2:$M$8,3,FALSE)</f>
        <v>Mom</v>
      </c>
    </row>
    <row r="35" spans="1:8" ht="15.75" customHeight="1">
      <c r="A35" s="66">
        <v>43121</v>
      </c>
      <c r="B35" s="72" t="str">
        <f t="shared" si="3"/>
        <v>January 2018</v>
      </c>
      <c r="C35" s="72" t="str">
        <f t="shared" si="4"/>
        <v>January 2018</v>
      </c>
      <c r="D35" s="2" t="s">
        <v>212</v>
      </c>
      <c r="E35" s="2" t="s">
        <v>166</v>
      </c>
      <c r="F35" s="3">
        <v>-18.18</v>
      </c>
      <c r="G35" s="2" t="s">
        <v>191</v>
      </c>
      <c r="H35" s="2" t="str">
        <f t="shared" si="5"/>
        <v>Dad</v>
      </c>
    </row>
    <row r="36" spans="1:8" ht="15.75" customHeight="1">
      <c r="A36" s="66">
        <v>43119</v>
      </c>
      <c r="B36" s="72" t="str">
        <f t="shared" si="3"/>
        <v>January 2018</v>
      </c>
      <c r="C36" s="72" t="str">
        <f t="shared" si="4"/>
        <v>January 2018</v>
      </c>
      <c r="D36" s="2" t="s">
        <v>200</v>
      </c>
      <c r="E36" s="2" t="s">
        <v>169</v>
      </c>
      <c r="F36" s="3">
        <v>-435.11</v>
      </c>
      <c r="G36" s="2" t="s">
        <v>197</v>
      </c>
      <c r="H36" s="2" t="str">
        <f t="shared" si="5"/>
        <v>Dad</v>
      </c>
    </row>
    <row r="37" spans="1:8" ht="15.75" customHeight="1">
      <c r="A37" s="66">
        <v>43118</v>
      </c>
      <c r="B37" s="72" t="str">
        <f t="shared" si="3"/>
        <v>January 2018</v>
      </c>
      <c r="C37" s="72" t="str">
        <f t="shared" si="4"/>
        <v>January 2018</v>
      </c>
      <c r="D37" s="2" t="s">
        <v>202</v>
      </c>
      <c r="E37" s="2" t="s">
        <v>177</v>
      </c>
      <c r="F37" s="3">
        <v>-30</v>
      </c>
      <c r="G37" s="2" t="s">
        <v>194</v>
      </c>
      <c r="H37" s="2" t="str">
        <f t="shared" si="5"/>
        <v>Dad</v>
      </c>
    </row>
    <row r="38" spans="1:8" ht="15.75" customHeight="1">
      <c r="A38" s="66">
        <v>43116</v>
      </c>
      <c r="B38" s="72" t="str">
        <f t="shared" si="3"/>
        <v>January 2018</v>
      </c>
      <c r="C38" s="72" t="str">
        <f t="shared" si="4"/>
        <v>January 2018</v>
      </c>
      <c r="D38" s="2" t="s">
        <v>227</v>
      </c>
      <c r="E38" s="2" t="s">
        <v>165</v>
      </c>
      <c r="F38" s="3">
        <v>-23</v>
      </c>
      <c r="G38" s="2" t="s">
        <v>191</v>
      </c>
      <c r="H38" s="2" t="str">
        <f t="shared" si="5"/>
        <v>Dad</v>
      </c>
    </row>
    <row r="39" spans="1:8" ht="15.75" customHeight="1">
      <c r="A39" s="66">
        <v>43115</v>
      </c>
      <c r="B39" s="72" t="str">
        <f t="shared" si="3"/>
        <v>January 2018</v>
      </c>
      <c r="C39" s="72" t="str">
        <f t="shared" si="4"/>
        <v>January 2018</v>
      </c>
      <c r="D39" s="2" t="s">
        <v>228</v>
      </c>
      <c r="E39" s="2" t="s">
        <v>157</v>
      </c>
      <c r="F39" s="67">
        <v>923</v>
      </c>
      <c r="G39" s="2" t="s">
        <v>187</v>
      </c>
      <c r="H39" s="2" t="str">
        <f t="shared" si="5"/>
        <v>Family</v>
      </c>
    </row>
    <row r="40" spans="1:8" ht="15.75" customHeight="1">
      <c r="A40" s="66">
        <v>43114</v>
      </c>
      <c r="B40" s="72" t="str">
        <f t="shared" si="3"/>
        <v>January 2018</v>
      </c>
      <c r="C40" s="72" t="str">
        <f t="shared" si="4"/>
        <v>January 2018</v>
      </c>
      <c r="D40" s="2" t="s">
        <v>229</v>
      </c>
      <c r="E40" s="2" t="s">
        <v>166</v>
      </c>
      <c r="F40" s="3">
        <v>-7.25</v>
      </c>
      <c r="G40" s="2" t="s">
        <v>203</v>
      </c>
      <c r="H40" s="2" t="str">
        <f t="shared" si="5"/>
        <v>Mom</v>
      </c>
    </row>
    <row r="41" spans="1:8" ht="15.75" customHeight="1">
      <c r="A41" s="66">
        <v>43114</v>
      </c>
      <c r="B41" s="72" t="str">
        <f t="shared" si="3"/>
        <v>January 2018</v>
      </c>
      <c r="C41" s="72" t="str">
        <f t="shared" si="4"/>
        <v>January 2018</v>
      </c>
      <c r="D41" s="2" t="s">
        <v>230</v>
      </c>
      <c r="E41" s="2" t="s">
        <v>166</v>
      </c>
      <c r="F41" s="3">
        <v>-16.350000000000001</v>
      </c>
      <c r="G41" s="2" t="s">
        <v>197</v>
      </c>
      <c r="H41" s="2" t="str">
        <f t="shared" si="5"/>
        <v>Dad</v>
      </c>
    </row>
    <row r="42" spans="1:8" ht="15.75" customHeight="1">
      <c r="A42" s="66">
        <v>43113</v>
      </c>
      <c r="B42" s="72" t="str">
        <f t="shared" si="3"/>
        <v>January 2018</v>
      </c>
      <c r="C42" s="72" t="str">
        <f t="shared" si="4"/>
        <v>January 2018</v>
      </c>
      <c r="D42" s="2" t="s">
        <v>231</v>
      </c>
      <c r="E42" s="2" t="s">
        <v>103</v>
      </c>
      <c r="F42" s="3">
        <v>-125.43</v>
      </c>
      <c r="G42" s="2" t="s">
        <v>198</v>
      </c>
      <c r="H42" s="2" t="str">
        <f t="shared" si="5"/>
        <v>Mom</v>
      </c>
    </row>
    <row r="43" spans="1:8" ht="15.75" customHeight="1">
      <c r="A43" s="66">
        <v>43112</v>
      </c>
      <c r="B43" s="72" t="str">
        <f t="shared" si="3"/>
        <v>January 2018</v>
      </c>
      <c r="C43" s="72" t="str">
        <f t="shared" si="4"/>
        <v>January 2018</v>
      </c>
      <c r="D43" s="2" t="s">
        <v>189</v>
      </c>
      <c r="E43" s="2" t="s">
        <v>166</v>
      </c>
      <c r="F43" s="3">
        <v>-12.51</v>
      </c>
      <c r="G43" s="2" t="s">
        <v>190</v>
      </c>
      <c r="H43" s="2" t="str">
        <f t="shared" si="5"/>
        <v>Daughter</v>
      </c>
    </row>
    <row r="44" spans="1:8" ht="15.75" customHeight="1">
      <c r="A44" s="66">
        <v>43111</v>
      </c>
      <c r="B44" s="72" t="str">
        <f t="shared" si="3"/>
        <v>January 2018</v>
      </c>
      <c r="C44" s="72" t="str">
        <f t="shared" si="4"/>
        <v>January 2018</v>
      </c>
      <c r="D44" s="2" t="s">
        <v>232</v>
      </c>
      <c r="E44" s="2" t="s">
        <v>103</v>
      </c>
      <c r="F44" s="3">
        <v>-43.73</v>
      </c>
      <c r="G44" s="2" t="s">
        <v>198</v>
      </c>
      <c r="H44" s="2" t="str">
        <f t="shared" si="5"/>
        <v>Mom</v>
      </c>
    </row>
    <row r="45" spans="1:8" ht="15.75" customHeight="1">
      <c r="A45" s="66">
        <v>43110</v>
      </c>
      <c r="B45" s="72" t="str">
        <f t="shared" si="3"/>
        <v>January 2018</v>
      </c>
      <c r="C45" s="72" t="str">
        <f t="shared" si="4"/>
        <v>January 2018</v>
      </c>
      <c r="D45" s="2" t="s">
        <v>233</v>
      </c>
      <c r="E45" s="2" t="s">
        <v>166</v>
      </c>
      <c r="F45" s="3">
        <v>-72.28</v>
      </c>
      <c r="G45" s="2" t="s">
        <v>203</v>
      </c>
      <c r="H45" s="2" t="str">
        <f t="shared" si="5"/>
        <v>Mom</v>
      </c>
    </row>
    <row r="46" spans="1:8" ht="15.75" customHeight="1">
      <c r="A46" s="66">
        <v>43110</v>
      </c>
      <c r="B46" s="72" t="str">
        <f t="shared" si="3"/>
        <v>January 2018</v>
      </c>
      <c r="C46" s="72" t="str">
        <f t="shared" si="4"/>
        <v>January 2018</v>
      </c>
      <c r="D46" s="2" t="s">
        <v>234</v>
      </c>
      <c r="E46" s="2" t="s">
        <v>165</v>
      </c>
      <c r="F46" s="3">
        <v>-108.91</v>
      </c>
      <c r="G46" s="2" t="s">
        <v>191</v>
      </c>
      <c r="H46" s="2" t="str">
        <f t="shared" si="5"/>
        <v>Dad</v>
      </c>
    </row>
    <row r="47" spans="1:8" ht="15.75" customHeight="1">
      <c r="A47" s="66">
        <v>43110</v>
      </c>
      <c r="B47" s="72" t="str">
        <f t="shared" si="3"/>
        <v>January 2018</v>
      </c>
      <c r="C47" s="72" t="str">
        <f t="shared" si="4"/>
        <v>January 2018</v>
      </c>
      <c r="D47" s="2" t="s">
        <v>205</v>
      </c>
      <c r="E47" s="2" t="s">
        <v>160</v>
      </c>
      <c r="F47" s="3">
        <v>-1903</v>
      </c>
      <c r="G47" s="2" t="s">
        <v>187</v>
      </c>
      <c r="H47" s="2" t="str">
        <f t="shared" si="5"/>
        <v>Family</v>
      </c>
    </row>
    <row r="48" spans="1:8" ht="15.75" customHeight="1">
      <c r="A48" s="66">
        <v>43110</v>
      </c>
      <c r="B48" s="72" t="str">
        <f t="shared" si="3"/>
        <v>January 2018</v>
      </c>
      <c r="C48" s="72" t="str">
        <f t="shared" si="4"/>
        <v>January 2018</v>
      </c>
      <c r="D48" s="2" t="s">
        <v>155</v>
      </c>
      <c r="E48" s="2" t="s">
        <v>155</v>
      </c>
      <c r="F48" s="67">
        <v>5544</v>
      </c>
      <c r="G48" s="2" t="s">
        <v>187</v>
      </c>
      <c r="H48" s="2" t="str">
        <f t="shared" si="5"/>
        <v>Family</v>
      </c>
    </row>
    <row r="49" spans="1:8" ht="15.75" customHeight="1">
      <c r="A49" s="66">
        <v>43110</v>
      </c>
      <c r="B49" s="72" t="str">
        <f t="shared" si="3"/>
        <v>January 2018</v>
      </c>
      <c r="C49" s="72" t="str">
        <f t="shared" si="4"/>
        <v>January 2018</v>
      </c>
      <c r="D49" s="2" t="s">
        <v>207</v>
      </c>
      <c r="E49" s="2" t="s">
        <v>178</v>
      </c>
      <c r="F49" s="3">
        <v>-16.18</v>
      </c>
      <c r="G49" s="2" t="s">
        <v>194</v>
      </c>
      <c r="H49" s="2" t="str">
        <f t="shared" si="5"/>
        <v>Dad</v>
      </c>
    </row>
    <row r="50" spans="1:8" ht="15.75" customHeight="1">
      <c r="A50" s="66">
        <v>43109</v>
      </c>
      <c r="B50" s="72" t="str">
        <f t="shared" si="3"/>
        <v>January 2018</v>
      </c>
      <c r="C50" s="72" t="str">
        <f t="shared" si="4"/>
        <v>January 2018</v>
      </c>
      <c r="D50" s="2" t="s">
        <v>235</v>
      </c>
      <c r="E50" s="2" t="s">
        <v>177</v>
      </c>
      <c r="F50" s="3">
        <v>-513.97</v>
      </c>
      <c r="G50" s="2" t="s">
        <v>198</v>
      </c>
      <c r="H50" s="2" t="str">
        <f t="shared" si="5"/>
        <v>Mom</v>
      </c>
    </row>
    <row r="51" spans="1:8" ht="15.75" customHeight="1">
      <c r="A51" s="66">
        <v>43109</v>
      </c>
      <c r="B51" s="72" t="str">
        <f t="shared" si="3"/>
        <v>January 2018</v>
      </c>
      <c r="C51" s="72" t="str">
        <f t="shared" si="4"/>
        <v>January 2018</v>
      </c>
      <c r="D51" s="2" t="s">
        <v>236</v>
      </c>
      <c r="E51" s="2" t="s">
        <v>170</v>
      </c>
      <c r="F51" s="3">
        <v>-50</v>
      </c>
      <c r="G51" s="2" t="s">
        <v>198</v>
      </c>
      <c r="H51" s="2" t="str">
        <f t="shared" si="5"/>
        <v>Mom</v>
      </c>
    </row>
    <row r="52" spans="1:8" ht="15.75" customHeight="1">
      <c r="A52" s="66">
        <v>43108</v>
      </c>
      <c r="B52" s="72" t="str">
        <f t="shared" si="3"/>
        <v>January 2018</v>
      </c>
      <c r="C52" s="72" t="str">
        <f t="shared" si="4"/>
        <v>January 2018</v>
      </c>
      <c r="D52" s="2" t="s">
        <v>237</v>
      </c>
      <c r="E52" s="2" t="s">
        <v>165</v>
      </c>
      <c r="F52" s="3">
        <v>-36.76</v>
      </c>
      <c r="G52" s="2" t="s">
        <v>191</v>
      </c>
      <c r="H52" s="2" t="str">
        <f t="shared" si="5"/>
        <v>Dad</v>
      </c>
    </row>
    <row r="53" spans="1:8" ht="15.75" customHeight="1">
      <c r="A53" s="66">
        <v>43107</v>
      </c>
      <c r="B53" s="72" t="str">
        <f t="shared" si="3"/>
        <v>January 2018</v>
      </c>
      <c r="C53" s="72" t="str">
        <f t="shared" si="4"/>
        <v>January 2018</v>
      </c>
      <c r="D53" s="2" t="s">
        <v>238</v>
      </c>
      <c r="E53" s="2" t="s">
        <v>166</v>
      </c>
      <c r="F53" s="3">
        <v>-35.340000000000003</v>
      </c>
      <c r="G53" s="2" t="s">
        <v>198</v>
      </c>
      <c r="H53" s="2" t="str">
        <f t="shared" si="5"/>
        <v>Mom</v>
      </c>
    </row>
    <row r="54" spans="1:8" ht="15.75" customHeight="1">
      <c r="A54" s="66">
        <v>43106</v>
      </c>
      <c r="B54" s="72" t="str">
        <f t="shared" si="3"/>
        <v>January 2018</v>
      </c>
      <c r="C54" s="72" t="str">
        <f t="shared" si="4"/>
        <v>January 2018</v>
      </c>
      <c r="D54" s="2" t="s">
        <v>217</v>
      </c>
      <c r="E54" s="2" t="s">
        <v>169</v>
      </c>
      <c r="F54" s="3">
        <v>-19.670000000000002</v>
      </c>
      <c r="G54" s="2" t="s">
        <v>191</v>
      </c>
      <c r="H54" s="2" t="str">
        <f t="shared" si="5"/>
        <v>Dad</v>
      </c>
    </row>
    <row r="55" spans="1:8" ht="15.75" customHeight="1">
      <c r="A55" s="66">
        <v>43106</v>
      </c>
      <c r="B55" s="72" t="str">
        <f t="shared" si="3"/>
        <v>January 2018</v>
      </c>
      <c r="C55" s="72" t="str">
        <f t="shared" si="4"/>
        <v>January 2018</v>
      </c>
      <c r="D55" s="2" t="s">
        <v>216</v>
      </c>
      <c r="E55" s="2" t="s">
        <v>169</v>
      </c>
      <c r="F55" s="3">
        <v>-48.74</v>
      </c>
      <c r="G55" s="2" t="s">
        <v>191</v>
      </c>
      <c r="H55" s="2" t="str">
        <f t="shared" si="5"/>
        <v>Dad</v>
      </c>
    </row>
    <row r="56" spans="1:8" ht="15.75" customHeight="1">
      <c r="A56" s="66">
        <v>43106</v>
      </c>
      <c r="B56" s="72" t="str">
        <f t="shared" si="3"/>
        <v>January 2018</v>
      </c>
      <c r="C56" s="72" t="str">
        <f t="shared" si="4"/>
        <v>January 2018</v>
      </c>
      <c r="D56" s="2" t="s">
        <v>213</v>
      </c>
      <c r="E56" s="2" t="s">
        <v>178</v>
      </c>
      <c r="F56" s="3">
        <v>-20</v>
      </c>
      <c r="G56" s="2" t="s">
        <v>198</v>
      </c>
      <c r="H56" s="2" t="str">
        <f t="shared" si="5"/>
        <v>Mom</v>
      </c>
    </row>
    <row r="57" spans="1:8" ht="15.75" customHeight="1">
      <c r="A57" s="66">
        <v>43105</v>
      </c>
      <c r="B57" s="72" t="str">
        <f t="shared" si="3"/>
        <v>January 2018</v>
      </c>
      <c r="C57" s="72" t="str">
        <f t="shared" si="4"/>
        <v>January 2018</v>
      </c>
      <c r="D57" s="2" t="s">
        <v>218</v>
      </c>
      <c r="E57" s="2" t="s">
        <v>178</v>
      </c>
      <c r="F57" s="3">
        <v>-10.81</v>
      </c>
      <c r="G57" s="2" t="s">
        <v>203</v>
      </c>
      <c r="H57" s="2" t="str">
        <f t="shared" si="5"/>
        <v>Mom</v>
      </c>
    </row>
    <row r="58" spans="1:8" ht="15.75" customHeight="1">
      <c r="A58" s="66">
        <v>43104</v>
      </c>
      <c r="B58" s="72" t="str">
        <f t="shared" si="3"/>
        <v>January 2018</v>
      </c>
      <c r="C58" s="72" t="str">
        <f t="shared" si="4"/>
        <v>January 2018</v>
      </c>
      <c r="D58" s="2" t="s">
        <v>209</v>
      </c>
      <c r="E58" s="2" t="s">
        <v>165</v>
      </c>
      <c r="F58" s="3">
        <v>-52.69</v>
      </c>
      <c r="G58" s="2" t="s">
        <v>191</v>
      </c>
      <c r="H58" s="2" t="str">
        <f t="shared" si="5"/>
        <v>Dad</v>
      </c>
    </row>
    <row r="59" spans="1:8" ht="15.75" customHeight="1">
      <c r="A59" s="66">
        <v>43103</v>
      </c>
      <c r="B59" s="72" t="str">
        <f t="shared" si="3"/>
        <v>January 2018</v>
      </c>
      <c r="C59" s="72" t="str">
        <f t="shared" si="4"/>
        <v>January 2018</v>
      </c>
      <c r="D59" s="2" t="s">
        <v>208</v>
      </c>
      <c r="E59" s="2" t="s">
        <v>166</v>
      </c>
      <c r="F59" s="3">
        <v>-12.91</v>
      </c>
      <c r="G59" s="2" t="s">
        <v>203</v>
      </c>
      <c r="H59" s="2" t="str">
        <f t="shared" si="5"/>
        <v>Mom</v>
      </c>
    </row>
    <row r="60" spans="1:8" ht="15.75" customHeight="1">
      <c r="A60" s="66">
        <v>43102</v>
      </c>
      <c r="B60" s="72" t="str">
        <f t="shared" si="3"/>
        <v>January 2018</v>
      </c>
      <c r="C60" s="72" t="str">
        <f t="shared" si="4"/>
        <v>January 2018</v>
      </c>
      <c r="D60" s="2" t="s">
        <v>239</v>
      </c>
      <c r="E60" s="2" t="s">
        <v>161</v>
      </c>
      <c r="F60" s="3">
        <v>-251.33</v>
      </c>
      <c r="G60" s="2" t="s">
        <v>197</v>
      </c>
      <c r="H60" s="2" t="str">
        <f t="shared" si="5"/>
        <v>Dad</v>
      </c>
    </row>
    <row r="61" spans="1:8" ht="15.75" customHeight="1">
      <c r="A61" s="66">
        <v>43101</v>
      </c>
      <c r="B61" s="72" t="str">
        <f t="shared" si="3"/>
        <v>January 2018</v>
      </c>
      <c r="C61" s="72" t="str">
        <f t="shared" si="4"/>
        <v>January 2018</v>
      </c>
      <c r="D61" s="2" t="s">
        <v>219</v>
      </c>
      <c r="E61" s="2" t="s">
        <v>166</v>
      </c>
      <c r="F61" s="3">
        <v>-3.56</v>
      </c>
      <c r="G61" s="2" t="s">
        <v>190</v>
      </c>
      <c r="H61" s="2" t="str">
        <f t="shared" si="5"/>
        <v>Daughter</v>
      </c>
    </row>
    <row r="62" spans="1:8" ht="15.75" customHeight="1">
      <c r="A62" s="66">
        <v>43101</v>
      </c>
      <c r="B62" s="72" t="str">
        <f t="shared" si="3"/>
        <v>January 2018</v>
      </c>
      <c r="C62" s="72" t="str">
        <f t="shared" si="4"/>
        <v>January 2018</v>
      </c>
      <c r="D62" s="2" t="s">
        <v>220</v>
      </c>
      <c r="E62" s="2" t="s">
        <v>163</v>
      </c>
      <c r="F62" s="3">
        <v>-322.83999999999997</v>
      </c>
      <c r="G62" s="2" t="s">
        <v>197</v>
      </c>
      <c r="H62" s="2" t="str">
        <f t="shared" si="5"/>
        <v>Dad</v>
      </c>
    </row>
    <row r="63" spans="1:8" ht="15.75" customHeight="1">
      <c r="A63" s="66">
        <v>43100</v>
      </c>
      <c r="B63" s="72" t="str">
        <f t="shared" si="3"/>
        <v>December 2017</v>
      </c>
      <c r="C63" s="72" t="str">
        <f t="shared" si="4"/>
        <v>December 2017</v>
      </c>
      <c r="D63" s="2" t="s">
        <v>221</v>
      </c>
      <c r="E63" s="2" t="s">
        <v>174</v>
      </c>
      <c r="F63" s="3">
        <v>-115.74967014479407</v>
      </c>
      <c r="G63" s="2" t="s">
        <v>190</v>
      </c>
      <c r="H63" s="2" t="str">
        <f t="shared" si="5"/>
        <v>Daughter</v>
      </c>
    </row>
    <row r="64" spans="1:8" ht="15.75" customHeight="1">
      <c r="A64" s="66">
        <v>43099</v>
      </c>
      <c r="B64" s="72" t="str">
        <f t="shared" si="3"/>
        <v>December 2017</v>
      </c>
      <c r="C64" s="72" t="str">
        <f t="shared" si="4"/>
        <v>December 2017</v>
      </c>
      <c r="D64" s="2" t="s">
        <v>237</v>
      </c>
      <c r="E64" s="2" t="s">
        <v>165</v>
      </c>
      <c r="F64" s="3">
        <v>-28.600200780444766</v>
      </c>
      <c r="G64" s="2" t="s">
        <v>191</v>
      </c>
      <c r="H64" s="2" t="str">
        <f t="shared" si="5"/>
        <v>Dad</v>
      </c>
    </row>
    <row r="65" spans="1:8" ht="15.75" customHeight="1">
      <c r="A65" s="66">
        <v>43098</v>
      </c>
      <c r="B65" s="72" t="str">
        <f t="shared" si="3"/>
        <v>December 2017</v>
      </c>
      <c r="C65" s="72" t="str">
        <f t="shared" si="4"/>
        <v>December 2017</v>
      </c>
      <c r="D65" s="2" t="s">
        <v>238</v>
      </c>
      <c r="E65" s="2" t="s">
        <v>166</v>
      </c>
      <c r="F65" s="3">
        <v>-27.972195350837076</v>
      </c>
      <c r="G65" s="2" t="s">
        <v>198</v>
      </c>
      <c r="H65" s="2" t="str">
        <f t="shared" si="5"/>
        <v>Mom</v>
      </c>
    </row>
    <row r="66" spans="1:8" ht="15.75" customHeight="1">
      <c r="A66" s="66">
        <v>43097</v>
      </c>
      <c r="B66" s="72" t="str">
        <f t="shared" ref="B66:B101" si="6">TEXT($A66,"MMMM")&amp;" "&amp;TEXT($A66,"YYY")</f>
        <v>December 2017</v>
      </c>
      <c r="C66" s="72" t="str">
        <f t="shared" ref="C66:C101" si="7">TEXT(A66,"mmmm")&amp;" "&amp;TEXT(A66,"yyyy")</f>
        <v>December 2017</v>
      </c>
      <c r="D66" s="2" t="s">
        <v>226</v>
      </c>
      <c r="E66" s="2" t="s">
        <v>176</v>
      </c>
      <c r="F66" s="3">
        <v>-621.1731484738832</v>
      </c>
      <c r="G66" s="2" t="s">
        <v>187</v>
      </c>
      <c r="H66" s="2" t="str">
        <f t="shared" ref="H66:H97" si="8">VLOOKUP(G66,$K$2:$M$8,3,FALSE)</f>
        <v>Family</v>
      </c>
    </row>
    <row r="67" spans="1:8" ht="15.75" customHeight="1">
      <c r="A67" s="66">
        <v>43096</v>
      </c>
      <c r="B67" s="72" t="str">
        <f t="shared" si="6"/>
        <v>December 2017</v>
      </c>
      <c r="C67" s="72" t="str">
        <f t="shared" si="7"/>
        <v>December 2017</v>
      </c>
      <c r="D67" s="2" t="s">
        <v>240</v>
      </c>
      <c r="E67" s="2" t="s">
        <v>172</v>
      </c>
      <c r="F67" s="3">
        <v>-300</v>
      </c>
      <c r="G67" s="2" t="s">
        <v>198</v>
      </c>
      <c r="H67" s="2" t="str">
        <f t="shared" si="8"/>
        <v>Mom</v>
      </c>
    </row>
    <row r="68" spans="1:8" ht="15.75" customHeight="1">
      <c r="A68" s="66">
        <v>43095</v>
      </c>
      <c r="B68" s="72" t="str">
        <f t="shared" si="6"/>
        <v>December 2017</v>
      </c>
      <c r="C68" s="72" t="str">
        <f t="shared" si="7"/>
        <v>December 2017</v>
      </c>
      <c r="D68" s="2" t="s">
        <v>224</v>
      </c>
      <c r="E68" s="2" t="s">
        <v>178</v>
      </c>
      <c r="F68" s="3">
        <v>-6.872212037170101</v>
      </c>
      <c r="G68" s="2" t="s">
        <v>203</v>
      </c>
      <c r="H68" s="2" t="str">
        <f t="shared" si="8"/>
        <v>Mom</v>
      </c>
    </row>
    <row r="69" spans="1:8" ht="15.75" customHeight="1">
      <c r="A69" s="66">
        <v>43094</v>
      </c>
      <c r="B69" s="72" t="str">
        <f t="shared" si="6"/>
        <v>December 2017</v>
      </c>
      <c r="C69" s="72" t="str">
        <f t="shared" si="7"/>
        <v>December 2017</v>
      </c>
      <c r="D69" s="2" t="s">
        <v>227</v>
      </c>
      <c r="E69" s="2" t="s">
        <v>165</v>
      </c>
      <c r="F69" s="3">
        <v>-14.63268068805967</v>
      </c>
      <c r="G69" s="2" t="s">
        <v>191</v>
      </c>
      <c r="H69" s="2" t="str">
        <f t="shared" si="8"/>
        <v>Dad</v>
      </c>
    </row>
    <row r="70" spans="1:8" ht="15.75" customHeight="1">
      <c r="A70" s="66">
        <v>43093</v>
      </c>
      <c r="B70" s="72" t="str">
        <f t="shared" si="6"/>
        <v>December 2017</v>
      </c>
      <c r="C70" s="72" t="str">
        <f t="shared" si="7"/>
        <v>December 2017</v>
      </c>
      <c r="D70" s="2" t="s">
        <v>228</v>
      </c>
      <c r="E70" s="2" t="s">
        <v>157</v>
      </c>
      <c r="F70" s="67">
        <v>653.58785518442778</v>
      </c>
      <c r="G70" s="2" t="s">
        <v>187</v>
      </c>
      <c r="H70" s="2" t="str">
        <f t="shared" si="8"/>
        <v>Family</v>
      </c>
    </row>
    <row r="71" spans="1:8" ht="15.75" customHeight="1">
      <c r="A71" s="66">
        <v>43092</v>
      </c>
      <c r="B71" s="72" t="str">
        <f t="shared" si="6"/>
        <v>December 2017</v>
      </c>
      <c r="C71" s="72" t="str">
        <f t="shared" si="7"/>
        <v>December 2017</v>
      </c>
      <c r="D71" s="2" t="s">
        <v>229</v>
      </c>
      <c r="E71" s="2" t="s">
        <v>166</v>
      </c>
      <c r="F71" s="3">
        <v>-6.18155654415109</v>
      </c>
      <c r="G71" s="2" t="s">
        <v>203</v>
      </c>
      <c r="H71" s="2" t="str">
        <f t="shared" si="8"/>
        <v>Mom</v>
      </c>
    </row>
    <row r="72" spans="1:8" ht="15.75" customHeight="1">
      <c r="A72" s="66">
        <v>43092</v>
      </c>
      <c r="B72" s="72" t="str">
        <f t="shared" si="6"/>
        <v>December 2017</v>
      </c>
      <c r="C72" s="72" t="str">
        <f t="shared" si="7"/>
        <v>December 2017</v>
      </c>
      <c r="D72" s="2" t="s">
        <v>230</v>
      </c>
      <c r="E72" s="2" t="s">
        <v>166</v>
      </c>
      <c r="F72" s="3">
        <v>-15.956849155308712</v>
      </c>
      <c r="G72" s="2" t="s">
        <v>197</v>
      </c>
      <c r="H72" s="2" t="str">
        <f t="shared" si="8"/>
        <v>Dad</v>
      </c>
    </row>
    <row r="73" spans="1:8" ht="15.75" customHeight="1">
      <c r="A73" s="66">
        <v>43091</v>
      </c>
      <c r="B73" s="72" t="str">
        <f t="shared" si="6"/>
        <v>December 2017</v>
      </c>
      <c r="C73" s="72" t="str">
        <f t="shared" si="7"/>
        <v>December 2017</v>
      </c>
      <c r="D73" s="2" t="s">
        <v>193</v>
      </c>
      <c r="E73" s="2" t="s">
        <v>169</v>
      </c>
      <c r="F73" s="3">
        <v>-25.172198490266851</v>
      </c>
      <c r="G73" s="2" t="s">
        <v>191</v>
      </c>
      <c r="H73" s="2" t="str">
        <f t="shared" si="8"/>
        <v>Dad</v>
      </c>
    </row>
    <row r="74" spans="1:8" ht="15.75" customHeight="1">
      <c r="A74" s="66">
        <v>43091</v>
      </c>
      <c r="B74" s="72" t="str">
        <f t="shared" si="6"/>
        <v>December 2017</v>
      </c>
      <c r="C74" s="72" t="str">
        <f t="shared" si="7"/>
        <v>December 2017</v>
      </c>
      <c r="D74" s="2" t="s">
        <v>196</v>
      </c>
      <c r="E74" s="2" t="s">
        <v>175</v>
      </c>
      <c r="F74" s="3">
        <v>-50.348574949595729</v>
      </c>
      <c r="G74" s="2" t="s">
        <v>197</v>
      </c>
      <c r="H74" s="2" t="str">
        <f t="shared" si="8"/>
        <v>Dad</v>
      </c>
    </row>
    <row r="75" spans="1:8" ht="15.75" customHeight="1">
      <c r="A75" s="66">
        <v>43090</v>
      </c>
      <c r="B75" s="72" t="str">
        <f t="shared" si="6"/>
        <v>December 2017</v>
      </c>
      <c r="C75" s="72" t="str">
        <f t="shared" si="7"/>
        <v>December 2017</v>
      </c>
      <c r="D75" s="2" t="s">
        <v>235</v>
      </c>
      <c r="E75" s="2" t="s">
        <v>177</v>
      </c>
      <c r="F75" s="3">
        <v>-488.95510428597606</v>
      </c>
      <c r="G75" s="2" t="s">
        <v>198</v>
      </c>
      <c r="H75" s="2" t="str">
        <f t="shared" si="8"/>
        <v>Mom</v>
      </c>
    </row>
    <row r="76" spans="1:8" ht="15.75" customHeight="1">
      <c r="A76" s="66">
        <v>43089</v>
      </c>
      <c r="B76" s="72" t="str">
        <f t="shared" si="6"/>
        <v>December 2017</v>
      </c>
      <c r="C76" s="72" t="str">
        <f t="shared" si="7"/>
        <v>December 2017</v>
      </c>
      <c r="D76" s="2" t="s">
        <v>200</v>
      </c>
      <c r="E76" s="2" t="s">
        <v>169</v>
      </c>
      <c r="F76" s="3">
        <v>-260.36726635699529</v>
      </c>
      <c r="G76" s="2" t="s">
        <v>197</v>
      </c>
      <c r="H76" s="2" t="str">
        <f t="shared" si="8"/>
        <v>Dad</v>
      </c>
    </row>
    <row r="77" spans="1:8" ht="15.75" customHeight="1">
      <c r="A77" s="66">
        <v>43088</v>
      </c>
      <c r="B77" s="72" t="str">
        <f t="shared" si="6"/>
        <v>December 2017</v>
      </c>
      <c r="C77" s="72" t="str">
        <f t="shared" si="7"/>
        <v>December 2017</v>
      </c>
      <c r="D77" s="2" t="s">
        <v>202</v>
      </c>
      <c r="E77" s="2" t="s">
        <v>177</v>
      </c>
      <c r="F77" s="3">
        <v>-16.488964188554782</v>
      </c>
      <c r="G77" s="2" t="s">
        <v>194</v>
      </c>
      <c r="H77" s="2" t="str">
        <f t="shared" si="8"/>
        <v>Dad</v>
      </c>
    </row>
    <row r="78" spans="1:8" ht="15.75" customHeight="1">
      <c r="A78" s="66">
        <v>43086</v>
      </c>
      <c r="B78" s="72" t="str">
        <f t="shared" si="6"/>
        <v>December 2017</v>
      </c>
      <c r="C78" s="72" t="str">
        <f t="shared" si="7"/>
        <v>December 2017</v>
      </c>
      <c r="D78" s="2" t="s">
        <v>209</v>
      </c>
      <c r="E78" s="2" t="s">
        <v>165</v>
      </c>
      <c r="F78" s="3">
        <v>-27.183768951838047</v>
      </c>
      <c r="G78" s="2" t="s">
        <v>191</v>
      </c>
      <c r="H78" s="2" t="str">
        <f t="shared" si="8"/>
        <v>Dad</v>
      </c>
    </row>
    <row r="79" spans="1:8" ht="15.75" customHeight="1">
      <c r="A79" s="66">
        <v>43085</v>
      </c>
      <c r="B79" s="72" t="str">
        <f t="shared" si="6"/>
        <v>December 2017</v>
      </c>
      <c r="C79" s="72" t="str">
        <f t="shared" si="7"/>
        <v>December 2017</v>
      </c>
      <c r="D79" s="2" t="s">
        <v>241</v>
      </c>
      <c r="E79" s="2" t="s">
        <v>172</v>
      </c>
      <c r="F79" s="3">
        <v>-300</v>
      </c>
      <c r="G79" s="2" t="s">
        <v>187</v>
      </c>
      <c r="H79" s="2" t="str">
        <f t="shared" si="8"/>
        <v>Family</v>
      </c>
    </row>
    <row r="80" spans="1:8" ht="15.75" customHeight="1">
      <c r="A80" s="66">
        <v>43084</v>
      </c>
      <c r="B80" s="72" t="str">
        <f t="shared" si="6"/>
        <v>December 2017</v>
      </c>
      <c r="C80" s="72" t="str">
        <f t="shared" si="7"/>
        <v>December 2017</v>
      </c>
      <c r="D80" s="2" t="s">
        <v>214</v>
      </c>
      <c r="E80" s="2" t="s">
        <v>178</v>
      </c>
      <c r="F80" s="3">
        <v>-34.21658162443002</v>
      </c>
      <c r="G80" s="2" t="s">
        <v>197</v>
      </c>
      <c r="H80" s="2" t="str">
        <f t="shared" si="8"/>
        <v>Dad</v>
      </c>
    </row>
    <row r="81" spans="1:8" ht="15.75" customHeight="1">
      <c r="A81" s="66">
        <v>43083</v>
      </c>
      <c r="B81" s="72" t="str">
        <f t="shared" si="6"/>
        <v>December 2017</v>
      </c>
      <c r="C81" s="72" t="str">
        <f t="shared" si="7"/>
        <v>December 2017</v>
      </c>
      <c r="D81" s="2" t="s">
        <v>215</v>
      </c>
      <c r="E81" s="2" t="s">
        <v>169</v>
      </c>
      <c r="F81" s="3">
        <v>-25.753114033343255</v>
      </c>
      <c r="G81" s="2" t="s">
        <v>191</v>
      </c>
      <c r="H81" s="2" t="str">
        <f t="shared" si="8"/>
        <v>Dad</v>
      </c>
    </row>
    <row r="82" spans="1:8" ht="15.75" customHeight="1">
      <c r="A82" s="66">
        <v>43082</v>
      </c>
      <c r="B82" s="72" t="str">
        <f t="shared" si="6"/>
        <v>December 2017</v>
      </c>
      <c r="C82" s="72" t="str">
        <f t="shared" si="7"/>
        <v>December 2017</v>
      </c>
      <c r="D82" s="2" t="s">
        <v>216</v>
      </c>
      <c r="E82" s="2" t="s">
        <v>169</v>
      </c>
      <c r="F82" s="3">
        <v>-44.813790300506582</v>
      </c>
      <c r="G82" s="2" t="s">
        <v>191</v>
      </c>
      <c r="H82" s="2" t="str">
        <f t="shared" si="8"/>
        <v>Dad</v>
      </c>
    </row>
    <row r="83" spans="1:8" ht="15.75" customHeight="1">
      <c r="A83" s="66">
        <v>43082</v>
      </c>
      <c r="B83" s="72" t="str">
        <f t="shared" si="6"/>
        <v>December 2017</v>
      </c>
      <c r="C83" s="72" t="str">
        <f t="shared" si="7"/>
        <v>December 2017</v>
      </c>
      <c r="D83" s="2" t="s">
        <v>231</v>
      </c>
      <c r="E83" s="2" t="s">
        <v>103</v>
      </c>
      <c r="F83" s="3">
        <v>-102.85023221421071</v>
      </c>
      <c r="G83" s="2" t="s">
        <v>198</v>
      </c>
      <c r="H83" s="2" t="str">
        <f t="shared" si="8"/>
        <v>Mom</v>
      </c>
    </row>
    <row r="84" spans="1:8" ht="15.75" customHeight="1">
      <c r="A84" s="66">
        <v>43081</v>
      </c>
      <c r="B84" s="72" t="str">
        <f t="shared" si="6"/>
        <v>December 2017</v>
      </c>
      <c r="C84" s="72" t="str">
        <f t="shared" si="7"/>
        <v>December 2017</v>
      </c>
      <c r="D84" s="2" t="s">
        <v>217</v>
      </c>
      <c r="E84" s="2" t="s">
        <v>169</v>
      </c>
      <c r="F84" s="3">
        <v>-13.772233433191696</v>
      </c>
      <c r="G84" s="2" t="s">
        <v>191</v>
      </c>
      <c r="H84" s="2" t="str">
        <f t="shared" si="8"/>
        <v>Dad</v>
      </c>
    </row>
    <row r="85" spans="1:8" ht="15.75" customHeight="1">
      <c r="A85" s="66">
        <v>43080</v>
      </c>
      <c r="B85" s="72" t="str">
        <f t="shared" si="6"/>
        <v>December 2017</v>
      </c>
      <c r="C85" s="72" t="str">
        <f t="shared" si="7"/>
        <v>December 2017</v>
      </c>
      <c r="D85" s="2" t="s">
        <v>189</v>
      </c>
      <c r="E85" s="2" t="s">
        <v>166</v>
      </c>
      <c r="F85" s="3">
        <v>-10.264651962190525</v>
      </c>
      <c r="G85" s="2" t="s">
        <v>190</v>
      </c>
      <c r="H85" s="2" t="str">
        <f t="shared" si="8"/>
        <v>Daughter</v>
      </c>
    </row>
    <row r="86" spans="1:8" ht="15.75" customHeight="1">
      <c r="A86" s="66">
        <v>43080</v>
      </c>
      <c r="B86" s="72" t="str">
        <f t="shared" si="6"/>
        <v>December 2017</v>
      </c>
      <c r="C86" s="72" t="str">
        <f t="shared" si="7"/>
        <v>December 2017</v>
      </c>
      <c r="D86" s="2" t="s">
        <v>218</v>
      </c>
      <c r="E86" s="2" t="s">
        <v>178</v>
      </c>
      <c r="F86" s="3">
        <v>-9.7146032923612324</v>
      </c>
      <c r="G86" s="2" t="s">
        <v>203</v>
      </c>
      <c r="H86" s="2" t="str">
        <f t="shared" si="8"/>
        <v>Mom</v>
      </c>
    </row>
    <row r="87" spans="1:8" ht="15.75" customHeight="1">
      <c r="A87" s="66">
        <v>43079</v>
      </c>
      <c r="B87" s="72" t="str">
        <f t="shared" si="6"/>
        <v>December 2017</v>
      </c>
      <c r="C87" s="72" t="str">
        <f t="shared" si="7"/>
        <v>December 2017</v>
      </c>
      <c r="D87" s="2" t="s">
        <v>208</v>
      </c>
      <c r="E87" s="2" t="s">
        <v>166</v>
      </c>
      <c r="F87" s="3">
        <v>-11.733451140784947</v>
      </c>
      <c r="G87" s="2" t="s">
        <v>203</v>
      </c>
      <c r="H87" s="2" t="str">
        <f t="shared" si="8"/>
        <v>Mom</v>
      </c>
    </row>
    <row r="88" spans="1:8" ht="15.75" customHeight="1">
      <c r="A88" s="66">
        <v>43079</v>
      </c>
      <c r="B88" s="72" t="str">
        <f t="shared" si="6"/>
        <v>December 2017</v>
      </c>
      <c r="C88" s="72" t="str">
        <f t="shared" si="7"/>
        <v>December 2017</v>
      </c>
      <c r="D88" s="2" t="s">
        <v>205</v>
      </c>
      <c r="E88" s="2" t="s">
        <v>160</v>
      </c>
      <c r="F88" s="3">
        <v>-1903</v>
      </c>
      <c r="G88" s="2" t="s">
        <v>187</v>
      </c>
      <c r="H88" s="2" t="str">
        <f t="shared" si="8"/>
        <v>Family</v>
      </c>
    </row>
    <row r="89" spans="1:8" ht="15.75" customHeight="1">
      <c r="A89" s="66">
        <v>43079</v>
      </c>
      <c r="B89" s="72" t="str">
        <f t="shared" si="6"/>
        <v>December 2017</v>
      </c>
      <c r="C89" s="72" t="str">
        <f t="shared" si="7"/>
        <v>December 2017</v>
      </c>
      <c r="D89" s="2" t="s">
        <v>155</v>
      </c>
      <c r="E89" s="2" t="s">
        <v>155</v>
      </c>
      <c r="F89" s="67">
        <v>5544</v>
      </c>
      <c r="G89" s="2" t="s">
        <v>187</v>
      </c>
      <c r="H89" s="2" t="str">
        <f t="shared" si="8"/>
        <v>Family</v>
      </c>
    </row>
    <row r="90" spans="1:8" ht="15.75" customHeight="1">
      <c r="A90" s="66">
        <v>43079</v>
      </c>
      <c r="B90" s="72" t="str">
        <f t="shared" si="6"/>
        <v>December 2017</v>
      </c>
      <c r="C90" s="72" t="str">
        <f t="shared" si="7"/>
        <v>December 2017</v>
      </c>
      <c r="D90" s="2" t="s">
        <v>207</v>
      </c>
      <c r="E90" s="2" t="s">
        <v>178</v>
      </c>
      <c r="F90" s="3">
        <v>-15.119178234607485</v>
      </c>
      <c r="G90" s="2" t="s">
        <v>194</v>
      </c>
      <c r="H90" s="2" t="str">
        <f t="shared" si="8"/>
        <v>Dad</v>
      </c>
    </row>
    <row r="91" spans="1:8" ht="15.75" customHeight="1">
      <c r="A91" s="66">
        <v>43078</v>
      </c>
      <c r="B91" s="72" t="str">
        <f t="shared" si="6"/>
        <v>December 2017</v>
      </c>
      <c r="C91" s="72" t="str">
        <f t="shared" si="7"/>
        <v>December 2017</v>
      </c>
      <c r="D91" s="2" t="s">
        <v>242</v>
      </c>
      <c r="E91" s="2" t="s">
        <v>161</v>
      </c>
      <c r="F91" s="3">
        <v>-249.68057299921207</v>
      </c>
      <c r="G91" s="2" t="s">
        <v>197</v>
      </c>
      <c r="H91" s="2" t="str">
        <f t="shared" si="8"/>
        <v>Dad</v>
      </c>
    </row>
    <row r="92" spans="1:8" ht="15.75" customHeight="1">
      <c r="A92" s="66">
        <v>43077</v>
      </c>
      <c r="B92" s="72" t="str">
        <f t="shared" si="6"/>
        <v>December 2017</v>
      </c>
      <c r="C92" s="72" t="str">
        <f t="shared" si="7"/>
        <v>December 2017</v>
      </c>
      <c r="D92" s="2" t="s">
        <v>211</v>
      </c>
      <c r="E92" s="2" t="s">
        <v>178</v>
      </c>
      <c r="F92" s="3">
        <v>-2.0757459156642257</v>
      </c>
      <c r="G92" s="2" t="s">
        <v>198</v>
      </c>
      <c r="H92" s="2" t="str">
        <f t="shared" si="8"/>
        <v>Mom</v>
      </c>
    </row>
    <row r="93" spans="1:8" ht="15.75" customHeight="1">
      <c r="A93" s="66">
        <v>43076</v>
      </c>
      <c r="B93" s="72" t="str">
        <f t="shared" si="6"/>
        <v>December 2017</v>
      </c>
      <c r="C93" s="72" t="str">
        <f t="shared" si="7"/>
        <v>December 2017</v>
      </c>
      <c r="D93" s="2" t="s">
        <v>212</v>
      </c>
      <c r="E93" s="2" t="s">
        <v>166</v>
      </c>
      <c r="F93" s="3">
        <v>-16.06684016842345</v>
      </c>
      <c r="G93" s="2" t="s">
        <v>191</v>
      </c>
      <c r="H93" s="2" t="str">
        <f t="shared" si="8"/>
        <v>Dad</v>
      </c>
    </row>
    <row r="94" spans="1:8" ht="15.75" customHeight="1">
      <c r="A94" s="66">
        <v>43075</v>
      </c>
      <c r="B94" s="72" t="str">
        <f t="shared" si="6"/>
        <v>December 2017</v>
      </c>
      <c r="C94" s="72" t="str">
        <f t="shared" si="7"/>
        <v>December 2017</v>
      </c>
      <c r="D94" s="2" t="s">
        <v>223</v>
      </c>
      <c r="E94" s="2" t="s">
        <v>165</v>
      </c>
      <c r="F94" s="3">
        <v>-68.515374889743356</v>
      </c>
      <c r="G94" s="2" t="s">
        <v>191</v>
      </c>
      <c r="H94" s="2" t="str">
        <f t="shared" si="8"/>
        <v>Dad</v>
      </c>
    </row>
    <row r="95" spans="1:8" ht="15.75" customHeight="1">
      <c r="A95" s="66">
        <v>43075</v>
      </c>
      <c r="B95" s="72" t="str">
        <f t="shared" si="6"/>
        <v>December 2017</v>
      </c>
      <c r="C95" s="72" t="str">
        <f t="shared" si="7"/>
        <v>December 2017</v>
      </c>
      <c r="D95" s="2" t="s">
        <v>213</v>
      </c>
      <c r="E95" s="2" t="s">
        <v>178</v>
      </c>
      <c r="F95" s="3">
        <v>-18.121327125937889</v>
      </c>
      <c r="G95" s="2" t="s">
        <v>198</v>
      </c>
      <c r="H95" s="2" t="str">
        <f t="shared" si="8"/>
        <v>Mom</v>
      </c>
    </row>
    <row r="96" spans="1:8" ht="15.75" customHeight="1">
      <c r="A96" s="66">
        <v>43074</v>
      </c>
      <c r="B96" s="72" t="str">
        <f t="shared" si="6"/>
        <v>December 2017</v>
      </c>
      <c r="C96" s="72" t="str">
        <f t="shared" si="7"/>
        <v>December 2017</v>
      </c>
      <c r="D96" s="2" t="s">
        <v>232</v>
      </c>
      <c r="E96" s="2" t="s">
        <v>103</v>
      </c>
      <c r="F96" s="3">
        <v>-24.422722278885228</v>
      </c>
      <c r="G96" s="2" t="s">
        <v>198</v>
      </c>
      <c r="H96" s="2" t="str">
        <f t="shared" si="8"/>
        <v>Mom</v>
      </c>
    </row>
    <row r="97" spans="1:8" ht="15.75" customHeight="1">
      <c r="A97" s="66">
        <v>43073</v>
      </c>
      <c r="B97" s="72" t="str">
        <f t="shared" si="6"/>
        <v>December 2017</v>
      </c>
      <c r="C97" s="72" t="str">
        <f t="shared" si="7"/>
        <v>December 2017</v>
      </c>
      <c r="D97" s="2" t="s">
        <v>234</v>
      </c>
      <c r="E97" s="2" t="s">
        <v>165</v>
      </c>
      <c r="F97" s="3">
        <v>-107.75932954943372</v>
      </c>
      <c r="G97" s="2" t="s">
        <v>191</v>
      </c>
      <c r="H97" s="2" t="str">
        <f t="shared" si="8"/>
        <v>Dad</v>
      </c>
    </row>
    <row r="98" spans="1:8" ht="15.75" customHeight="1">
      <c r="A98" s="66">
        <v>43072</v>
      </c>
      <c r="B98" s="72" t="str">
        <f t="shared" si="6"/>
        <v>December 2017</v>
      </c>
      <c r="C98" s="72" t="str">
        <f t="shared" si="7"/>
        <v>December 2017</v>
      </c>
      <c r="D98" s="2" t="s">
        <v>233</v>
      </c>
      <c r="E98" s="2" t="s">
        <v>166</v>
      </c>
      <c r="F98" s="3">
        <v>-60.205891588102475</v>
      </c>
      <c r="G98" s="2" t="s">
        <v>203</v>
      </c>
      <c r="H98" s="2" t="str">
        <f t="shared" ref="H98:H101" si="9">VLOOKUP(G98,$K$2:$M$8,3,FALSE)</f>
        <v>Mom</v>
      </c>
    </row>
    <row r="99" spans="1:8" ht="15.75" customHeight="1">
      <c r="A99" s="66">
        <v>43072</v>
      </c>
      <c r="B99" s="72" t="str">
        <f t="shared" si="6"/>
        <v>December 2017</v>
      </c>
      <c r="C99" s="72" t="str">
        <f t="shared" si="7"/>
        <v>December 2017</v>
      </c>
      <c r="D99" s="2" t="s">
        <v>236</v>
      </c>
      <c r="E99" s="2" t="s">
        <v>170</v>
      </c>
      <c r="F99" s="3">
        <v>-25.409532702415337</v>
      </c>
      <c r="G99" s="2" t="s">
        <v>203</v>
      </c>
      <c r="H99" s="2" t="str">
        <f t="shared" si="9"/>
        <v>Mom</v>
      </c>
    </row>
    <row r="100" spans="1:8" ht="15.75" customHeight="1">
      <c r="A100" s="66">
        <v>43071</v>
      </c>
      <c r="B100" s="72" t="str">
        <f t="shared" si="6"/>
        <v>December 2017</v>
      </c>
      <c r="C100" s="72" t="str">
        <f t="shared" si="7"/>
        <v>December 2017</v>
      </c>
      <c r="D100" s="2" t="s">
        <v>219</v>
      </c>
      <c r="E100" s="2" t="s">
        <v>166</v>
      </c>
      <c r="F100" s="3">
        <v>-2.5152269314867968</v>
      </c>
      <c r="G100" s="2" t="s">
        <v>190</v>
      </c>
      <c r="H100" s="2" t="str">
        <f t="shared" si="9"/>
        <v>Daughter</v>
      </c>
    </row>
    <row r="101" spans="1:8" ht="15.75" customHeight="1">
      <c r="A101" s="66">
        <v>43071</v>
      </c>
      <c r="B101" s="72" t="str">
        <f t="shared" si="6"/>
        <v>December 2017</v>
      </c>
      <c r="C101" s="72" t="str">
        <f t="shared" si="7"/>
        <v>December 2017</v>
      </c>
      <c r="D101" s="2" t="s">
        <v>220</v>
      </c>
      <c r="E101" s="2" t="s">
        <v>163</v>
      </c>
      <c r="F101" s="3">
        <v>-205.43755902360425</v>
      </c>
      <c r="G101" s="2" t="s">
        <v>197</v>
      </c>
      <c r="H101" s="2" t="str">
        <f t="shared" si="9"/>
        <v>Dad</v>
      </c>
    </row>
    <row r="102" spans="1:8" ht="15.75" customHeight="1"/>
    <row r="103" spans="1:8" ht="15.75" customHeight="1"/>
    <row r="104" spans="1:8" ht="15.75" customHeight="1"/>
    <row r="105" spans="1:8" ht="15.75" customHeight="1"/>
    <row r="106" spans="1:8" ht="15.75" customHeight="1"/>
    <row r="107" spans="1:8" ht="15.75" customHeight="1"/>
    <row r="108" spans="1:8" ht="15.75" customHeight="1"/>
    <row r="109" spans="1:8" ht="15.75" customHeight="1"/>
    <row r="110" spans="1:8" ht="15.75" customHeight="1"/>
    <row r="111" spans="1:8" ht="15.75" customHeight="1"/>
    <row r="112" spans="1: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00FF"/>
    <outlinePr summaryBelow="0" summaryRight="0"/>
  </sheetPr>
  <dimension ref="A1:I1000"/>
  <sheetViews>
    <sheetView workbookViewId="0">
      <selection activeCell="G6" sqref="G6"/>
    </sheetView>
  </sheetViews>
  <sheetFormatPr defaultColWidth="14.42578125" defaultRowHeight="15" customHeight="1"/>
  <cols>
    <col min="1" max="1" width="17.28515625" customWidth="1"/>
    <col min="2" max="2" width="26.7109375" customWidth="1"/>
    <col min="3" max="3" width="19.85546875" customWidth="1"/>
    <col min="4" max="4" width="18.42578125" customWidth="1"/>
    <col min="5" max="5" width="17.7109375" customWidth="1"/>
    <col min="6" max="6" width="14.42578125" customWidth="1"/>
    <col min="7" max="7" width="13" customWidth="1"/>
    <col min="8" max="8" width="29.140625" customWidth="1"/>
    <col min="9" max="9" width="25.85546875" customWidth="1"/>
  </cols>
  <sheetData>
    <row r="1" spans="1:9" ht="15.75" customHeight="1">
      <c r="A1" s="62" t="s">
        <v>180</v>
      </c>
      <c r="B1" s="63" t="s">
        <v>181</v>
      </c>
      <c r="C1" s="63" t="s">
        <v>182</v>
      </c>
      <c r="D1" s="64" t="s">
        <v>183</v>
      </c>
      <c r="E1" s="63" t="s">
        <v>184</v>
      </c>
      <c r="G1" s="63" t="s">
        <v>184</v>
      </c>
      <c r="H1" s="65" t="s">
        <v>185</v>
      </c>
      <c r="I1" s="65" t="s">
        <v>147</v>
      </c>
    </row>
    <row r="2" spans="1:9" ht="15.75" customHeight="1">
      <c r="A2" s="66">
        <v>43145</v>
      </c>
      <c r="B2" s="2" t="s">
        <v>186</v>
      </c>
      <c r="C2" s="2" t="s">
        <v>172</v>
      </c>
      <c r="D2" s="3">
        <v>-250</v>
      </c>
      <c r="E2" s="2" t="s">
        <v>187</v>
      </c>
      <c r="G2" s="2" t="s">
        <v>187</v>
      </c>
      <c r="H2" s="2" t="s">
        <v>188</v>
      </c>
      <c r="I2" s="2" t="s">
        <v>149</v>
      </c>
    </row>
    <row r="3" spans="1:9" ht="15.75" customHeight="1">
      <c r="A3" s="66">
        <v>43145</v>
      </c>
      <c r="B3" s="2" t="s">
        <v>189</v>
      </c>
      <c r="C3" s="2" t="s">
        <v>167</v>
      </c>
      <c r="D3" s="3">
        <v>-10.095479406824349</v>
      </c>
      <c r="E3" s="2" t="s">
        <v>190</v>
      </c>
      <c r="G3" s="2" t="s">
        <v>191</v>
      </c>
      <c r="H3" s="2" t="s">
        <v>192</v>
      </c>
      <c r="I3" s="2" t="s">
        <v>152</v>
      </c>
    </row>
    <row r="4" spans="1:9" ht="15.75" customHeight="1">
      <c r="A4" s="66">
        <v>43144</v>
      </c>
      <c r="B4" s="2" t="s">
        <v>193</v>
      </c>
      <c r="C4" s="2" t="s">
        <v>169</v>
      </c>
      <c r="D4" s="3">
        <v>-38.689165809099251</v>
      </c>
      <c r="E4" s="2" t="s">
        <v>191</v>
      </c>
      <c r="G4" s="2" t="s">
        <v>194</v>
      </c>
      <c r="H4" s="2" t="s">
        <v>195</v>
      </c>
      <c r="I4" s="2" t="s">
        <v>152</v>
      </c>
    </row>
    <row r="5" spans="1:9" ht="15.75" customHeight="1">
      <c r="A5" s="66">
        <v>43143</v>
      </c>
      <c r="B5" s="2" t="s">
        <v>196</v>
      </c>
      <c r="C5" s="2" t="s">
        <v>177</v>
      </c>
      <c r="D5" s="3">
        <v>-39.323944970056019</v>
      </c>
      <c r="E5" s="2" t="s">
        <v>197</v>
      </c>
      <c r="G5" s="2" t="s">
        <v>198</v>
      </c>
      <c r="H5" s="2" t="s">
        <v>199</v>
      </c>
      <c r="I5" s="2" t="s">
        <v>154</v>
      </c>
    </row>
    <row r="6" spans="1:9" ht="15.75" customHeight="1">
      <c r="A6" s="66">
        <v>43142</v>
      </c>
      <c r="B6" s="2" t="s">
        <v>200</v>
      </c>
      <c r="C6" s="2" t="s">
        <v>169</v>
      </c>
      <c r="D6" s="3">
        <v>-3251.3820558013899</v>
      </c>
      <c r="E6" s="2" t="s">
        <v>197</v>
      </c>
      <c r="G6" s="2" t="s">
        <v>190</v>
      </c>
      <c r="H6" s="2" t="s">
        <v>201</v>
      </c>
      <c r="I6" s="2" t="s">
        <v>156</v>
      </c>
    </row>
    <row r="7" spans="1:9" ht="15.75" customHeight="1">
      <c r="A7" s="66">
        <v>43141</v>
      </c>
      <c r="B7" s="2" t="s">
        <v>202</v>
      </c>
      <c r="C7" s="2" t="s">
        <v>177</v>
      </c>
      <c r="D7" s="3">
        <v>-25.808571837218487</v>
      </c>
      <c r="E7" s="2" t="s">
        <v>194</v>
      </c>
      <c r="G7" s="2" t="s">
        <v>203</v>
      </c>
      <c r="H7" s="2" t="s">
        <v>204</v>
      </c>
      <c r="I7" s="2" t="s">
        <v>154</v>
      </c>
    </row>
    <row r="8" spans="1:9" ht="15.75" customHeight="1">
      <c r="A8" s="66">
        <v>43140</v>
      </c>
      <c r="B8" s="2" t="s">
        <v>205</v>
      </c>
      <c r="C8" s="2" t="s">
        <v>160</v>
      </c>
      <c r="D8" s="3">
        <v>-1903</v>
      </c>
      <c r="E8" s="2" t="s">
        <v>187</v>
      </c>
      <c r="G8" s="2" t="s">
        <v>197</v>
      </c>
      <c r="H8" s="2" t="s">
        <v>206</v>
      </c>
      <c r="I8" s="2" t="s">
        <v>152</v>
      </c>
    </row>
    <row r="9" spans="1:9" ht="15.75" customHeight="1">
      <c r="A9" s="66">
        <v>43140</v>
      </c>
      <c r="B9" s="2" t="s">
        <v>155</v>
      </c>
      <c r="C9" s="2" t="s">
        <v>155</v>
      </c>
      <c r="D9" s="67">
        <v>5544</v>
      </c>
      <c r="E9" s="2" t="s">
        <v>187</v>
      </c>
    </row>
    <row r="10" spans="1:9" ht="15.75" customHeight="1">
      <c r="A10" s="66">
        <v>43140</v>
      </c>
      <c r="B10" s="2" t="s">
        <v>207</v>
      </c>
      <c r="C10" s="2" t="s">
        <v>178</v>
      </c>
      <c r="D10" s="3">
        <v>-9.1152874139295825</v>
      </c>
      <c r="E10" s="2" t="s">
        <v>194</v>
      </c>
    </row>
    <row r="11" spans="1:9" ht="15.75" customHeight="1">
      <c r="A11" s="66">
        <v>43139</v>
      </c>
      <c r="B11" s="2" t="s">
        <v>208</v>
      </c>
      <c r="C11" s="2" t="s">
        <v>166</v>
      </c>
      <c r="D11" s="3">
        <v>-8.9280584789857258</v>
      </c>
      <c r="E11" s="2" t="s">
        <v>203</v>
      </c>
    </row>
    <row r="12" spans="1:9" ht="15.75" customHeight="1">
      <c r="A12" s="66">
        <v>43139</v>
      </c>
      <c r="B12" s="2" t="s">
        <v>209</v>
      </c>
      <c r="C12" s="2" t="s">
        <v>165</v>
      </c>
      <c r="D12" s="3">
        <v>-46.45521318072057</v>
      </c>
      <c r="E12" s="2" t="s">
        <v>191</v>
      </c>
    </row>
    <row r="13" spans="1:9" ht="15.75" customHeight="1">
      <c r="A13" s="66">
        <v>43138</v>
      </c>
      <c r="B13" s="2" t="s">
        <v>210</v>
      </c>
      <c r="C13" s="2" t="s">
        <v>161</v>
      </c>
      <c r="D13" s="3">
        <v>-246.53506616141286</v>
      </c>
      <c r="E13" s="2" t="s">
        <v>197</v>
      </c>
    </row>
    <row r="14" spans="1:9" ht="15.75" customHeight="1">
      <c r="A14" s="66">
        <v>43137</v>
      </c>
      <c r="B14" s="2" t="s">
        <v>211</v>
      </c>
      <c r="C14" s="2" t="s">
        <v>178</v>
      </c>
      <c r="D14" s="3">
        <v>-1.5893293546870486</v>
      </c>
      <c r="E14" s="2" t="s">
        <v>198</v>
      </c>
    </row>
    <row r="15" spans="1:9" ht="15.75" customHeight="1">
      <c r="A15" s="66">
        <v>43136</v>
      </c>
      <c r="B15" s="2" t="s">
        <v>212</v>
      </c>
      <c r="C15" s="2" t="s">
        <v>166</v>
      </c>
      <c r="D15" s="3">
        <v>-15.534943959463117</v>
      </c>
      <c r="E15" s="2" t="s">
        <v>191</v>
      </c>
    </row>
    <row r="16" spans="1:9" ht="15.75" customHeight="1">
      <c r="A16" s="66">
        <v>43136</v>
      </c>
      <c r="B16" s="2" t="s">
        <v>213</v>
      </c>
      <c r="C16" s="2" t="s">
        <v>178</v>
      </c>
      <c r="D16" s="3">
        <v>-18.083209013978067</v>
      </c>
      <c r="E16" s="2" t="s">
        <v>198</v>
      </c>
    </row>
    <row r="17" spans="1:5" ht="15.75" customHeight="1">
      <c r="A17" s="66">
        <v>43135</v>
      </c>
      <c r="B17" s="2" t="s">
        <v>214</v>
      </c>
      <c r="C17" s="2" t="s">
        <v>178</v>
      </c>
      <c r="D17" s="3">
        <v>-35.848294657848044</v>
      </c>
      <c r="E17" s="2" t="s">
        <v>197</v>
      </c>
    </row>
    <row r="18" spans="1:5" ht="15.75" customHeight="1">
      <c r="A18" s="66">
        <v>43134</v>
      </c>
      <c r="B18" s="2" t="s">
        <v>215</v>
      </c>
      <c r="C18" s="2" t="s">
        <v>169</v>
      </c>
      <c r="D18" s="3">
        <v>-27.690756578335399</v>
      </c>
      <c r="E18" s="2" t="s">
        <v>191</v>
      </c>
    </row>
    <row r="19" spans="1:5" ht="15.75" customHeight="1">
      <c r="A19" s="66">
        <v>43133</v>
      </c>
      <c r="B19" s="2" t="s">
        <v>216</v>
      </c>
      <c r="C19" s="2" t="s">
        <v>169</v>
      </c>
      <c r="D19" s="3">
        <v>-25.280933498351065</v>
      </c>
      <c r="E19" s="2" t="s">
        <v>191</v>
      </c>
    </row>
    <row r="20" spans="1:5" ht="15.75" customHeight="1">
      <c r="A20" s="66">
        <v>43132</v>
      </c>
      <c r="B20" s="2" t="s">
        <v>217</v>
      </c>
      <c r="C20" s="2" t="s">
        <v>169</v>
      </c>
      <c r="D20" s="3">
        <v>-19.15537966529622</v>
      </c>
      <c r="E20" s="2" t="s">
        <v>191</v>
      </c>
    </row>
    <row r="21" spans="1:5" ht="15.75" customHeight="1">
      <c r="A21" s="66">
        <v>43132</v>
      </c>
      <c r="B21" s="2" t="s">
        <v>218</v>
      </c>
      <c r="C21" s="2" t="s">
        <v>178</v>
      </c>
      <c r="D21" s="3">
        <v>-6.1872186695911999</v>
      </c>
      <c r="E21" s="2" t="s">
        <v>203</v>
      </c>
    </row>
    <row r="22" spans="1:5" ht="15.75" customHeight="1">
      <c r="A22" s="66">
        <v>43131</v>
      </c>
      <c r="B22" s="2" t="s">
        <v>219</v>
      </c>
      <c r="C22" s="2" t="s">
        <v>166</v>
      </c>
      <c r="D22" s="3">
        <v>-2.1049544549337211</v>
      </c>
      <c r="E22" s="2" t="s">
        <v>190</v>
      </c>
    </row>
    <row r="23" spans="1:5" ht="15.75" customHeight="1">
      <c r="A23" s="66">
        <v>43131</v>
      </c>
      <c r="B23" s="2" t="s">
        <v>220</v>
      </c>
      <c r="C23" s="2" t="s">
        <v>163</v>
      </c>
      <c r="D23" s="3">
        <v>-164.34778223566545</v>
      </c>
      <c r="E23" s="2" t="s">
        <v>197</v>
      </c>
    </row>
    <row r="24" spans="1:5" ht="15.75" customHeight="1">
      <c r="A24" s="66">
        <v>43130</v>
      </c>
      <c r="B24" s="2" t="s">
        <v>221</v>
      </c>
      <c r="C24" s="2" t="s">
        <v>174</v>
      </c>
      <c r="D24" s="3">
        <v>-156.1</v>
      </c>
      <c r="E24" s="2" t="s">
        <v>190</v>
      </c>
    </row>
    <row r="25" spans="1:5" ht="15.75" customHeight="1">
      <c r="A25" s="66">
        <v>43129</v>
      </c>
      <c r="B25" s="2" t="s">
        <v>222</v>
      </c>
      <c r="C25" s="2" t="s">
        <v>172</v>
      </c>
      <c r="D25" s="3">
        <v>-400</v>
      </c>
      <c r="E25" s="2" t="s">
        <v>198</v>
      </c>
    </row>
    <row r="26" spans="1:5" ht="15.75" customHeight="1">
      <c r="A26" s="66">
        <v>43128</v>
      </c>
      <c r="B26" s="2" t="s">
        <v>223</v>
      </c>
      <c r="C26" s="2" t="s">
        <v>165</v>
      </c>
      <c r="D26" s="3">
        <v>-69.099999999999994</v>
      </c>
      <c r="E26" s="2" t="s">
        <v>191</v>
      </c>
    </row>
    <row r="27" spans="1:5" ht="15.75" customHeight="1">
      <c r="A27" s="66">
        <v>43127</v>
      </c>
      <c r="B27" s="2" t="s">
        <v>214</v>
      </c>
      <c r="C27" s="2" t="s">
        <v>178</v>
      </c>
      <c r="D27" s="3">
        <v>-56.98</v>
      </c>
      <c r="E27" s="2" t="s">
        <v>197</v>
      </c>
    </row>
    <row r="28" spans="1:5" ht="15.75" customHeight="1">
      <c r="A28" s="66">
        <v>43126</v>
      </c>
      <c r="B28" s="2" t="s">
        <v>215</v>
      </c>
      <c r="C28" s="2" t="s">
        <v>169</v>
      </c>
      <c r="D28" s="3">
        <v>-37.619999999999997</v>
      </c>
      <c r="E28" s="2" t="s">
        <v>191</v>
      </c>
    </row>
    <row r="29" spans="1:5" ht="15.75" customHeight="1">
      <c r="A29" s="66">
        <v>43126</v>
      </c>
      <c r="B29" s="2" t="s">
        <v>224</v>
      </c>
      <c r="C29" s="2" t="s">
        <v>178</v>
      </c>
      <c r="D29" s="3">
        <v>-10</v>
      </c>
      <c r="E29" s="2" t="s">
        <v>203</v>
      </c>
    </row>
    <row r="30" spans="1:5" ht="15.75" customHeight="1">
      <c r="A30" s="66">
        <v>43125</v>
      </c>
      <c r="B30" s="2" t="s">
        <v>193</v>
      </c>
      <c r="C30" s="2" t="s">
        <v>169</v>
      </c>
      <c r="D30" s="3">
        <v>-47.83</v>
      </c>
      <c r="E30" s="2" t="s">
        <v>191</v>
      </c>
    </row>
    <row r="31" spans="1:5" ht="15.75" customHeight="1">
      <c r="A31" s="66">
        <v>43124</v>
      </c>
      <c r="B31" s="2" t="s">
        <v>196</v>
      </c>
      <c r="C31" s="2" t="s">
        <v>175</v>
      </c>
      <c r="D31" s="3">
        <v>-55.82</v>
      </c>
      <c r="E31" s="2" t="s">
        <v>197</v>
      </c>
    </row>
    <row r="32" spans="1:5" ht="15.75" customHeight="1">
      <c r="A32" s="66">
        <v>43123</v>
      </c>
      <c r="B32" s="2" t="s">
        <v>225</v>
      </c>
      <c r="C32" s="2" t="s">
        <v>172</v>
      </c>
      <c r="D32" s="3">
        <v>-400</v>
      </c>
      <c r="E32" s="2" t="s">
        <v>187</v>
      </c>
    </row>
    <row r="33" spans="1:5" ht="15.75" customHeight="1">
      <c r="A33" s="66">
        <v>43122</v>
      </c>
      <c r="B33" s="2" t="s">
        <v>226</v>
      </c>
      <c r="C33" s="2" t="s">
        <v>176</v>
      </c>
      <c r="D33" s="3">
        <v>-740</v>
      </c>
      <c r="E33" s="2" t="s">
        <v>187</v>
      </c>
    </row>
    <row r="34" spans="1:5" ht="15.75" customHeight="1">
      <c r="A34" s="66">
        <v>43122</v>
      </c>
      <c r="B34" s="2" t="s">
        <v>211</v>
      </c>
      <c r="C34" s="2" t="s">
        <v>178</v>
      </c>
      <c r="D34" s="3">
        <v>-2.99</v>
      </c>
      <c r="E34" s="2" t="s">
        <v>198</v>
      </c>
    </row>
    <row r="35" spans="1:5" ht="15.75" customHeight="1">
      <c r="A35" s="66">
        <v>43121</v>
      </c>
      <c r="B35" s="2" t="s">
        <v>212</v>
      </c>
      <c r="C35" s="2" t="s">
        <v>166</v>
      </c>
      <c r="D35" s="3">
        <v>-18.18</v>
      </c>
      <c r="E35" s="2" t="s">
        <v>191</v>
      </c>
    </row>
    <row r="36" spans="1:5" ht="15.75" customHeight="1">
      <c r="A36" s="66">
        <v>43119</v>
      </c>
      <c r="B36" s="2" t="s">
        <v>200</v>
      </c>
      <c r="C36" s="2" t="s">
        <v>169</v>
      </c>
      <c r="D36" s="3">
        <v>-435.11</v>
      </c>
      <c r="E36" s="2" t="s">
        <v>197</v>
      </c>
    </row>
    <row r="37" spans="1:5" ht="15.75" customHeight="1">
      <c r="A37" s="66">
        <v>43118</v>
      </c>
      <c r="B37" s="2" t="s">
        <v>202</v>
      </c>
      <c r="C37" s="2" t="s">
        <v>177</v>
      </c>
      <c r="D37" s="3">
        <v>-30</v>
      </c>
      <c r="E37" s="2" t="s">
        <v>194</v>
      </c>
    </row>
    <row r="38" spans="1:5" ht="15.75" customHeight="1">
      <c r="A38" s="66">
        <v>43116</v>
      </c>
      <c r="B38" s="2" t="s">
        <v>227</v>
      </c>
      <c r="C38" s="2" t="s">
        <v>165</v>
      </c>
      <c r="D38" s="3">
        <v>-23</v>
      </c>
      <c r="E38" s="2" t="s">
        <v>191</v>
      </c>
    </row>
    <row r="39" spans="1:5" ht="15.75" customHeight="1">
      <c r="A39" s="66">
        <v>43115</v>
      </c>
      <c r="B39" s="2" t="s">
        <v>228</v>
      </c>
      <c r="C39" s="2" t="s">
        <v>157</v>
      </c>
      <c r="D39" s="67">
        <v>923</v>
      </c>
      <c r="E39" s="2" t="s">
        <v>187</v>
      </c>
    </row>
    <row r="40" spans="1:5" ht="15.75" customHeight="1">
      <c r="A40" s="66">
        <v>43114</v>
      </c>
      <c r="B40" s="2" t="s">
        <v>229</v>
      </c>
      <c r="C40" s="2" t="s">
        <v>166</v>
      </c>
      <c r="D40" s="3">
        <v>-7.25</v>
      </c>
      <c r="E40" s="2" t="s">
        <v>203</v>
      </c>
    </row>
    <row r="41" spans="1:5" ht="15.75" customHeight="1">
      <c r="A41" s="66">
        <v>43114</v>
      </c>
      <c r="B41" s="2" t="s">
        <v>230</v>
      </c>
      <c r="C41" s="2" t="s">
        <v>166</v>
      </c>
      <c r="D41" s="3">
        <v>-16.350000000000001</v>
      </c>
      <c r="E41" s="2" t="s">
        <v>197</v>
      </c>
    </row>
    <row r="42" spans="1:5" ht="15.75" customHeight="1">
      <c r="A42" s="66">
        <v>43113</v>
      </c>
      <c r="B42" s="2" t="s">
        <v>231</v>
      </c>
      <c r="C42" s="2" t="s">
        <v>103</v>
      </c>
      <c r="D42" s="3">
        <v>-125.43</v>
      </c>
      <c r="E42" s="2" t="s">
        <v>198</v>
      </c>
    </row>
    <row r="43" spans="1:5" ht="15.75" customHeight="1">
      <c r="A43" s="66">
        <v>43112</v>
      </c>
      <c r="B43" s="2" t="s">
        <v>189</v>
      </c>
      <c r="C43" s="2" t="s">
        <v>166</v>
      </c>
      <c r="D43" s="3">
        <v>-12.51</v>
      </c>
      <c r="E43" s="2" t="s">
        <v>190</v>
      </c>
    </row>
    <row r="44" spans="1:5" ht="15.75" customHeight="1">
      <c r="A44" s="66">
        <v>43111</v>
      </c>
      <c r="B44" s="2" t="s">
        <v>232</v>
      </c>
      <c r="C44" s="2" t="s">
        <v>103</v>
      </c>
      <c r="D44" s="3">
        <v>-43.73</v>
      </c>
      <c r="E44" s="2" t="s">
        <v>198</v>
      </c>
    </row>
    <row r="45" spans="1:5" ht="15.75" customHeight="1">
      <c r="A45" s="66">
        <v>43110</v>
      </c>
      <c r="B45" s="2" t="s">
        <v>233</v>
      </c>
      <c r="C45" s="2" t="s">
        <v>166</v>
      </c>
      <c r="D45" s="3">
        <v>-72.28</v>
      </c>
      <c r="E45" s="2" t="s">
        <v>203</v>
      </c>
    </row>
    <row r="46" spans="1:5" ht="15.75" customHeight="1">
      <c r="A46" s="66">
        <v>43110</v>
      </c>
      <c r="B46" s="2" t="s">
        <v>234</v>
      </c>
      <c r="C46" s="2" t="s">
        <v>165</v>
      </c>
      <c r="D46" s="3">
        <v>-108.91</v>
      </c>
      <c r="E46" s="2" t="s">
        <v>191</v>
      </c>
    </row>
    <row r="47" spans="1:5" ht="15.75" customHeight="1">
      <c r="A47" s="66">
        <v>43110</v>
      </c>
      <c r="B47" s="2" t="s">
        <v>205</v>
      </c>
      <c r="C47" s="2" t="s">
        <v>160</v>
      </c>
      <c r="D47" s="3">
        <v>-1903</v>
      </c>
      <c r="E47" s="2" t="s">
        <v>187</v>
      </c>
    </row>
    <row r="48" spans="1:5" ht="15.75" customHeight="1">
      <c r="A48" s="66">
        <v>43110</v>
      </c>
      <c r="B48" s="2" t="s">
        <v>155</v>
      </c>
      <c r="C48" s="2" t="s">
        <v>155</v>
      </c>
      <c r="D48" s="67">
        <v>5544</v>
      </c>
      <c r="E48" s="2" t="s">
        <v>187</v>
      </c>
    </row>
    <row r="49" spans="1:5" ht="15.75" customHeight="1">
      <c r="A49" s="66">
        <v>43110</v>
      </c>
      <c r="B49" s="2" t="s">
        <v>207</v>
      </c>
      <c r="C49" s="2" t="s">
        <v>178</v>
      </c>
      <c r="D49" s="3">
        <v>-16.18</v>
      </c>
      <c r="E49" s="2" t="s">
        <v>194</v>
      </c>
    </row>
    <row r="50" spans="1:5" ht="15.75" customHeight="1">
      <c r="A50" s="66">
        <v>43109</v>
      </c>
      <c r="B50" s="2" t="s">
        <v>235</v>
      </c>
      <c r="C50" s="2" t="s">
        <v>177</v>
      </c>
      <c r="D50" s="3">
        <v>-513.97</v>
      </c>
      <c r="E50" s="2" t="s">
        <v>198</v>
      </c>
    </row>
    <row r="51" spans="1:5" ht="15.75" customHeight="1">
      <c r="A51" s="66">
        <v>43109</v>
      </c>
      <c r="B51" s="2" t="s">
        <v>236</v>
      </c>
      <c r="C51" s="2" t="s">
        <v>170</v>
      </c>
      <c r="D51" s="3">
        <v>-50</v>
      </c>
      <c r="E51" s="2" t="s">
        <v>198</v>
      </c>
    </row>
    <row r="52" spans="1:5" ht="15.75" customHeight="1">
      <c r="A52" s="66">
        <v>43108</v>
      </c>
      <c r="B52" s="2" t="s">
        <v>237</v>
      </c>
      <c r="C52" s="2" t="s">
        <v>165</v>
      </c>
      <c r="D52" s="3">
        <v>-36.76</v>
      </c>
      <c r="E52" s="2" t="s">
        <v>191</v>
      </c>
    </row>
    <row r="53" spans="1:5" ht="15.75" customHeight="1">
      <c r="A53" s="66">
        <v>43107</v>
      </c>
      <c r="B53" s="2" t="s">
        <v>238</v>
      </c>
      <c r="C53" s="2" t="s">
        <v>166</v>
      </c>
      <c r="D53" s="3">
        <v>-35.340000000000003</v>
      </c>
      <c r="E53" s="2" t="s">
        <v>198</v>
      </c>
    </row>
    <row r="54" spans="1:5" ht="15.75" customHeight="1">
      <c r="A54" s="66">
        <v>43106</v>
      </c>
      <c r="B54" s="2" t="s">
        <v>217</v>
      </c>
      <c r="C54" s="2" t="s">
        <v>169</v>
      </c>
      <c r="D54" s="3">
        <v>-19.670000000000002</v>
      </c>
      <c r="E54" s="2" t="s">
        <v>191</v>
      </c>
    </row>
    <row r="55" spans="1:5" ht="15.75" customHeight="1">
      <c r="A55" s="66">
        <v>43106</v>
      </c>
      <c r="B55" s="2" t="s">
        <v>216</v>
      </c>
      <c r="C55" s="2" t="s">
        <v>169</v>
      </c>
      <c r="D55" s="3">
        <v>-48.74</v>
      </c>
      <c r="E55" s="2" t="s">
        <v>191</v>
      </c>
    </row>
    <row r="56" spans="1:5" ht="15.75" customHeight="1">
      <c r="A56" s="66">
        <v>43106</v>
      </c>
      <c r="B56" s="2" t="s">
        <v>213</v>
      </c>
      <c r="C56" s="2" t="s">
        <v>178</v>
      </c>
      <c r="D56" s="3">
        <v>-20</v>
      </c>
      <c r="E56" s="2" t="s">
        <v>198</v>
      </c>
    </row>
    <row r="57" spans="1:5" ht="15.75" customHeight="1">
      <c r="A57" s="66">
        <v>43105</v>
      </c>
      <c r="B57" s="2" t="s">
        <v>218</v>
      </c>
      <c r="C57" s="2" t="s">
        <v>178</v>
      </c>
      <c r="D57" s="3">
        <v>-10.81</v>
      </c>
      <c r="E57" s="2" t="s">
        <v>203</v>
      </c>
    </row>
    <row r="58" spans="1:5" ht="15.75" customHeight="1">
      <c r="A58" s="66">
        <v>43104</v>
      </c>
      <c r="B58" s="2" t="s">
        <v>209</v>
      </c>
      <c r="C58" s="2" t="s">
        <v>165</v>
      </c>
      <c r="D58" s="3">
        <v>-52.69</v>
      </c>
      <c r="E58" s="2" t="s">
        <v>191</v>
      </c>
    </row>
    <row r="59" spans="1:5" ht="15.75" customHeight="1">
      <c r="A59" s="66">
        <v>43103</v>
      </c>
      <c r="B59" s="2" t="s">
        <v>208</v>
      </c>
      <c r="C59" s="2" t="s">
        <v>166</v>
      </c>
      <c r="D59" s="3">
        <v>-12.91</v>
      </c>
      <c r="E59" s="2" t="s">
        <v>203</v>
      </c>
    </row>
    <row r="60" spans="1:5" ht="15.75" customHeight="1">
      <c r="A60" s="66">
        <v>43102</v>
      </c>
      <c r="B60" s="2" t="s">
        <v>239</v>
      </c>
      <c r="C60" s="2" t="s">
        <v>161</v>
      </c>
      <c r="D60" s="3">
        <v>-251.33</v>
      </c>
      <c r="E60" s="2" t="s">
        <v>197</v>
      </c>
    </row>
    <row r="61" spans="1:5" ht="15.75" customHeight="1">
      <c r="A61" s="66">
        <v>43101</v>
      </c>
      <c r="B61" s="2" t="s">
        <v>219</v>
      </c>
      <c r="C61" s="2" t="s">
        <v>166</v>
      </c>
      <c r="D61" s="3">
        <v>-3.56</v>
      </c>
      <c r="E61" s="2" t="s">
        <v>190</v>
      </c>
    </row>
    <row r="62" spans="1:5" ht="15.75" customHeight="1">
      <c r="A62" s="66">
        <v>43101</v>
      </c>
      <c r="B62" s="2" t="s">
        <v>220</v>
      </c>
      <c r="C62" s="2" t="s">
        <v>163</v>
      </c>
      <c r="D62" s="3">
        <v>-322.83999999999997</v>
      </c>
      <c r="E62" s="2" t="s">
        <v>197</v>
      </c>
    </row>
    <row r="63" spans="1:5" ht="15.75" customHeight="1">
      <c r="A63" s="66">
        <v>43100</v>
      </c>
      <c r="B63" s="2" t="s">
        <v>221</v>
      </c>
      <c r="C63" s="2" t="s">
        <v>174</v>
      </c>
      <c r="D63" s="3">
        <v>-115.74967014479407</v>
      </c>
      <c r="E63" s="2" t="s">
        <v>190</v>
      </c>
    </row>
    <row r="64" spans="1:5" ht="15.75" customHeight="1">
      <c r="A64" s="66">
        <v>43099</v>
      </c>
      <c r="B64" s="2" t="s">
        <v>237</v>
      </c>
      <c r="C64" s="2" t="s">
        <v>165</v>
      </c>
      <c r="D64" s="3">
        <v>-28.600200780444766</v>
      </c>
      <c r="E64" s="2" t="s">
        <v>191</v>
      </c>
    </row>
    <row r="65" spans="1:5" ht="15.75" customHeight="1">
      <c r="A65" s="66">
        <v>43098</v>
      </c>
      <c r="B65" s="2" t="s">
        <v>238</v>
      </c>
      <c r="C65" s="2" t="s">
        <v>166</v>
      </c>
      <c r="D65" s="3">
        <v>-27.972195350837076</v>
      </c>
      <c r="E65" s="2" t="s">
        <v>198</v>
      </c>
    </row>
    <row r="66" spans="1:5" ht="15.75" customHeight="1">
      <c r="A66" s="66">
        <v>43097</v>
      </c>
      <c r="B66" s="2" t="s">
        <v>226</v>
      </c>
      <c r="C66" s="2" t="s">
        <v>176</v>
      </c>
      <c r="D66" s="3">
        <v>-621.1731484738832</v>
      </c>
      <c r="E66" s="2" t="s">
        <v>187</v>
      </c>
    </row>
    <row r="67" spans="1:5" ht="15.75" customHeight="1">
      <c r="A67" s="66">
        <v>43096</v>
      </c>
      <c r="B67" s="2" t="s">
        <v>240</v>
      </c>
      <c r="C67" s="2" t="s">
        <v>172</v>
      </c>
      <c r="D67" s="3">
        <v>-300</v>
      </c>
      <c r="E67" s="2" t="s">
        <v>198</v>
      </c>
    </row>
    <row r="68" spans="1:5" ht="15.75" customHeight="1">
      <c r="A68" s="66">
        <v>43095</v>
      </c>
      <c r="B68" s="2" t="s">
        <v>224</v>
      </c>
      <c r="C68" s="2" t="s">
        <v>178</v>
      </c>
      <c r="D68" s="3">
        <v>-6.872212037170101</v>
      </c>
      <c r="E68" s="2" t="s">
        <v>203</v>
      </c>
    </row>
    <row r="69" spans="1:5" ht="15.75" customHeight="1">
      <c r="A69" s="66">
        <v>43094</v>
      </c>
      <c r="B69" s="2" t="s">
        <v>227</v>
      </c>
      <c r="C69" s="2" t="s">
        <v>165</v>
      </c>
      <c r="D69" s="3">
        <v>-14.63268068805967</v>
      </c>
      <c r="E69" s="2" t="s">
        <v>191</v>
      </c>
    </row>
    <row r="70" spans="1:5" ht="15.75" customHeight="1">
      <c r="A70" s="66">
        <v>43093</v>
      </c>
      <c r="B70" s="2" t="s">
        <v>228</v>
      </c>
      <c r="C70" s="2" t="s">
        <v>157</v>
      </c>
      <c r="D70" s="67">
        <v>653.58785518442778</v>
      </c>
      <c r="E70" s="2" t="s">
        <v>187</v>
      </c>
    </row>
    <row r="71" spans="1:5" ht="15.75" customHeight="1">
      <c r="A71" s="66">
        <v>43092</v>
      </c>
      <c r="B71" s="2" t="s">
        <v>229</v>
      </c>
      <c r="C71" s="2" t="s">
        <v>166</v>
      </c>
      <c r="D71" s="3">
        <v>-6.18155654415109</v>
      </c>
      <c r="E71" s="2" t="s">
        <v>203</v>
      </c>
    </row>
    <row r="72" spans="1:5" ht="15.75" customHeight="1">
      <c r="A72" s="66">
        <v>43092</v>
      </c>
      <c r="B72" s="2" t="s">
        <v>230</v>
      </c>
      <c r="C72" s="2" t="s">
        <v>166</v>
      </c>
      <c r="D72" s="3">
        <v>-15.956849155308712</v>
      </c>
      <c r="E72" s="2" t="s">
        <v>197</v>
      </c>
    </row>
    <row r="73" spans="1:5" ht="15.75" customHeight="1">
      <c r="A73" s="66">
        <v>43091</v>
      </c>
      <c r="B73" s="2" t="s">
        <v>193</v>
      </c>
      <c r="C73" s="2" t="s">
        <v>169</v>
      </c>
      <c r="D73" s="3">
        <v>-25.172198490266851</v>
      </c>
      <c r="E73" s="2" t="s">
        <v>191</v>
      </c>
    </row>
    <row r="74" spans="1:5" ht="15.75" customHeight="1">
      <c r="A74" s="66">
        <v>43091</v>
      </c>
      <c r="B74" s="2" t="s">
        <v>196</v>
      </c>
      <c r="C74" s="2" t="s">
        <v>175</v>
      </c>
      <c r="D74" s="3">
        <v>-50.348574949595729</v>
      </c>
      <c r="E74" s="2" t="s">
        <v>197</v>
      </c>
    </row>
    <row r="75" spans="1:5" ht="15.75" customHeight="1">
      <c r="A75" s="66">
        <v>43090</v>
      </c>
      <c r="B75" s="2" t="s">
        <v>235</v>
      </c>
      <c r="C75" s="2" t="s">
        <v>177</v>
      </c>
      <c r="D75" s="3">
        <v>-488.95510428597606</v>
      </c>
      <c r="E75" s="2" t="s">
        <v>198</v>
      </c>
    </row>
    <row r="76" spans="1:5" ht="15.75" customHeight="1">
      <c r="A76" s="66">
        <v>43089</v>
      </c>
      <c r="B76" s="2" t="s">
        <v>200</v>
      </c>
      <c r="C76" s="2" t="s">
        <v>169</v>
      </c>
      <c r="D76" s="3">
        <v>-260.36726635699529</v>
      </c>
      <c r="E76" s="2" t="s">
        <v>197</v>
      </c>
    </row>
    <row r="77" spans="1:5" ht="15.75" customHeight="1">
      <c r="A77" s="66">
        <v>43088</v>
      </c>
      <c r="B77" s="2" t="s">
        <v>202</v>
      </c>
      <c r="C77" s="2" t="s">
        <v>177</v>
      </c>
      <c r="D77" s="3">
        <v>-16.488964188554782</v>
      </c>
      <c r="E77" s="2" t="s">
        <v>194</v>
      </c>
    </row>
    <row r="78" spans="1:5" ht="15.75" customHeight="1">
      <c r="A78" s="66">
        <v>43086</v>
      </c>
      <c r="B78" s="2" t="s">
        <v>209</v>
      </c>
      <c r="C78" s="2" t="s">
        <v>165</v>
      </c>
      <c r="D78" s="3">
        <v>-27.183768951838047</v>
      </c>
      <c r="E78" s="2" t="s">
        <v>191</v>
      </c>
    </row>
    <row r="79" spans="1:5" ht="15.75" customHeight="1">
      <c r="A79" s="66">
        <v>43085</v>
      </c>
      <c r="B79" s="2" t="s">
        <v>241</v>
      </c>
      <c r="C79" s="2" t="s">
        <v>172</v>
      </c>
      <c r="D79" s="3">
        <v>-300</v>
      </c>
      <c r="E79" s="2" t="s">
        <v>187</v>
      </c>
    </row>
    <row r="80" spans="1:5" ht="15.75" customHeight="1">
      <c r="A80" s="66">
        <v>43084</v>
      </c>
      <c r="B80" s="2" t="s">
        <v>214</v>
      </c>
      <c r="C80" s="2" t="s">
        <v>178</v>
      </c>
      <c r="D80" s="3">
        <v>-34.21658162443002</v>
      </c>
      <c r="E80" s="2" t="s">
        <v>197</v>
      </c>
    </row>
    <row r="81" spans="1:5" ht="15.75" customHeight="1">
      <c r="A81" s="66">
        <v>43083</v>
      </c>
      <c r="B81" s="2" t="s">
        <v>215</v>
      </c>
      <c r="C81" s="2" t="s">
        <v>169</v>
      </c>
      <c r="D81" s="3">
        <v>-25.753114033343255</v>
      </c>
      <c r="E81" s="2" t="s">
        <v>191</v>
      </c>
    </row>
    <row r="82" spans="1:5" ht="15.75" customHeight="1">
      <c r="A82" s="66">
        <v>43082</v>
      </c>
      <c r="B82" s="2" t="s">
        <v>216</v>
      </c>
      <c r="C82" s="2" t="s">
        <v>169</v>
      </c>
      <c r="D82" s="3">
        <v>-44.813790300506582</v>
      </c>
      <c r="E82" s="2" t="s">
        <v>191</v>
      </c>
    </row>
    <row r="83" spans="1:5" ht="15.75" customHeight="1">
      <c r="A83" s="66">
        <v>43082</v>
      </c>
      <c r="B83" s="2" t="s">
        <v>231</v>
      </c>
      <c r="C83" s="2" t="s">
        <v>103</v>
      </c>
      <c r="D83" s="3">
        <v>-102.85023221421071</v>
      </c>
      <c r="E83" s="2" t="s">
        <v>198</v>
      </c>
    </row>
    <row r="84" spans="1:5" ht="15.75" customHeight="1">
      <c r="A84" s="66">
        <v>43081</v>
      </c>
      <c r="B84" s="2" t="s">
        <v>217</v>
      </c>
      <c r="C84" s="2" t="s">
        <v>169</v>
      </c>
      <c r="D84" s="3">
        <v>-13.772233433191696</v>
      </c>
      <c r="E84" s="2" t="s">
        <v>191</v>
      </c>
    </row>
    <row r="85" spans="1:5" ht="15.75" customHeight="1">
      <c r="A85" s="66">
        <v>43080</v>
      </c>
      <c r="B85" s="2" t="s">
        <v>189</v>
      </c>
      <c r="C85" s="2" t="s">
        <v>166</v>
      </c>
      <c r="D85" s="3">
        <v>-10.264651962190525</v>
      </c>
      <c r="E85" s="2" t="s">
        <v>190</v>
      </c>
    </row>
    <row r="86" spans="1:5" ht="15.75" customHeight="1">
      <c r="A86" s="66">
        <v>43080</v>
      </c>
      <c r="B86" s="2" t="s">
        <v>218</v>
      </c>
      <c r="C86" s="2" t="s">
        <v>178</v>
      </c>
      <c r="D86" s="3">
        <v>-9.7146032923612324</v>
      </c>
      <c r="E86" s="2" t="s">
        <v>203</v>
      </c>
    </row>
    <row r="87" spans="1:5" ht="15.75" customHeight="1">
      <c r="A87" s="66">
        <v>43079</v>
      </c>
      <c r="B87" s="2" t="s">
        <v>208</v>
      </c>
      <c r="C87" s="2" t="s">
        <v>166</v>
      </c>
      <c r="D87" s="3">
        <v>-11.733451140784947</v>
      </c>
      <c r="E87" s="2" t="s">
        <v>203</v>
      </c>
    </row>
    <row r="88" spans="1:5" ht="15.75" customHeight="1">
      <c r="A88" s="66">
        <v>43079</v>
      </c>
      <c r="B88" s="2" t="s">
        <v>205</v>
      </c>
      <c r="C88" s="2" t="s">
        <v>160</v>
      </c>
      <c r="D88" s="3">
        <v>-1903</v>
      </c>
      <c r="E88" s="2" t="s">
        <v>187</v>
      </c>
    </row>
    <row r="89" spans="1:5" ht="15.75" customHeight="1">
      <c r="A89" s="66">
        <v>43079</v>
      </c>
      <c r="B89" s="2" t="s">
        <v>155</v>
      </c>
      <c r="C89" s="2" t="s">
        <v>155</v>
      </c>
      <c r="D89" s="67">
        <v>5544</v>
      </c>
      <c r="E89" s="2" t="s">
        <v>187</v>
      </c>
    </row>
    <row r="90" spans="1:5" ht="15.75" customHeight="1">
      <c r="A90" s="66">
        <v>43079</v>
      </c>
      <c r="B90" s="2" t="s">
        <v>207</v>
      </c>
      <c r="C90" s="2" t="s">
        <v>178</v>
      </c>
      <c r="D90" s="3">
        <v>-15.119178234607485</v>
      </c>
      <c r="E90" s="2" t="s">
        <v>194</v>
      </c>
    </row>
    <row r="91" spans="1:5" ht="15.75" customHeight="1">
      <c r="A91" s="66">
        <v>43078</v>
      </c>
      <c r="B91" s="2" t="s">
        <v>242</v>
      </c>
      <c r="C91" s="2" t="s">
        <v>161</v>
      </c>
      <c r="D91" s="3">
        <v>-249.68057299921207</v>
      </c>
      <c r="E91" s="2" t="s">
        <v>197</v>
      </c>
    </row>
    <row r="92" spans="1:5" ht="15.75" customHeight="1">
      <c r="A92" s="66">
        <v>43077</v>
      </c>
      <c r="B92" s="2" t="s">
        <v>211</v>
      </c>
      <c r="C92" s="2" t="s">
        <v>178</v>
      </c>
      <c r="D92" s="3">
        <v>-2.0757459156642257</v>
      </c>
      <c r="E92" s="2" t="s">
        <v>198</v>
      </c>
    </row>
    <row r="93" spans="1:5" ht="15.75" customHeight="1">
      <c r="A93" s="66">
        <v>43076</v>
      </c>
      <c r="B93" s="2" t="s">
        <v>212</v>
      </c>
      <c r="C93" s="2" t="s">
        <v>166</v>
      </c>
      <c r="D93" s="3">
        <v>-16.06684016842345</v>
      </c>
      <c r="E93" s="2" t="s">
        <v>191</v>
      </c>
    </row>
    <row r="94" spans="1:5" ht="15.75" customHeight="1">
      <c r="A94" s="66">
        <v>43075</v>
      </c>
      <c r="B94" s="2" t="s">
        <v>223</v>
      </c>
      <c r="C94" s="2" t="s">
        <v>165</v>
      </c>
      <c r="D94" s="3">
        <v>-68.515374889743356</v>
      </c>
      <c r="E94" s="2" t="s">
        <v>191</v>
      </c>
    </row>
    <row r="95" spans="1:5" ht="15.75" customHeight="1">
      <c r="A95" s="66">
        <v>43075</v>
      </c>
      <c r="B95" s="2" t="s">
        <v>213</v>
      </c>
      <c r="C95" s="2" t="s">
        <v>178</v>
      </c>
      <c r="D95" s="3">
        <v>-18.121327125937889</v>
      </c>
      <c r="E95" s="2" t="s">
        <v>198</v>
      </c>
    </row>
    <row r="96" spans="1:5" ht="15.75" customHeight="1">
      <c r="A96" s="66">
        <v>43074</v>
      </c>
      <c r="B96" s="2" t="s">
        <v>232</v>
      </c>
      <c r="C96" s="2" t="s">
        <v>103</v>
      </c>
      <c r="D96" s="3">
        <v>-24.422722278885228</v>
      </c>
      <c r="E96" s="2" t="s">
        <v>198</v>
      </c>
    </row>
    <row r="97" spans="1:5" ht="15.75" customHeight="1">
      <c r="A97" s="66">
        <v>43073</v>
      </c>
      <c r="B97" s="2" t="s">
        <v>234</v>
      </c>
      <c r="C97" s="2" t="s">
        <v>165</v>
      </c>
      <c r="D97" s="3">
        <v>-107.75932954943372</v>
      </c>
      <c r="E97" s="2" t="s">
        <v>191</v>
      </c>
    </row>
    <row r="98" spans="1:5" ht="15.75" customHeight="1">
      <c r="A98" s="66">
        <v>43072</v>
      </c>
      <c r="B98" s="2" t="s">
        <v>233</v>
      </c>
      <c r="C98" s="2" t="s">
        <v>166</v>
      </c>
      <c r="D98" s="3">
        <v>-60.205891588102475</v>
      </c>
      <c r="E98" s="2" t="s">
        <v>203</v>
      </c>
    </row>
    <row r="99" spans="1:5" ht="15.75" customHeight="1">
      <c r="A99" s="66">
        <v>43072</v>
      </c>
      <c r="B99" s="2" t="s">
        <v>236</v>
      </c>
      <c r="C99" s="2" t="s">
        <v>170</v>
      </c>
      <c r="D99" s="3">
        <v>-25.409532702415337</v>
      </c>
      <c r="E99" s="2" t="s">
        <v>203</v>
      </c>
    </row>
    <row r="100" spans="1:5" ht="15.75" customHeight="1">
      <c r="A100" s="66">
        <v>43071</v>
      </c>
      <c r="B100" s="2" t="s">
        <v>219</v>
      </c>
      <c r="C100" s="2" t="s">
        <v>166</v>
      </c>
      <c r="D100" s="3">
        <v>-2.5152269314867968</v>
      </c>
      <c r="E100" s="2" t="s">
        <v>190</v>
      </c>
    </row>
    <row r="101" spans="1:5" ht="15.75" customHeight="1">
      <c r="A101" s="66">
        <v>43071</v>
      </c>
      <c r="B101" s="2" t="s">
        <v>220</v>
      </c>
      <c r="C101" s="2" t="s">
        <v>163</v>
      </c>
      <c r="D101" s="3">
        <v>-205.43755902360425</v>
      </c>
      <c r="E101" s="2" t="s">
        <v>197</v>
      </c>
    </row>
    <row r="102" spans="1:5" ht="15.75" customHeight="1"/>
    <row r="103" spans="1:5" ht="15.75" customHeight="1"/>
    <row r="104" spans="1:5" ht="15.75" customHeight="1"/>
    <row r="105" spans="1:5" ht="15.75" customHeight="1"/>
    <row r="106" spans="1:5" ht="15.75" customHeight="1"/>
    <row r="107" spans="1:5" ht="15.75" customHeight="1"/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Cost &amp; Revenue Calculation</vt:lpstr>
      <vt:lpstr>Salary Calculation &amp; Analysis </vt:lpstr>
      <vt:lpstr>Advanced Excel Functions</vt:lpstr>
      <vt:lpstr>Formatting &amp; Sorting</vt:lpstr>
      <vt:lpstr> Expense Model</vt:lpstr>
      <vt:lpstr>Formated Data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Anuja Ghavate</dc:creator>
  <cp:lastModifiedBy>Anuja Ghavate</cp:lastModifiedBy>
  <dcterms:created xsi:type="dcterms:W3CDTF">2020-10-29T18:32:33Z</dcterms:created>
  <dcterms:modified xsi:type="dcterms:W3CDTF">2020-10-30T22:20:07Z</dcterms:modified>
</cp:coreProperties>
</file>