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giat_Ikazinat\data_analysis\excel\"/>
    </mc:Choice>
  </mc:AlternateContent>
  <xr:revisionPtr revIDLastSave="0" documentId="13_ncr:1_{DF66736A-1C4A-4888-9EFD-30A54189A6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tendees" sheetId="4" r:id="rId1"/>
    <sheet name="Lookup Lists" sheetId="6" r:id="rId2"/>
  </sheets>
  <definedNames>
    <definedName name="Caterer">#REF!</definedName>
    <definedName name="caterer_costs">#REF!</definedName>
    <definedName name="Catering">#REF!</definedName>
    <definedName name="Country">'Lookup Lists'!$D$7:$D$59</definedName>
    <definedName name="Country_Codes">'Lookup Lists'!$E$7:$E$59</definedName>
    <definedName name="country_table">'Lookup Lists'!$D$6:$E$59</definedName>
    <definedName name="Guests">#REF!</definedName>
    <definedName name="meal">'Lookup Lists'!$H$6:$K$6</definedName>
    <definedName name="Organisation_Code">'Lookup Lists'!$A$7:$A$52</definedName>
    <definedName name="Organisation_Name">'Lookup Lists'!$B$7:$B$52</definedName>
    <definedName name="prices">#REF!</definedName>
    <definedName name="Profit">#REF!</definedName>
    <definedName name="seat_country_code">'Lookup Lists'!$G$7:$G$59</definedName>
    <definedName name="seat_table">'Lookup Lists'!$H$7:$K$59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#REF!</definedName>
    <definedName name="venue_costs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O7" i="4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53" i="4"/>
  <c r="P53" i="4" s="1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78" i="4"/>
  <c r="P78" i="4" s="1"/>
  <c r="O79" i="4"/>
  <c r="P79" i="4" s="1"/>
  <c r="O80" i="4"/>
  <c r="P80" i="4" s="1"/>
  <c r="O81" i="4"/>
  <c r="P81" i="4" s="1"/>
  <c r="O82" i="4"/>
  <c r="P82" i="4" s="1"/>
  <c r="O83" i="4"/>
  <c r="P83" i="4" s="1"/>
  <c r="O84" i="4"/>
  <c r="P84" i="4" s="1"/>
  <c r="O85" i="4"/>
  <c r="P85" i="4" s="1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P103" i="4" s="1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P111" i="4" s="1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P127" i="4" s="1"/>
  <c r="O128" i="4"/>
  <c r="P128" i="4" s="1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P135" i="4" s="1"/>
  <c r="O136" i="4"/>
  <c r="P136" i="4" s="1"/>
  <c r="O137" i="4"/>
  <c r="P137" i="4" s="1"/>
  <c r="O138" i="4"/>
  <c r="P138" i="4" s="1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P159" i="4" s="1"/>
  <c r="O160" i="4"/>
  <c r="P160" i="4" s="1"/>
  <c r="O161" i="4"/>
  <c r="P161" i="4" s="1"/>
  <c r="O162" i="4"/>
  <c r="P162" i="4" s="1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P171" i="4" s="1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P177" i="4" s="1"/>
  <c r="O178" i="4"/>
  <c r="P178" i="4" s="1"/>
  <c r="O179" i="4"/>
  <c r="P179" i="4" s="1"/>
  <c r="O180" i="4"/>
  <c r="P180" i="4" s="1"/>
  <c r="O181" i="4"/>
  <c r="P181" i="4" s="1"/>
  <c r="O182" i="4"/>
  <c r="P182" i="4" s="1"/>
  <c r="O183" i="4"/>
  <c r="P183" i="4" s="1"/>
  <c r="O184" i="4"/>
  <c r="P184" i="4" s="1"/>
  <c r="O185" i="4"/>
  <c r="P185" i="4" s="1"/>
  <c r="O186" i="4"/>
  <c r="P186" i="4" s="1"/>
  <c r="O187" i="4"/>
  <c r="P187" i="4" s="1"/>
  <c r="O188" i="4"/>
  <c r="P188" i="4" s="1"/>
  <c r="O189" i="4"/>
  <c r="P189" i="4" s="1"/>
  <c r="O190" i="4"/>
  <c r="P190" i="4" s="1"/>
  <c r="O191" i="4"/>
  <c r="P191" i="4" s="1"/>
  <c r="O192" i="4"/>
  <c r="P192" i="4" s="1"/>
  <c r="O193" i="4"/>
  <c r="P193" i="4" s="1"/>
  <c r="O194" i="4"/>
  <c r="P194" i="4" s="1"/>
  <c r="O195" i="4"/>
  <c r="P195" i="4" s="1"/>
  <c r="O196" i="4"/>
  <c r="P196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P205" i="4" s="1"/>
  <c r="O206" i="4"/>
  <c r="P206" i="4" s="1"/>
  <c r="O207" i="4"/>
  <c r="P207" i="4" s="1"/>
  <c r="O208" i="4"/>
  <c r="P208" i="4" s="1"/>
  <c r="O209" i="4"/>
  <c r="P209" i="4" s="1"/>
  <c r="O210" i="4"/>
  <c r="P210" i="4" s="1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17" i="4"/>
  <c r="P217" i="4" s="1"/>
  <c r="O218" i="4"/>
  <c r="P218" i="4" s="1"/>
  <c r="O219" i="4"/>
  <c r="P219" i="4" s="1"/>
  <c r="O220" i="4"/>
  <c r="P220" i="4" s="1"/>
  <c r="O221" i="4"/>
  <c r="P221" i="4" s="1"/>
  <c r="O222" i="4"/>
  <c r="P222" i="4" s="1"/>
  <c r="O223" i="4"/>
  <c r="P223" i="4" s="1"/>
  <c r="O224" i="4"/>
  <c r="P224" i="4" s="1"/>
  <c r="O225" i="4"/>
  <c r="P225" i="4" s="1"/>
  <c r="O226" i="4"/>
  <c r="P226" i="4" s="1"/>
  <c r="O227" i="4"/>
  <c r="P227" i="4" s="1"/>
  <c r="O228" i="4"/>
  <c r="P228" i="4" s="1"/>
  <c r="O229" i="4"/>
  <c r="P229" i="4" s="1"/>
  <c r="O230" i="4"/>
  <c r="P230" i="4" s="1"/>
  <c r="O231" i="4"/>
  <c r="P231" i="4" s="1"/>
  <c r="O232" i="4"/>
  <c r="P232" i="4" s="1"/>
  <c r="O233" i="4"/>
  <c r="P233" i="4" s="1"/>
  <c r="O234" i="4"/>
  <c r="P234" i="4" s="1"/>
  <c r="O235" i="4"/>
  <c r="P235" i="4" s="1"/>
  <c r="O236" i="4"/>
  <c r="P236" i="4" s="1"/>
  <c r="O237" i="4"/>
  <c r="P237" i="4" s="1"/>
  <c r="O238" i="4"/>
  <c r="P238" i="4" s="1"/>
  <c r="O239" i="4"/>
  <c r="P239" i="4" s="1"/>
  <c r="O240" i="4"/>
  <c r="P240" i="4" s="1"/>
  <c r="O241" i="4"/>
  <c r="P241" i="4" s="1"/>
  <c r="O242" i="4"/>
  <c r="P242" i="4" s="1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49" i="4"/>
  <c r="P249" i="4" s="1"/>
  <c r="O250" i="4"/>
  <c r="P250" i="4" s="1"/>
  <c r="O251" i="4"/>
  <c r="P251" i="4" s="1"/>
  <c r="O252" i="4"/>
  <c r="P252" i="4" s="1"/>
  <c r="O253" i="4"/>
  <c r="P253" i="4" s="1"/>
  <c r="O254" i="4"/>
  <c r="P254" i="4" s="1"/>
  <c r="O255" i="4"/>
  <c r="P255" i="4" s="1"/>
  <c r="O256" i="4"/>
  <c r="P256" i="4" s="1"/>
  <c r="O257" i="4"/>
  <c r="P257" i="4" s="1"/>
  <c r="O258" i="4"/>
  <c r="P258" i="4" s="1"/>
  <c r="O259" i="4"/>
  <c r="P259" i="4" s="1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P266" i="4" s="1"/>
  <c r="O267" i="4"/>
  <c r="P267" i="4" s="1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P273" i="4" s="1"/>
  <c r="O274" i="4"/>
  <c r="P274" i="4" s="1"/>
  <c r="O275" i="4"/>
  <c r="P275" i="4" s="1"/>
  <c r="O276" i="4"/>
  <c r="P276" i="4" s="1"/>
  <c r="O277" i="4"/>
  <c r="P277" i="4" s="1"/>
  <c r="O278" i="4"/>
  <c r="P278" i="4" s="1"/>
  <c r="O279" i="4"/>
  <c r="P279" i="4" s="1"/>
  <c r="O280" i="4"/>
  <c r="P280" i="4" s="1"/>
  <c r="O281" i="4"/>
  <c r="P281" i="4" s="1"/>
  <c r="O282" i="4"/>
  <c r="P282" i="4" s="1"/>
  <c r="O283" i="4"/>
  <c r="P283" i="4" s="1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P289" i="4" s="1"/>
  <c r="O290" i="4"/>
  <c r="P290" i="4" s="1"/>
  <c r="O291" i="4"/>
  <c r="P291" i="4" s="1"/>
  <c r="O292" i="4"/>
  <c r="P292" i="4" s="1"/>
  <c r="O293" i="4"/>
  <c r="P293" i="4" s="1"/>
  <c r="O294" i="4"/>
  <c r="P294" i="4" s="1"/>
  <c r="O295" i="4"/>
  <c r="P295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P303" i="4" s="1"/>
  <c r="O304" i="4"/>
  <c r="P304" i="4" s="1"/>
  <c r="O305" i="4"/>
  <c r="P305" i="4" s="1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 s="1"/>
  <c r="O316" i="4"/>
  <c r="P316" i="4" s="1"/>
  <c r="O317" i="4"/>
  <c r="P317" i="4" s="1"/>
  <c r="O318" i="4"/>
  <c r="P318" i="4" s="1"/>
  <c r="O319" i="4"/>
  <c r="P319" i="4" s="1"/>
  <c r="O320" i="4"/>
  <c r="P320" i="4" s="1"/>
  <c r="O321" i="4"/>
  <c r="P321" i="4" s="1"/>
  <c r="O322" i="4"/>
  <c r="P322" i="4" s="1"/>
  <c r="O323" i="4"/>
  <c r="P323" i="4" s="1"/>
  <c r="O324" i="4"/>
  <c r="P324" i="4" s="1"/>
  <c r="O325" i="4"/>
  <c r="P325" i="4" s="1"/>
  <c r="O326" i="4"/>
  <c r="P326" i="4" s="1"/>
  <c r="O327" i="4"/>
  <c r="P327" i="4" s="1"/>
  <c r="O328" i="4"/>
  <c r="P328" i="4" s="1"/>
  <c r="O329" i="4"/>
  <c r="P329" i="4" s="1"/>
  <c r="O330" i="4"/>
  <c r="P330" i="4" s="1"/>
  <c r="O331" i="4"/>
  <c r="P331" i="4" s="1"/>
  <c r="O332" i="4"/>
  <c r="P332" i="4" s="1"/>
  <c r="O333" i="4"/>
  <c r="P333" i="4" s="1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P347" i="4" s="1"/>
  <c r="O348" i="4"/>
  <c r="P348" i="4" s="1"/>
  <c r="O349" i="4"/>
  <c r="P349" i="4" s="1"/>
  <c r="O350" i="4"/>
  <c r="P350" i="4" s="1"/>
  <c r="O351" i="4"/>
  <c r="P351" i="4" s="1"/>
  <c r="O352" i="4"/>
  <c r="P352" i="4" s="1"/>
  <c r="O353" i="4"/>
  <c r="P353" i="4" s="1"/>
  <c r="O354" i="4"/>
  <c r="P354" i="4" s="1"/>
  <c r="O355" i="4"/>
  <c r="P355" i="4" s="1"/>
  <c r="O356" i="4"/>
  <c r="P356" i="4" s="1"/>
  <c r="O357" i="4"/>
  <c r="P357" i="4" s="1"/>
  <c r="O358" i="4"/>
  <c r="P358" i="4" s="1"/>
  <c r="O359" i="4"/>
  <c r="P359" i="4" s="1"/>
  <c r="O360" i="4"/>
  <c r="P360" i="4" s="1"/>
  <c r="O361" i="4"/>
  <c r="P361" i="4" s="1"/>
  <c r="O362" i="4"/>
  <c r="P362" i="4" s="1"/>
  <c r="O363" i="4"/>
  <c r="P363" i="4" s="1"/>
  <c r="O364" i="4"/>
  <c r="P364" i="4" s="1"/>
  <c r="O365" i="4"/>
  <c r="P365" i="4" s="1"/>
  <c r="O366" i="4"/>
  <c r="P366" i="4" s="1"/>
  <c r="O367" i="4"/>
  <c r="P367" i="4" s="1"/>
  <c r="O368" i="4"/>
  <c r="P368" i="4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O369" i="4" l="1"/>
  <c r="P7" i="4"/>
  <c r="V20" i="4"/>
  <c r="V22" i="4"/>
  <c r="V19" i="4"/>
  <c r="V14" i="4"/>
  <c r="V15" i="4"/>
  <c r="E7" i="4"/>
  <c r="L7" i="4" s="1"/>
  <c r="E8" i="4"/>
  <c r="L8" i="4" s="1"/>
  <c r="E9" i="4"/>
  <c r="L9" i="4" s="1"/>
  <c r="E10" i="4"/>
  <c r="L10" i="4" s="1"/>
  <c r="E11" i="4"/>
  <c r="L11" i="4" s="1"/>
  <c r="E12" i="4"/>
  <c r="L12" i="4" s="1"/>
  <c r="E13" i="4"/>
  <c r="L13" i="4" s="1"/>
  <c r="E14" i="4"/>
  <c r="L14" i="4" s="1"/>
  <c r="E15" i="4"/>
  <c r="L15" i="4" s="1"/>
  <c r="E16" i="4"/>
  <c r="L16" i="4" s="1"/>
  <c r="E17" i="4"/>
  <c r="L17" i="4" s="1"/>
  <c r="E18" i="4"/>
  <c r="L18" i="4" s="1"/>
  <c r="E19" i="4"/>
  <c r="L19" i="4" s="1"/>
  <c r="E20" i="4"/>
  <c r="L20" i="4" s="1"/>
  <c r="E21" i="4"/>
  <c r="L21" i="4" s="1"/>
  <c r="E22" i="4"/>
  <c r="L22" i="4" s="1"/>
  <c r="E23" i="4"/>
  <c r="L23" i="4" s="1"/>
  <c r="E24" i="4"/>
  <c r="L24" i="4" s="1"/>
  <c r="E25" i="4"/>
  <c r="L25" i="4" s="1"/>
  <c r="E26" i="4"/>
  <c r="L26" i="4" s="1"/>
  <c r="E27" i="4"/>
  <c r="L27" i="4" s="1"/>
  <c r="E28" i="4"/>
  <c r="L28" i="4" s="1"/>
  <c r="E29" i="4"/>
  <c r="L29" i="4" s="1"/>
  <c r="E30" i="4"/>
  <c r="L30" i="4" s="1"/>
  <c r="E31" i="4"/>
  <c r="L31" i="4" s="1"/>
  <c r="E32" i="4"/>
  <c r="L32" i="4" s="1"/>
  <c r="E33" i="4"/>
  <c r="L33" i="4" s="1"/>
  <c r="E34" i="4"/>
  <c r="L34" i="4" s="1"/>
  <c r="E35" i="4"/>
  <c r="L35" i="4" s="1"/>
  <c r="E36" i="4"/>
  <c r="L36" i="4" s="1"/>
  <c r="E37" i="4"/>
  <c r="L37" i="4" s="1"/>
  <c r="E38" i="4"/>
  <c r="L38" i="4" s="1"/>
  <c r="E39" i="4"/>
  <c r="L39" i="4" s="1"/>
  <c r="E40" i="4"/>
  <c r="L40" i="4" s="1"/>
  <c r="E41" i="4"/>
  <c r="L41" i="4" s="1"/>
  <c r="E42" i="4"/>
  <c r="L42" i="4" s="1"/>
  <c r="E43" i="4"/>
  <c r="L43" i="4" s="1"/>
  <c r="E44" i="4"/>
  <c r="L44" i="4" s="1"/>
  <c r="E45" i="4"/>
  <c r="L45" i="4" s="1"/>
  <c r="E46" i="4"/>
  <c r="L46" i="4" s="1"/>
  <c r="E47" i="4"/>
  <c r="L47" i="4" s="1"/>
  <c r="E48" i="4"/>
  <c r="L48" i="4" s="1"/>
  <c r="E49" i="4"/>
  <c r="L49" i="4" s="1"/>
  <c r="E50" i="4"/>
  <c r="L50" i="4" s="1"/>
  <c r="E51" i="4"/>
  <c r="L51" i="4" s="1"/>
  <c r="E52" i="4"/>
  <c r="L52" i="4" s="1"/>
  <c r="E53" i="4"/>
  <c r="L53" i="4" s="1"/>
  <c r="E54" i="4"/>
  <c r="L54" i="4" s="1"/>
  <c r="E55" i="4"/>
  <c r="L55" i="4" s="1"/>
  <c r="E56" i="4"/>
  <c r="L56" i="4" s="1"/>
  <c r="E57" i="4"/>
  <c r="L57" i="4" s="1"/>
  <c r="E58" i="4"/>
  <c r="L58" i="4" s="1"/>
  <c r="E59" i="4"/>
  <c r="L59" i="4" s="1"/>
  <c r="E60" i="4"/>
  <c r="L60" i="4" s="1"/>
  <c r="E61" i="4"/>
  <c r="L61" i="4" s="1"/>
  <c r="E62" i="4"/>
  <c r="L62" i="4" s="1"/>
  <c r="E63" i="4"/>
  <c r="L63" i="4" s="1"/>
  <c r="E64" i="4"/>
  <c r="L64" i="4" s="1"/>
  <c r="E65" i="4"/>
  <c r="L65" i="4" s="1"/>
  <c r="E66" i="4"/>
  <c r="L66" i="4" s="1"/>
  <c r="E67" i="4"/>
  <c r="L67" i="4" s="1"/>
  <c r="E68" i="4"/>
  <c r="L68" i="4" s="1"/>
  <c r="E69" i="4"/>
  <c r="L69" i="4" s="1"/>
  <c r="E70" i="4"/>
  <c r="L70" i="4" s="1"/>
  <c r="E71" i="4"/>
  <c r="L71" i="4" s="1"/>
  <c r="E72" i="4"/>
  <c r="L72" i="4" s="1"/>
  <c r="E73" i="4"/>
  <c r="L73" i="4" s="1"/>
  <c r="E74" i="4"/>
  <c r="L74" i="4" s="1"/>
  <c r="E75" i="4"/>
  <c r="L75" i="4" s="1"/>
  <c r="E76" i="4"/>
  <c r="L76" i="4" s="1"/>
  <c r="E77" i="4"/>
  <c r="L77" i="4" s="1"/>
  <c r="E78" i="4"/>
  <c r="L78" i="4" s="1"/>
  <c r="E79" i="4"/>
  <c r="L79" i="4" s="1"/>
  <c r="E80" i="4"/>
  <c r="L80" i="4" s="1"/>
  <c r="E81" i="4"/>
  <c r="L81" i="4" s="1"/>
  <c r="E82" i="4"/>
  <c r="L82" i="4" s="1"/>
  <c r="E83" i="4"/>
  <c r="L83" i="4" s="1"/>
  <c r="E84" i="4"/>
  <c r="L84" i="4" s="1"/>
  <c r="E85" i="4"/>
  <c r="L85" i="4" s="1"/>
  <c r="E86" i="4"/>
  <c r="L86" i="4" s="1"/>
  <c r="E87" i="4"/>
  <c r="L87" i="4" s="1"/>
  <c r="E88" i="4"/>
  <c r="L88" i="4" s="1"/>
  <c r="E89" i="4"/>
  <c r="L89" i="4" s="1"/>
  <c r="E90" i="4"/>
  <c r="L90" i="4" s="1"/>
  <c r="E91" i="4"/>
  <c r="L91" i="4" s="1"/>
  <c r="E92" i="4"/>
  <c r="L92" i="4" s="1"/>
  <c r="E93" i="4"/>
  <c r="L93" i="4" s="1"/>
  <c r="E94" i="4"/>
  <c r="L94" i="4" s="1"/>
  <c r="E95" i="4"/>
  <c r="L95" i="4" s="1"/>
  <c r="E96" i="4"/>
  <c r="L96" i="4" s="1"/>
  <c r="E97" i="4"/>
  <c r="L97" i="4" s="1"/>
  <c r="E98" i="4"/>
  <c r="L98" i="4" s="1"/>
  <c r="E99" i="4"/>
  <c r="L99" i="4" s="1"/>
  <c r="E100" i="4"/>
  <c r="L100" i="4" s="1"/>
  <c r="E101" i="4"/>
  <c r="L101" i="4" s="1"/>
  <c r="E102" i="4"/>
  <c r="L102" i="4" s="1"/>
  <c r="E103" i="4"/>
  <c r="L103" i="4" s="1"/>
  <c r="E104" i="4"/>
  <c r="L104" i="4" s="1"/>
  <c r="E105" i="4"/>
  <c r="L105" i="4" s="1"/>
  <c r="E106" i="4"/>
  <c r="L106" i="4" s="1"/>
  <c r="E107" i="4"/>
  <c r="L107" i="4" s="1"/>
  <c r="E108" i="4"/>
  <c r="L108" i="4" s="1"/>
  <c r="E109" i="4"/>
  <c r="L109" i="4" s="1"/>
  <c r="E110" i="4"/>
  <c r="L110" i="4" s="1"/>
  <c r="E111" i="4"/>
  <c r="L111" i="4" s="1"/>
  <c r="E112" i="4"/>
  <c r="L112" i="4" s="1"/>
  <c r="E113" i="4"/>
  <c r="L113" i="4" s="1"/>
  <c r="E114" i="4"/>
  <c r="L114" i="4" s="1"/>
  <c r="E115" i="4"/>
  <c r="L115" i="4" s="1"/>
  <c r="E116" i="4"/>
  <c r="L116" i="4" s="1"/>
  <c r="E117" i="4"/>
  <c r="L117" i="4" s="1"/>
  <c r="E118" i="4"/>
  <c r="L118" i="4" s="1"/>
  <c r="E119" i="4"/>
  <c r="L119" i="4" s="1"/>
  <c r="E120" i="4"/>
  <c r="L120" i="4" s="1"/>
  <c r="E121" i="4"/>
  <c r="L121" i="4" s="1"/>
  <c r="E122" i="4"/>
  <c r="L122" i="4" s="1"/>
  <c r="E123" i="4"/>
  <c r="L123" i="4" s="1"/>
  <c r="E124" i="4"/>
  <c r="L124" i="4" s="1"/>
  <c r="E125" i="4"/>
  <c r="L125" i="4" s="1"/>
  <c r="E126" i="4"/>
  <c r="L126" i="4" s="1"/>
  <c r="E127" i="4"/>
  <c r="L127" i="4" s="1"/>
  <c r="E128" i="4"/>
  <c r="L128" i="4" s="1"/>
  <c r="E129" i="4"/>
  <c r="L129" i="4" s="1"/>
  <c r="E130" i="4"/>
  <c r="L130" i="4" s="1"/>
  <c r="E131" i="4"/>
  <c r="L131" i="4" s="1"/>
  <c r="E132" i="4"/>
  <c r="L132" i="4" s="1"/>
  <c r="E133" i="4"/>
  <c r="L133" i="4" s="1"/>
  <c r="E134" i="4"/>
  <c r="L134" i="4" s="1"/>
  <c r="E135" i="4"/>
  <c r="L135" i="4" s="1"/>
  <c r="E136" i="4"/>
  <c r="L136" i="4" s="1"/>
  <c r="E137" i="4"/>
  <c r="L137" i="4" s="1"/>
  <c r="E138" i="4"/>
  <c r="L138" i="4" s="1"/>
  <c r="E139" i="4"/>
  <c r="L139" i="4" s="1"/>
  <c r="E140" i="4"/>
  <c r="L140" i="4" s="1"/>
  <c r="E141" i="4"/>
  <c r="L141" i="4" s="1"/>
  <c r="E142" i="4"/>
  <c r="L142" i="4" s="1"/>
  <c r="E143" i="4"/>
  <c r="L143" i="4" s="1"/>
  <c r="E144" i="4"/>
  <c r="L144" i="4" s="1"/>
  <c r="E145" i="4"/>
  <c r="L145" i="4" s="1"/>
  <c r="E146" i="4"/>
  <c r="L146" i="4" s="1"/>
  <c r="E147" i="4"/>
  <c r="L147" i="4" s="1"/>
  <c r="E148" i="4"/>
  <c r="L148" i="4" s="1"/>
  <c r="E149" i="4"/>
  <c r="L149" i="4" s="1"/>
  <c r="E150" i="4"/>
  <c r="L150" i="4" s="1"/>
  <c r="E151" i="4"/>
  <c r="L151" i="4" s="1"/>
  <c r="E152" i="4"/>
  <c r="L152" i="4" s="1"/>
  <c r="E153" i="4"/>
  <c r="L153" i="4" s="1"/>
  <c r="E154" i="4"/>
  <c r="L154" i="4" s="1"/>
  <c r="E155" i="4"/>
  <c r="L155" i="4" s="1"/>
  <c r="E156" i="4"/>
  <c r="L156" i="4" s="1"/>
  <c r="E157" i="4"/>
  <c r="L157" i="4" s="1"/>
  <c r="E158" i="4"/>
  <c r="L158" i="4" s="1"/>
  <c r="E159" i="4"/>
  <c r="L159" i="4" s="1"/>
  <c r="E160" i="4"/>
  <c r="L160" i="4" s="1"/>
  <c r="E161" i="4"/>
  <c r="L161" i="4" s="1"/>
  <c r="E162" i="4"/>
  <c r="L162" i="4" s="1"/>
  <c r="E163" i="4"/>
  <c r="L163" i="4" s="1"/>
  <c r="E164" i="4"/>
  <c r="L164" i="4" s="1"/>
  <c r="E165" i="4"/>
  <c r="L165" i="4" s="1"/>
  <c r="E166" i="4"/>
  <c r="L166" i="4" s="1"/>
  <c r="E167" i="4"/>
  <c r="L167" i="4" s="1"/>
  <c r="E168" i="4"/>
  <c r="L168" i="4" s="1"/>
  <c r="E169" i="4"/>
  <c r="L169" i="4" s="1"/>
  <c r="E170" i="4"/>
  <c r="L170" i="4" s="1"/>
  <c r="E171" i="4"/>
  <c r="L171" i="4" s="1"/>
  <c r="E172" i="4"/>
  <c r="L172" i="4" s="1"/>
  <c r="E173" i="4"/>
  <c r="L173" i="4" s="1"/>
  <c r="E174" i="4"/>
  <c r="L174" i="4" s="1"/>
  <c r="E175" i="4"/>
  <c r="L175" i="4" s="1"/>
  <c r="E176" i="4"/>
  <c r="L176" i="4" s="1"/>
  <c r="E177" i="4"/>
  <c r="L177" i="4" s="1"/>
  <c r="E178" i="4"/>
  <c r="L178" i="4" s="1"/>
  <c r="E179" i="4"/>
  <c r="L179" i="4" s="1"/>
  <c r="E180" i="4"/>
  <c r="L180" i="4" s="1"/>
  <c r="E181" i="4"/>
  <c r="L181" i="4" s="1"/>
  <c r="E182" i="4"/>
  <c r="L182" i="4" s="1"/>
  <c r="E183" i="4"/>
  <c r="L183" i="4" s="1"/>
  <c r="E184" i="4"/>
  <c r="L184" i="4" s="1"/>
  <c r="E185" i="4"/>
  <c r="L185" i="4" s="1"/>
  <c r="E186" i="4"/>
  <c r="L186" i="4" s="1"/>
  <c r="E187" i="4"/>
  <c r="L187" i="4" s="1"/>
  <c r="E188" i="4"/>
  <c r="L188" i="4" s="1"/>
  <c r="E189" i="4"/>
  <c r="L189" i="4" s="1"/>
  <c r="E190" i="4"/>
  <c r="L190" i="4" s="1"/>
  <c r="E191" i="4"/>
  <c r="L191" i="4" s="1"/>
  <c r="E192" i="4"/>
  <c r="L192" i="4" s="1"/>
  <c r="E193" i="4"/>
  <c r="L193" i="4" s="1"/>
  <c r="E194" i="4"/>
  <c r="L194" i="4" s="1"/>
  <c r="E195" i="4"/>
  <c r="L195" i="4" s="1"/>
  <c r="E196" i="4"/>
  <c r="L196" i="4" s="1"/>
  <c r="E197" i="4"/>
  <c r="L197" i="4" s="1"/>
  <c r="E198" i="4"/>
  <c r="L198" i="4" s="1"/>
  <c r="E199" i="4"/>
  <c r="L199" i="4" s="1"/>
  <c r="E200" i="4"/>
  <c r="L200" i="4" s="1"/>
  <c r="E201" i="4"/>
  <c r="L201" i="4" s="1"/>
  <c r="E202" i="4"/>
  <c r="L202" i="4" s="1"/>
  <c r="E203" i="4"/>
  <c r="L203" i="4" s="1"/>
  <c r="E204" i="4"/>
  <c r="L204" i="4" s="1"/>
  <c r="E205" i="4"/>
  <c r="L205" i="4" s="1"/>
  <c r="E206" i="4"/>
  <c r="L206" i="4" s="1"/>
  <c r="E207" i="4"/>
  <c r="L207" i="4" s="1"/>
  <c r="E208" i="4"/>
  <c r="L208" i="4" s="1"/>
  <c r="E209" i="4"/>
  <c r="L209" i="4" s="1"/>
  <c r="E210" i="4"/>
  <c r="L210" i="4" s="1"/>
  <c r="E211" i="4"/>
  <c r="L211" i="4" s="1"/>
  <c r="E212" i="4"/>
  <c r="L212" i="4" s="1"/>
  <c r="E213" i="4"/>
  <c r="L213" i="4" s="1"/>
  <c r="E214" i="4"/>
  <c r="L214" i="4" s="1"/>
  <c r="E215" i="4"/>
  <c r="L215" i="4" s="1"/>
  <c r="E216" i="4"/>
  <c r="L216" i="4" s="1"/>
  <c r="E217" i="4"/>
  <c r="L217" i="4" s="1"/>
  <c r="E218" i="4"/>
  <c r="L218" i="4" s="1"/>
  <c r="E219" i="4"/>
  <c r="L219" i="4" s="1"/>
  <c r="E220" i="4"/>
  <c r="L220" i="4" s="1"/>
  <c r="E221" i="4"/>
  <c r="L221" i="4" s="1"/>
  <c r="E222" i="4"/>
  <c r="L222" i="4" s="1"/>
  <c r="E223" i="4"/>
  <c r="L223" i="4" s="1"/>
  <c r="E224" i="4"/>
  <c r="L224" i="4" s="1"/>
  <c r="E225" i="4"/>
  <c r="L225" i="4" s="1"/>
  <c r="E226" i="4"/>
  <c r="L226" i="4" s="1"/>
  <c r="E227" i="4"/>
  <c r="L227" i="4" s="1"/>
  <c r="E228" i="4"/>
  <c r="L228" i="4" s="1"/>
  <c r="E229" i="4"/>
  <c r="L229" i="4" s="1"/>
  <c r="E230" i="4"/>
  <c r="L230" i="4" s="1"/>
  <c r="E231" i="4"/>
  <c r="L231" i="4" s="1"/>
  <c r="E232" i="4"/>
  <c r="L232" i="4" s="1"/>
  <c r="E233" i="4"/>
  <c r="L233" i="4" s="1"/>
  <c r="E234" i="4"/>
  <c r="L234" i="4" s="1"/>
  <c r="E235" i="4"/>
  <c r="L235" i="4" s="1"/>
  <c r="E236" i="4"/>
  <c r="L236" i="4" s="1"/>
  <c r="E237" i="4"/>
  <c r="L237" i="4" s="1"/>
  <c r="E238" i="4"/>
  <c r="L238" i="4" s="1"/>
  <c r="E239" i="4"/>
  <c r="L239" i="4" s="1"/>
  <c r="E240" i="4"/>
  <c r="L240" i="4" s="1"/>
  <c r="E241" i="4"/>
  <c r="L241" i="4" s="1"/>
  <c r="E242" i="4"/>
  <c r="L242" i="4" s="1"/>
  <c r="E243" i="4"/>
  <c r="L243" i="4" s="1"/>
  <c r="E244" i="4"/>
  <c r="L244" i="4" s="1"/>
  <c r="E245" i="4"/>
  <c r="L245" i="4" s="1"/>
  <c r="E246" i="4"/>
  <c r="L246" i="4" s="1"/>
  <c r="E247" i="4"/>
  <c r="L247" i="4" s="1"/>
  <c r="E248" i="4"/>
  <c r="L248" i="4" s="1"/>
  <c r="E249" i="4"/>
  <c r="L249" i="4" s="1"/>
  <c r="E250" i="4"/>
  <c r="L250" i="4" s="1"/>
  <c r="E251" i="4"/>
  <c r="L251" i="4" s="1"/>
  <c r="E252" i="4"/>
  <c r="L252" i="4" s="1"/>
  <c r="E253" i="4"/>
  <c r="L253" i="4" s="1"/>
  <c r="E254" i="4"/>
  <c r="L254" i="4" s="1"/>
  <c r="E255" i="4"/>
  <c r="L255" i="4" s="1"/>
  <c r="E256" i="4"/>
  <c r="L256" i="4" s="1"/>
  <c r="E257" i="4"/>
  <c r="L257" i="4" s="1"/>
  <c r="E258" i="4"/>
  <c r="L258" i="4" s="1"/>
  <c r="E259" i="4"/>
  <c r="L259" i="4" s="1"/>
  <c r="E260" i="4"/>
  <c r="L260" i="4" s="1"/>
  <c r="E261" i="4"/>
  <c r="L261" i="4" s="1"/>
  <c r="E262" i="4"/>
  <c r="L262" i="4" s="1"/>
  <c r="E263" i="4"/>
  <c r="L263" i="4" s="1"/>
  <c r="E264" i="4"/>
  <c r="L264" i="4" s="1"/>
  <c r="E265" i="4"/>
  <c r="L265" i="4" s="1"/>
  <c r="E266" i="4"/>
  <c r="L266" i="4" s="1"/>
  <c r="E267" i="4"/>
  <c r="L267" i="4" s="1"/>
  <c r="E268" i="4"/>
  <c r="L268" i="4" s="1"/>
  <c r="E269" i="4"/>
  <c r="L269" i="4" s="1"/>
  <c r="E270" i="4"/>
  <c r="L270" i="4" s="1"/>
  <c r="E271" i="4"/>
  <c r="L271" i="4" s="1"/>
  <c r="E272" i="4"/>
  <c r="L272" i="4" s="1"/>
  <c r="E273" i="4"/>
  <c r="L273" i="4" s="1"/>
  <c r="E274" i="4"/>
  <c r="L274" i="4" s="1"/>
  <c r="E275" i="4"/>
  <c r="L275" i="4" s="1"/>
  <c r="E276" i="4"/>
  <c r="L276" i="4" s="1"/>
  <c r="E277" i="4"/>
  <c r="L277" i="4" s="1"/>
  <c r="E278" i="4"/>
  <c r="L278" i="4" s="1"/>
  <c r="E279" i="4"/>
  <c r="L279" i="4" s="1"/>
  <c r="E280" i="4"/>
  <c r="L280" i="4" s="1"/>
  <c r="E281" i="4"/>
  <c r="L281" i="4" s="1"/>
  <c r="E282" i="4"/>
  <c r="L282" i="4" s="1"/>
  <c r="E283" i="4"/>
  <c r="L283" i="4" s="1"/>
  <c r="E284" i="4"/>
  <c r="L284" i="4" s="1"/>
  <c r="E285" i="4"/>
  <c r="L285" i="4" s="1"/>
  <c r="E286" i="4"/>
  <c r="L286" i="4" s="1"/>
  <c r="E287" i="4"/>
  <c r="L287" i="4" s="1"/>
  <c r="E288" i="4"/>
  <c r="L288" i="4" s="1"/>
  <c r="E289" i="4"/>
  <c r="L289" i="4" s="1"/>
  <c r="E290" i="4"/>
  <c r="L290" i="4" s="1"/>
  <c r="E291" i="4"/>
  <c r="L291" i="4" s="1"/>
  <c r="E292" i="4"/>
  <c r="L292" i="4" s="1"/>
  <c r="E293" i="4"/>
  <c r="L293" i="4" s="1"/>
  <c r="E294" i="4"/>
  <c r="L294" i="4" s="1"/>
  <c r="E295" i="4"/>
  <c r="L295" i="4" s="1"/>
  <c r="E296" i="4"/>
  <c r="L296" i="4" s="1"/>
  <c r="E297" i="4"/>
  <c r="L297" i="4" s="1"/>
  <c r="E298" i="4"/>
  <c r="L298" i="4" s="1"/>
  <c r="E299" i="4"/>
  <c r="L299" i="4" s="1"/>
  <c r="E300" i="4"/>
  <c r="L300" i="4" s="1"/>
  <c r="E301" i="4"/>
  <c r="L301" i="4" s="1"/>
  <c r="E302" i="4"/>
  <c r="L302" i="4" s="1"/>
  <c r="E303" i="4"/>
  <c r="L303" i="4" s="1"/>
  <c r="E304" i="4"/>
  <c r="L304" i="4" s="1"/>
  <c r="E305" i="4"/>
  <c r="L305" i="4" s="1"/>
  <c r="E306" i="4"/>
  <c r="L306" i="4" s="1"/>
  <c r="E307" i="4"/>
  <c r="L307" i="4" s="1"/>
  <c r="E308" i="4"/>
  <c r="L308" i="4" s="1"/>
  <c r="E309" i="4"/>
  <c r="L309" i="4" s="1"/>
  <c r="E310" i="4"/>
  <c r="L310" i="4" s="1"/>
  <c r="E311" i="4"/>
  <c r="L311" i="4" s="1"/>
  <c r="E312" i="4"/>
  <c r="L312" i="4" s="1"/>
  <c r="E313" i="4"/>
  <c r="L313" i="4" s="1"/>
  <c r="E314" i="4"/>
  <c r="L314" i="4" s="1"/>
  <c r="E315" i="4"/>
  <c r="L315" i="4" s="1"/>
  <c r="E316" i="4"/>
  <c r="L316" i="4" s="1"/>
  <c r="E317" i="4"/>
  <c r="L317" i="4" s="1"/>
  <c r="E318" i="4"/>
  <c r="L318" i="4" s="1"/>
  <c r="E319" i="4"/>
  <c r="L319" i="4" s="1"/>
  <c r="E320" i="4"/>
  <c r="L320" i="4" s="1"/>
  <c r="E321" i="4"/>
  <c r="L321" i="4" s="1"/>
  <c r="E322" i="4"/>
  <c r="L322" i="4" s="1"/>
  <c r="E323" i="4"/>
  <c r="L323" i="4" s="1"/>
  <c r="E324" i="4"/>
  <c r="L324" i="4" s="1"/>
  <c r="E325" i="4"/>
  <c r="L325" i="4" s="1"/>
  <c r="E326" i="4"/>
  <c r="L326" i="4" s="1"/>
  <c r="E327" i="4"/>
  <c r="L327" i="4" s="1"/>
  <c r="E328" i="4"/>
  <c r="L328" i="4" s="1"/>
  <c r="E329" i="4"/>
  <c r="L329" i="4" s="1"/>
  <c r="E330" i="4"/>
  <c r="L330" i="4" s="1"/>
  <c r="E331" i="4"/>
  <c r="L331" i="4" s="1"/>
  <c r="E332" i="4"/>
  <c r="L332" i="4" s="1"/>
  <c r="E333" i="4"/>
  <c r="L333" i="4" s="1"/>
  <c r="E334" i="4"/>
  <c r="L334" i="4" s="1"/>
  <c r="E335" i="4"/>
  <c r="L335" i="4" s="1"/>
  <c r="E336" i="4"/>
  <c r="L336" i="4" s="1"/>
  <c r="E337" i="4"/>
  <c r="L337" i="4" s="1"/>
  <c r="E338" i="4"/>
  <c r="L338" i="4" s="1"/>
  <c r="E339" i="4"/>
  <c r="L339" i="4" s="1"/>
  <c r="E340" i="4"/>
  <c r="L340" i="4" s="1"/>
  <c r="E341" i="4"/>
  <c r="L341" i="4" s="1"/>
  <c r="E342" i="4"/>
  <c r="L342" i="4" s="1"/>
  <c r="E343" i="4"/>
  <c r="L343" i="4" s="1"/>
  <c r="E344" i="4"/>
  <c r="L344" i="4" s="1"/>
  <c r="E345" i="4"/>
  <c r="L345" i="4" s="1"/>
  <c r="E346" i="4"/>
  <c r="L346" i="4" s="1"/>
  <c r="E347" i="4"/>
  <c r="L347" i="4" s="1"/>
  <c r="E348" i="4"/>
  <c r="L348" i="4" s="1"/>
  <c r="E349" i="4"/>
  <c r="L349" i="4" s="1"/>
  <c r="E350" i="4"/>
  <c r="L350" i="4" s="1"/>
  <c r="E351" i="4"/>
  <c r="L351" i="4" s="1"/>
  <c r="E352" i="4"/>
  <c r="L352" i="4" s="1"/>
  <c r="E353" i="4"/>
  <c r="L353" i="4" s="1"/>
  <c r="E354" i="4"/>
  <c r="L354" i="4" s="1"/>
  <c r="E355" i="4"/>
  <c r="L355" i="4" s="1"/>
  <c r="E356" i="4"/>
  <c r="L356" i="4" s="1"/>
  <c r="E357" i="4"/>
  <c r="L357" i="4" s="1"/>
  <c r="E358" i="4"/>
  <c r="L358" i="4" s="1"/>
  <c r="E359" i="4"/>
  <c r="L359" i="4" s="1"/>
  <c r="E360" i="4"/>
  <c r="L360" i="4" s="1"/>
  <c r="E361" i="4"/>
  <c r="L361" i="4" s="1"/>
  <c r="E362" i="4"/>
  <c r="L362" i="4" s="1"/>
  <c r="E363" i="4"/>
  <c r="L363" i="4" s="1"/>
  <c r="E364" i="4"/>
  <c r="L364" i="4" s="1"/>
  <c r="E365" i="4"/>
  <c r="L365" i="4" s="1"/>
  <c r="E366" i="4"/>
  <c r="L366" i="4" s="1"/>
  <c r="E367" i="4"/>
  <c r="L367" i="4" s="1"/>
  <c r="E368" i="4"/>
  <c r="L368" i="4" s="1"/>
  <c r="U24" i="4" l="1"/>
  <c r="U29" i="4"/>
  <c r="U30" i="4"/>
  <c r="U31" i="4"/>
  <c r="U32" i="4"/>
  <c r="U33" i="4"/>
  <c r="U34" i="4"/>
  <c r="U35" i="4"/>
  <c r="U26" i="4"/>
  <c r="V16" i="4"/>
  <c r="U25" i="4" l="1"/>
  <c r="V21" i="4"/>
</calcChain>
</file>

<file path=xl/sharedStrings.xml><?xml version="1.0" encoding="utf-8"?>
<sst xmlns="http://schemas.openxmlformats.org/spreadsheetml/2006/main" count="2334" uniqueCount="921">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</sst>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9" x14ac:knownFonts="1"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sz val="11"/>
      <color theme="0"/>
      <name val="Tw Cen MT"/>
      <family val="2"/>
      <scheme val="minor"/>
    </font>
    <font>
      <sz val="28"/>
      <color theme="0"/>
      <name val="Tw Cen MT"/>
      <family val="2"/>
      <scheme val="major"/>
    </font>
    <font>
      <b/>
      <sz val="12"/>
      <color theme="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2"/>
      <name val="Tw Cen M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thin">
        <color theme="4" tint="0.39997558519241921"/>
      </top>
      <bottom style="medium">
        <color theme="4"/>
      </bottom>
      <diagonal/>
    </border>
    <border>
      <left/>
      <right/>
      <top style="thin">
        <color theme="4" tint="0.39997558519241921"/>
      </top>
      <bottom style="medium">
        <color theme="4"/>
      </bottom>
      <diagonal/>
    </border>
    <border>
      <left/>
      <right style="medium">
        <color theme="4"/>
      </right>
      <top style="thin">
        <color theme="4" tint="0.39997558519241921"/>
      </top>
      <bottom style="medium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/>
      </left>
      <right/>
      <top style="thin">
        <color theme="4" tint="0.39997558519241921"/>
      </top>
      <bottom/>
      <diagonal/>
    </border>
    <border>
      <left/>
      <right style="medium">
        <color theme="4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165" fontId="0" fillId="0" borderId="8" xfId="0" applyNumberFormat="1" applyBorder="1"/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4" fillId="2" borderId="14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16" xfId="2" applyFont="1" applyFill="1" applyBorder="1" applyAlignment="1">
      <alignment horizontal="center" vertical="center"/>
    </xf>
    <xf numFmtId="0" fontId="0" fillId="5" borderId="3" xfId="3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5" borderId="17" xfId="3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0" fontId="0" fillId="5" borderId="11" xfId="3" applyFont="1" applyFill="1" applyBorder="1" applyAlignment="1">
      <alignment horizontal="center"/>
    </xf>
    <xf numFmtId="0" fontId="0" fillId="7" borderId="12" xfId="0" applyFont="1" applyFill="1" applyBorder="1" applyAlignment="1">
      <alignment horizontal="center"/>
    </xf>
    <xf numFmtId="0" fontId="0" fillId="7" borderId="13" xfId="0" applyFont="1" applyFill="1" applyBorder="1" applyAlignment="1">
      <alignment horizontal="center"/>
    </xf>
    <xf numFmtId="165" fontId="0" fillId="0" borderId="0" xfId="0" applyNumberForma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 xr9:uid="{00000000-0011-0000-FFFF-FFFF00000000}">
      <tableStyleElement type="wholeTable" dxfId="31"/>
      <tableStyleElement type="headerRow" dxfId="30"/>
      <tableStyleElement type="totalRow" dxfId="29"/>
      <tableStyleElement type="first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6290184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993648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84413-2478-4F19-BF30-750B5D840478}" name="ClientDB" displayName="ClientDB" ref="A6:R369" totalsRowCount="1" headerRowDxfId="27" dataDxfId="26" headerRowCellStyle="Accent1">
  <autoFilter ref="A6:R368" xr:uid="{7B284413-2478-4F19-BF30-750B5D840478}"/>
  <sortState xmlns:xlrd2="http://schemas.microsoft.com/office/spreadsheetml/2017/richdata2" ref="A7:R368">
    <sortCondition ref="A6:A368"/>
  </sortState>
  <tableColumns count="18">
    <tableColumn id="1" xr3:uid="{27723DA1-AFA4-4B5D-95CE-135C2A329BE7}" name="Client ID" totalsRowLabel="Total" dataDxfId="25" totalsRowDxfId="24"/>
    <tableColumn id="2" xr3:uid="{FF723E2F-1550-4F40-8ECB-D0211AE07D11}" name="First Name"/>
    <tableColumn id="3" xr3:uid="{3EE0C05B-079D-4E29-AA5E-2A13CEB66EC2}" name="Last Name"/>
    <tableColumn id="5" xr3:uid="{64141CCD-43EA-44E3-B8E4-8C5A86650588}" name="Start Date" dataDxfId="23" totalsRowDxfId="22"/>
    <tableColumn id="17" xr3:uid="{E012D79B-48F0-4DA9-969B-AB3CA8180292}" name="Start Year" dataDxfId="21" totalsRowDxfId="20">
      <calculatedColumnFormula>YEAR(ClientDB[[#This Row],[Start Date]])</calculatedColumnFormula>
    </tableColumn>
    <tableColumn id="13" xr3:uid="{B540CB7C-0240-4DD7-8295-5E4FD7F83060}" name="Org Code" dataDxfId="19"/>
    <tableColumn id="4" xr3:uid="{C3C729DB-F2F8-4E53-8DA6-6D4D5AE65BA0}" name="Organisation" dataDxfId="4">
      <calculatedColumnFormula>VLOOKUP(ClientDB[[#This Row],[Org Code]],organization_table[],2)</calculatedColumnFormula>
    </tableColumn>
    <tableColumn id="7" xr3:uid="{D0168852-6033-4FA1-A83D-A7B7D3E1B8B7}" name="Country Code" dataDxfId="18" totalsRowDxfId="17"/>
    <tableColumn id="14" xr3:uid="{C5FDD723-0E43-4AE2-8512-A94BF494CFD0}" name="Country" dataDxfId="3">
      <calculatedColumnFormula>INDEX(Country,MATCH(ClientDB[[#This Row],[Country Code]],Country_Codes,0),1)</calculatedColumnFormula>
    </tableColumn>
    <tableColumn id="8" xr3:uid="{B60A2D05-D9EA-4581-8FE6-1B1B04FCF996}" name="Events" dataDxfId="16" totalsRowDxfId="15"/>
    <tableColumn id="9" xr3:uid="{F164C450-C121-4388-B4F2-FC818B8AA1B9}" name="New*" dataDxfId="10">
      <calculatedColumnFormula>IF(ClientDB[[#This Row],[Start Date]]&gt;=$U$14,"New","")</calculatedColumnFormula>
    </tableColumn>
    <tableColumn id="11" xr3:uid="{9370A329-6A81-4E6F-BCF9-319A9FD5D1D0}" name="Gift?" dataDxfId="9">
      <calculatedColumnFormula>IF(AND(ClientDB[[#This Row],[Start Year]]&lt;2016,ClientDB[[#This Row],[Events]]&gt;=6),"Gift","")</calculatedColumnFormula>
    </tableColumn>
    <tableColumn id="10" xr3:uid="{BF2AC1E4-A140-48E2-82FD-A0F175511716}" name="Status" dataDxfId="6">
      <calculatedColumnFormula>IF(ClientDB[[#This Row],[Events]]&lt;=9,$U$19,IF(AND(ClientDB[[#This Row],[Events]]&gt;=10,ClientDB[[#This Row],[Events]]&lt;=19),$U$20,IF(AND(ClientDB[[#This Row],[Events]]&gt;=20,ClientDB[[#This Row],[Events]]&lt;=29),$U$21,$U$22)))</calculatedColumnFormula>
    </tableColumn>
    <tableColumn id="20" xr3:uid="{FAA450E2-6E77-4EF0-B986-B51C0A84A956}" name="Days" dataDxfId="14" totalsRowDxfId="13"/>
    <tableColumn id="21" xr3:uid="{E147439B-5EB3-4F49-B37E-49816E1B6C0A}" name="Price" totalsRowFunction="sum" dataDxfId="8">
      <calculatedColumnFormula>ClientDB[[#This Row],[Days]]*IF(ClientDB[[#This Row],[Days]]&gt;1,$V$8,$V$7)</calculatedColumnFormula>
    </tableColumn>
    <tableColumn id="22" xr3:uid="{E2DE97A0-AC04-475A-9672-49F534DBBC4E}" name="After Discount" dataDxfId="7">
      <calculatedColumnFormula>IF(AND(ClientDB[[#This Row],[Events]]&gt;=5,ClientDB[[#This Row],[Events]]&lt;=9),ClientDB[[#This Row],[Price]]-$V$12,IF(ClientDB[[#This Row],[Events]]&gt;=10,ClientDB[[#This Row],[Price]]-ClientDB[[#This Row],[Price]]*$V$11,ClientDB[[#This Row],[Price]]))</calculatedColumnFormula>
    </tableColumn>
    <tableColumn id="16" xr3:uid="{F1789CFB-8C45-4F90-91F0-D468DE406811}" name="Meal" dataDxfId="12" totalsRowDxfId="11"/>
    <tableColumn id="15" xr3:uid="{3C9BF50B-D63B-4FAD-AB84-A8D3F6577159}" name="Seating" dataDxfId="2">
      <calculatedColumnFormula>INDEX(seat_table,MATCH(ClientDB[[#This Row],[Country Code]],seat_country_code,0),MATCH(ClientDB[[#This Row],[Meal]],meal,0))</calculatedColumnFormula>
    </tableColumn>
  </tableColumns>
  <tableStyleInfo name="TableStyleMedium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4AB1D8-5BCD-4D93-BBBE-B5CF3D4FEAC9}" name="organization_table" displayName="organization_table" ref="A6:B52" totalsRowShown="0" headerRowDxfId="5" headerRowCellStyle="Accent1">
  <autoFilter ref="A6:B52" xr:uid="{914AB1D8-5BCD-4D93-BBBE-B5CF3D4FEAC9}"/>
  <tableColumns count="2">
    <tableColumn id="1" xr3:uid="{59548771-4F3D-4338-9A5D-AADDDD771ED5}" name="Organisation Code"/>
    <tableColumn id="2" xr3:uid="{E4773F38-DC01-4298-9C31-ED3A4CEA848B}" name="Organisation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4EE6-830B-4EFF-8796-0BE0F8FFE090}">
  <dimension ref="A1:W369"/>
  <sheetViews>
    <sheetView showGridLines="0" tabSelected="1" zoomScaleNormal="100" workbookViewId="0">
      <selection activeCell="G11" sqref="G11"/>
    </sheetView>
  </sheetViews>
  <sheetFormatPr defaultRowHeight="13.8" x14ac:dyDescent="0.25"/>
  <cols>
    <col min="1" max="1" width="10.19921875" style="10" customWidth="1"/>
    <col min="2" max="2" width="13.8984375" customWidth="1"/>
    <col min="3" max="3" width="14.3984375" style="1" customWidth="1"/>
    <col min="4" max="4" width="11.3984375" style="1" customWidth="1"/>
    <col min="5" max="5" width="9.69921875" style="1" customWidth="1"/>
    <col min="6" max="6" width="9.59765625" style="19" customWidth="1"/>
    <col min="7" max="7" width="18.19921875" style="1" bestFit="1" customWidth="1"/>
    <col min="8" max="8" width="12.8984375" style="19" customWidth="1"/>
    <col min="9" max="9" width="21.5" style="19" customWidth="1"/>
    <col min="10" max="15" width="10" style="16" customWidth="1"/>
    <col min="16" max="16" width="12.59765625" style="16" bestFit="1" customWidth="1"/>
    <col min="17" max="17" width="10" style="16" customWidth="1"/>
    <col min="18" max="18" width="10" style="15" customWidth="1"/>
    <col min="19" max="19" width="5.5" customWidth="1"/>
    <col min="20" max="20" width="14.09765625" bestFit="1" customWidth="1"/>
    <col min="21" max="21" width="9.59765625" customWidth="1"/>
  </cols>
  <sheetData>
    <row r="1" spans="1:23" s="2" customFormat="1" x14ac:dyDescent="0.25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25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25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25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</row>
    <row r="5" spans="1:23" x14ac:dyDescent="0.25">
      <c r="F5" s="18"/>
    </row>
    <row r="6" spans="1:23" ht="16.2" thickBot="1" x14ac:dyDescent="0.3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25">
      <c r="A7" s="10">
        <v>10130</v>
      </c>
      <c r="B7" t="s">
        <v>164</v>
      </c>
      <c r="C7" t="s">
        <v>165</v>
      </c>
      <c r="D7" s="18">
        <v>42701</v>
      </c>
      <c r="E7" s="10">
        <f>YEAR(ClientDB[[#This Row],[Start Date]])</f>
        <v>2016</v>
      </c>
      <c r="F7" t="s">
        <v>834</v>
      </c>
      <c r="G7" t="str">
        <f>VLOOKUP(ClientDB[[#This Row],[Org Code]],organization_table[],2)</f>
        <v>Verisize</v>
      </c>
      <c r="H7" s="10" t="s">
        <v>34</v>
      </c>
      <c r="I7" s="10" t="str">
        <f>INDEX(Country,MATCH(ClientDB[[#This Row],[Country Code]],Country_Codes,0),1)</f>
        <v>United States</v>
      </c>
      <c r="J7" s="15">
        <v>7</v>
      </c>
      <c r="K7" s="15" t="str">
        <f>IF(ClientDB[[#This Row],[Start Date]]&gt;=$U$14,"New","")</f>
        <v/>
      </c>
      <c r="L7" s="15" t="str">
        <f>IF(AND(ClientDB[[#This Row],[Start Year]]&lt;2016,ClientDB[[#This Row],[Events]]&gt;=6),"Gift","")</f>
        <v/>
      </c>
      <c r="M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" s="15">
        <v>3</v>
      </c>
      <c r="O7" s="32">
        <f>ClientDB[[#This Row],[Days]]*IF(ClientDB[[#This Row],[Days]]&gt;1,$V$8,$V$7)</f>
        <v>900</v>
      </c>
      <c r="P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7" s="15" t="s">
        <v>899</v>
      </c>
      <c r="R7" s="15" t="str">
        <f>INDEX(seat_table,MATCH(ClientDB[[#This Row],[Country Code]],seat_country_code,0),MATCH(ClientDB[[#This Row],[Meal]],meal,0))</f>
        <v>F</v>
      </c>
      <c r="T7" s="33" t="s">
        <v>911</v>
      </c>
      <c r="U7" s="26"/>
      <c r="V7" s="27">
        <v>350</v>
      </c>
    </row>
    <row r="8" spans="1:23" ht="14.4" thickBot="1" x14ac:dyDescent="0.3">
      <c r="A8" s="10">
        <v>10195</v>
      </c>
      <c r="B8" t="s">
        <v>199</v>
      </c>
      <c r="C8" t="s">
        <v>200</v>
      </c>
      <c r="D8" s="18">
        <v>43692</v>
      </c>
      <c r="E8" s="10">
        <f>YEAR(ClientDB[[#This Row],[Start Date]])</f>
        <v>2019</v>
      </c>
      <c r="F8" t="s">
        <v>817</v>
      </c>
      <c r="G8" t="str">
        <f>VLOOKUP(ClientDB[[#This Row],[Org Code]],organization_table[],2)</f>
        <v>LACNE</v>
      </c>
      <c r="H8" s="10" t="s">
        <v>15</v>
      </c>
      <c r="I8" s="10" t="str">
        <f>INDEX(Country,MATCH(ClientDB[[#This Row],[Country Code]],Country_Codes,0),1)</f>
        <v>United Kingdom</v>
      </c>
      <c r="J8" s="15">
        <v>2</v>
      </c>
      <c r="K8" s="15" t="str">
        <f>IF(ClientDB[[#This Row],[Start Date]]&gt;=$U$14,"New","")</f>
        <v/>
      </c>
      <c r="L8" s="15" t="str">
        <f>IF(AND(ClientDB[[#This Row],[Start Year]]&lt;2016,ClientDB[[#This Row],[Events]]&gt;=6),"Gift","")</f>
        <v/>
      </c>
      <c r="M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8" s="15">
        <v>2</v>
      </c>
      <c r="O8" s="32">
        <f>ClientDB[[#This Row],[Days]]*IF(ClientDB[[#This Row],[Days]]&gt;1,$V$8,$V$7)</f>
        <v>600</v>
      </c>
      <c r="P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8" s="15" t="s">
        <v>901</v>
      </c>
      <c r="R8" s="15" t="str">
        <f>INDEX(seat_table,MATCH(ClientDB[[#This Row],[Country Code]],seat_country_code,0),MATCH(ClientDB[[#This Row],[Meal]],meal,0))</f>
        <v>E</v>
      </c>
      <c r="T8" s="34" t="s">
        <v>912</v>
      </c>
      <c r="U8" s="29"/>
      <c r="V8" s="30">
        <v>300</v>
      </c>
    </row>
    <row r="9" spans="1:23" x14ac:dyDescent="0.25">
      <c r="A9" s="10">
        <v>10315</v>
      </c>
      <c r="B9" t="s">
        <v>127</v>
      </c>
      <c r="C9" t="s">
        <v>128</v>
      </c>
      <c r="D9" s="18">
        <v>43719</v>
      </c>
      <c r="E9" s="10">
        <f>YEAR(ClientDB[[#This Row],[Start Date]])</f>
        <v>2019</v>
      </c>
      <c r="F9" t="s">
        <v>815</v>
      </c>
      <c r="G9" t="str">
        <f>VLOOKUP(ClientDB[[#This Row],[Org Code]],organization_table[],2)</f>
        <v>Intelligence Systems</v>
      </c>
      <c r="H9" s="10" t="s">
        <v>7</v>
      </c>
      <c r="I9" s="10" t="str">
        <f>INDEX(Country,MATCH(ClientDB[[#This Row],[Country Code]],Country_Codes,0),1)</f>
        <v>Iran</v>
      </c>
      <c r="J9" s="15">
        <v>3</v>
      </c>
      <c r="K9" s="15" t="str">
        <f>IF(ClientDB[[#This Row],[Start Date]]&gt;=$U$14,"New","")</f>
        <v/>
      </c>
      <c r="L9" s="15" t="str">
        <f>IF(AND(ClientDB[[#This Row],[Start Year]]&lt;2016,ClientDB[[#This Row],[Events]]&gt;=6),"Gift","")</f>
        <v/>
      </c>
      <c r="M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9" s="15">
        <v>1</v>
      </c>
      <c r="O9" s="32">
        <f>ClientDB[[#This Row],[Days]]*IF(ClientDB[[#This Row],[Days]]&gt;1,$V$8,$V$7)</f>
        <v>350</v>
      </c>
      <c r="P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9" s="15" t="s">
        <v>901</v>
      </c>
      <c r="R9" s="15" t="str">
        <f>INDEX(seat_table,MATCH(ClientDB[[#This Row],[Country Code]],seat_country_code,0),MATCH(ClientDB[[#This Row],[Meal]],meal,0))</f>
        <v>F</v>
      </c>
    </row>
    <row r="10" spans="1:23" ht="16.2" thickBot="1" x14ac:dyDescent="0.3">
      <c r="A10" s="10">
        <v>10540</v>
      </c>
      <c r="B10" t="s">
        <v>106</v>
      </c>
      <c r="C10" t="s">
        <v>107</v>
      </c>
      <c r="D10" s="18">
        <v>44011</v>
      </c>
      <c r="E10" s="10">
        <f>YEAR(ClientDB[[#This Row],[Start Date]])</f>
        <v>2020</v>
      </c>
      <c r="F10" t="s">
        <v>802</v>
      </c>
      <c r="G10" t="str">
        <f>VLOOKUP(ClientDB[[#This Row],[Org Code]],organization_table[],2)</f>
        <v>Colot</v>
      </c>
      <c r="H10" s="10" t="s">
        <v>109</v>
      </c>
      <c r="I10" s="10" t="str">
        <f>INDEX(Country,MATCH(ClientDB[[#This Row],[Country Code]],Country_Codes,0),1)</f>
        <v>Greece</v>
      </c>
      <c r="J10" s="15">
        <v>2</v>
      </c>
      <c r="K10" s="15" t="str">
        <f>IF(ClientDB[[#This Row],[Start Date]]&gt;=$U$14,"New","")</f>
        <v>New</v>
      </c>
      <c r="L10" s="15" t="str">
        <f>IF(AND(ClientDB[[#This Row],[Start Year]]&lt;2016,ClientDB[[#This Row],[Events]]&gt;=6),"Gift","")</f>
        <v/>
      </c>
      <c r="M1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0" s="15">
        <v>3</v>
      </c>
      <c r="O10" s="32">
        <f>ClientDB[[#This Row],[Days]]*IF(ClientDB[[#This Row],[Days]]&gt;1,$V$8,$V$7)</f>
        <v>900</v>
      </c>
      <c r="P1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0" s="15" t="s">
        <v>900</v>
      </c>
      <c r="R10" s="15" t="str">
        <f>INDEX(seat_table,MATCH(ClientDB[[#This Row],[Country Code]],seat_country_code,0),MATCH(ClientDB[[#This Row],[Meal]],meal,0))</f>
        <v>A</v>
      </c>
      <c r="T10" s="14" t="s">
        <v>780</v>
      </c>
      <c r="U10" s="20"/>
      <c r="V10" s="20" t="s">
        <v>913</v>
      </c>
    </row>
    <row r="11" spans="1:23" x14ac:dyDescent="0.25">
      <c r="A11" s="10">
        <v>10639</v>
      </c>
      <c r="B11" t="s">
        <v>644</v>
      </c>
      <c r="C11" t="s">
        <v>645</v>
      </c>
      <c r="D11" s="18">
        <v>43596</v>
      </c>
      <c r="E11" s="10">
        <f>YEAR(ClientDB[[#This Row],[Start Date]])</f>
        <v>2019</v>
      </c>
      <c r="F11" t="s">
        <v>803</v>
      </c>
      <c r="G11" t="str">
        <f>VLOOKUP(ClientDB[[#This Row],[Org Code]],organization_table[],2)</f>
        <v>Colot</v>
      </c>
      <c r="H11" s="10" t="s">
        <v>175</v>
      </c>
      <c r="I11" s="10" t="str">
        <f>INDEX(Country,MATCH(ClientDB[[#This Row],[Country Code]],Country_Codes,0),1)</f>
        <v>Australia</v>
      </c>
      <c r="J11" s="15">
        <v>5</v>
      </c>
      <c r="K11" s="15" t="str">
        <f>IF(ClientDB[[#This Row],[Start Date]]&gt;=$U$14,"New","")</f>
        <v/>
      </c>
      <c r="L11" s="15" t="str">
        <f>IF(AND(ClientDB[[#This Row],[Start Year]]&lt;2016,ClientDB[[#This Row],[Events]]&gt;=6),"Gift","")</f>
        <v/>
      </c>
      <c r="M1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1" s="15">
        <v>3</v>
      </c>
      <c r="O11" s="32">
        <f>ClientDB[[#This Row],[Days]]*IF(ClientDB[[#This Row],[Days]]&gt;1,$V$8,$V$7)</f>
        <v>900</v>
      </c>
      <c r="P1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1" s="15" t="s">
        <v>901</v>
      </c>
      <c r="R11" s="15" t="str">
        <f>INDEX(seat_table,MATCH(ClientDB[[#This Row],[Country Code]],seat_country_code,0),MATCH(ClientDB[[#This Row],[Meal]],meal,0))</f>
        <v>D</v>
      </c>
      <c r="T11" s="33" t="s">
        <v>914</v>
      </c>
      <c r="U11" s="26"/>
      <c r="V11" s="36">
        <v>0.2</v>
      </c>
    </row>
    <row r="12" spans="1:23" ht="14.4" thickBot="1" x14ac:dyDescent="0.3">
      <c r="A12" s="10">
        <v>10679</v>
      </c>
      <c r="B12" t="s">
        <v>523</v>
      </c>
      <c r="C12" t="s">
        <v>524</v>
      </c>
      <c r="D12" s="18">
        <v>43784</v>
      </c>
      <c r="E12" s="10">
        <f>YEAR(ClientDB[[#This Row],[Start Date]])</f>
        <v>2019</v>
      </c>
      <c r="F12" t="s">
        <v>830</v>
      </c>
      <c r="G12" t="str">
        <f>VLOOKUP(ClientDB[[#This Row],[Org Code]],organization_table[],2)</f>
        <v>Steps IT Training</v>
      </c>
      <c r="H12" s="10" t="s">
        <v>46</v>
      </c>
      <c r="I12" s="10" t="str">
        <f>INDEX(Country,MATCH(ClientDB[[#This Row],[Country Code]],Country_Codes,0),1)</f>
        <v>Germany</v>
      </c>
      <c r="J12" s="15">
        <v>9</v>
      </c>
      <c r="K12" s="15" t="str">
        <f>IF(ClientDB[[#This Row],[Start Date]]&gt;=$U$14,"New","")</f>
        <v/>
      </c>
      <c r="L12" s="15" t="str">
        <f>IF(AND(ClientDB[[#This Row],[Start Year]]&lt;2016,ClientDB[[#This Row],[Events]]&gt;=6),"Gift","")</f>
        <v/>
      </c>
      <c r="M1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2" s="15">
        <v>2</v>
      </c>
      <c r="O12" s="32">
        <f>ClientDB[[#This Row],[Days]]*IF(ClientDB[[#This Row],[Days]]&gt;1,$V$8,$V$7)</f>
        <v>600</v>
      </c>
      <c r="P1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2" s="15" t="s">
        <v>899</v>
      </c>
      <c r="R12" s="15" t="str">
        <f>INDEX(seat_table,MATCH(ClientDB[[#This Row],[Country Code]],seat_country_code,0),MATCH(ClientDB[[#This Row],[Meal]],meal,0))</f>
        <v>A</v>
      </c>
      <c r="T12" s="34" t="s">
        <v>915</v>
      </c>
      <c r="U12" s="29"/>
      <c r="V12" s="37">
        <v>50</v>
      </c>
    </row>
    <row r="13" spans="1:23" ht="14.4" thickBot="1" x14ac:dyDescent="0.3">
      <c r="A13" s="10">
        <v>10932</v>
      </c>
      <c r="B13" t="s">
        <v>454</v>
      </c>
      <c r="C13" t="s">
        <v>455</v>
      </c>
      <c r="D13" s="18">
        <v>43814</v>
      </c>
      <c r="E13" s="10">
        <f>YEAR(ClientDB[[#This Row],[Start Date]])</f>
        <v>2019</v>
      </c>
      <c r="F13" t="s">
        <v>829</v>
      </c>
      <c r="G13" t="str">
        <f>VLOOKUP(ClientDB[[#This Row],[Org Code]],organization_table[],2)</f>
        <v>Steps IT Training</v>
      </c>
      <c r="H13" s="10" t="s">
        <v>38</v>
      </c>
      <c r="I13" s="10" t="str">
        <f>INDEX(Country,MATCH(ClientDB[[#This Row],[Country Code]],Country_Codes,0),1)</f>
        <v>Czech Republic</v>
      </c>
      <c r="J13" s="15">
        <v>1</v>
      </c>
      <c r="K13" s="15" t="str">
        <f>IF(ClientDB[[#This Row],[Start Date]]&gt;=$U$14,"New","")</f>
        <v/>
      </c>
      <c r="L13" s="15" t="str">
        <f>IF(AND(ClientDB[[#This Row],[Start Year]]&lt;2016,ClientDB[[#This Row],[Events]]&gt;=6),"Gift","")</f>
        <v/>
      </c>
      <c r="M1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3" s="15">
        <v>3</v>
      </c>
      <c r="O13" s="32">
        <f>ClientDB[[#This Row],[Days]]*IF(ClientDB[[#This Row],[Days]]&gt;1,$V$8,$V$7)</f>
        <v>900</v>
      </c>
      <c r="P1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3" s="15" t="s">
        <v>900</v>
      </c>
      <c r="R13" s="15" t="str">
        <f>INDEX(seat_table,MATCH(ClientDB[[#This Row],[Country Code]],seat_country_code,0),MATCH(ClientDB[[#This Row],[Meal]],meal,0))</f>
        <v>A</v>
      </c>
    </row>
    <row r="14" spans="1:23" ht="16.2" thickBot="1" x14ac:dyDescent="0.3">
      <c r="A14" s="10">
        <v>11230</v>
      </c>
      <c r="B14" t="s">
        <v>574</v>
      </c>
      <c r="C14" t="s">
        <v>575</v>
      </c>
      <c r="D14" s="18">
        <v>42643</v>
      </c>
      <c r="E14" s="10">
        <f>YEAR(ClientDB[[#This Row],[Start Date]])</f>
        <v>2016</v>
      </c>
      <c r="F14" t="s">
        <v>807</v>
      </c>
      <c r="G14" t="str">
        <f>VLOOKUP(ClientDB[[#This Row],[Org Code]],organization_table[],2)</f>
        <v>Duet</v>
      </c>
      <c r="H14" s="10" t="s">
        <v>15</v>
      </c>
      <c r="I14" s="10" t="str">
        <f>INDEX(Country,MATCH(ClientDB[[#This Row],[Country Code]],Country_Codes,0),1)</f>
        <v>United Kingdom</v>
      </c>
      <c r="J14" s="15">
        <v>13</v>
      </c>
      <c r="K14" s="15" t="str">
        <f>IF(ClientDB[[#This Row],[Start Date]]&gt;=$U$14,"New","")</f>
        <v/>
      </c>
      <c r="L14" s="15" t="str">
        <f>IF(AND(ClientDB[[#This Row],[Start Year]]&lt;2016,ClientDB[[#This Row],[Events]]&gt;=6),"Gift","")</f>
        <v/>
      </c>
      <c r="M1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4" s="15">
        <v>2</v>
      </c>
      <c r="O14" s="32">
        <f>ClientDB[[#This Row],[Days]]*IF(ClientDB[[#This Row],[Days]]&gt;1,$V$8,$V$7)</f>
        <v>600</v>
      </c>
      <c r="P1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4" s="15" t="s">
        <v>902</v>
      </c>
      <c r="R14" s="15" t="str">
        <f>INDEX(seat_table,MATCH(ClientDB[[#This Row],[Country Code]],seat_country_code,0),MATCH(ClientDB[[#This Row],[Meal]],meal,0))</f>
        <v>B</v>
      </c>
      <c r="T14" s="9" t="s">
        <v>786</v>
      </c>
      <c r="U14" s="24">
        <v>43831</v>
      </c>
      <c r="V14" s="25">
        <f>COUNTIFS(K7:K368,"New")+COUNTIFS(K7:K368,0)+COUNTIFS(K7:K368,FALSE)+COUNTIFS(K7:K368," ")</f>
        <v>45</v>
      </c>
      <c r="W14" t="s">
        <v>916</v>
      </c>
    </row>
    <row r="15" spans="1:23" ht="16.2" thickBot="1" x14ac:dyDescent="0.3">
      <c r="A15" s="10">
        <v>11280</v>
      </c>
      <c r="B15" t="s">
        <v>656</v>
      </c>
      <c r="C15" t="s">
        <v>657</v>
      </c>
      <c r="D15" s="18">
        <v>43087</v>
      </c>
      <c r="E15" s="10">
        <f>YEAR(ClientDB[[#This Row],[Start Date]])</f>
        <v>2017</v>
      </c>
      <c r="F15" t="s">
        <v>832</v>
      </c>
      <c r="G15" t="str">
        <f>VLOOKUP(ClientDB[[#This Row],[Org Code]],organization_table[],2)</f>
        <v>TQ Processes</v>
      </c>
      <c r="H15" s="10" t="s">
        <v>658</v>
      </c>
      <c r="I15" s="10" t="str">
        <f>INDEX(Country,MATCH(ClientDB[[#This Row],[Country Code]],Country_Codes,0),1)</f>
        <v>Denmark</v>
      </c>
      <c r="J15" s="15">
        <v>6</v>
      </c>
      <c r="K15" s="15" t="str">
        <f>IF(ClientDB[[#This Row],[Start Date]]&gt;=$U$14,"New","")</f>
        <v/>
      </c>
      <c r="L15" s="15" t="str">
        <f>IF(AND(ClientDB[[#This Row],[Start Year]]&lt;2016,ClientDB[[#This Row],[Events]]&gt;=6),"Gift","")</f>
        <v/>
      </c>
      <c r="M1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5" s="15">
        <v>3</v>
      </c>
      <c r="O15" s="32">
        <f>ClientDB[[#This Row],[Days]]*IF(ClientDB[[#This Row],[Days]]&gt;1,$V$8,$V$7)</f>
        <v>900</v>
      </c>
      <c r="P1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5" s="15" t="s">
        <v>901</v>
      </c>
      <c r="R15" s="15" t="str">
        <f>INDEX(seat_table,MATCH(ClientDB[[#This Row],[Country Code]],seat_country_code,0),MATCH(ClientDB[[#This Row],[Meal]],meal,0))</f>
        <v>D</v>
      </c>
      <c r="T15" s="9" t="s">
        <v>918</v>
      </c>
      <c r="U15" s="9" t="s">
        <v>108</v>
      </c>
      <c r="V15" s="25">
        <f>COUNTIFS(ClientDB[Organisation],U15)</f>
        <v>30</v>
      </c>
    </row>
    <row r="16" spans="1:23" ht="16.2" thickBot="1" x14ac:dyDescent="0.3">
      <c r="A16" s="10">
        <v>11325</v>
      </c>
      <c r="B16" t="s">
        <v>31</v>
      </c>
      <c r="C16" t="s">
        <v>640</v>
      </c>
      <c r="D16" s="18">
        <v>43263</v>
      </c>
      <c r="E16" s="10">
        <f>YEAR(ClientDB[[#This Row],[Start Date]])</f>
        <v>2018</v>
      </c>
      <c r="F16" t="s">
        <v>813</v>
      </c>
      <c r="G16" t="str">
        <f>VLOOKUP(ClientDB[[#This Row],[Org Code]],organization_table[],2)</f>
        <v>HeatProof</v>
      </c>
      <c r="H16" s="10" t="s">
        <v>685</v>
      </c>
      <c r="I16" s="10" t="str">
        <f>INDEX(Country,MATCH(ClientDB[[#This Row],[Country Code]],Country_Codes,0),1)</f>
        <v>Sudan</v>
      </c>
      <c r="J16" s="15">
        <v>3</v>
      </c>
      <c r="K16" s="15" t="str">
        <f>IF(ClientDB[[#This Row],[Start Date]]&gt;=$U$14,"New","")</f>
        <v/>
      </c>
      <c r="L16" s="15" t="str">
        <f>IF(AND(ClientDB[[#This Row],[Start Year]]&lt;2016,ClientDB[[#This Row],[Events]]&gt;=6),"Gift","")</f>
        <v/>
      </c>
      <c r="M1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" s="15">
        <v>1</v>
      </c>
      <c r="O16" s="32">
        <f>ClientDB[[#This Row],[Days]]*IF(ClientDB[[#This Row],[Days]]&gt;1,$V$8,$V$7)</f>
        <v>350</v>
      </c>
      <c r="P1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6" s="15" t="s">
        <v>901</v>
      </c>
      <c r="R16" s="15" t="str">
        <f>INDEX(seat_table,MATCH(ClientDB[[#This Row],[Country Code]],seat_country_code,0),MATCH(ClientDB[[#This Row],[Meal]],meal,0))</f>
        <v>G</v>
      </c>
      <c r="T16" s="9" t="s">
        <v>895</v>
      </c>
      <c r="U16" s="9"/>
      <c r="V16" s="25">
        <f>COUNTIFS(ClientDB[Country],"United Kingdom")+COUNTIFS(ClientDB[Country],"United States")</f>
        <v>111</v>
      </c>
    </row>
    <row r="17" spans="1:22" x14ac:dyDescent="0.25">
      <c r="A17" s="10">
        <v>11344</v>
      </c>
      <c r="B17" t="s">
        <v>391</v>
      </c>
      <c r="C17" t="s">
        <v>392</v>
      </c>
      <c r="D17" s="18">
        <v>42140</v>
      </c>
      <c r="E17" s="10">
        <f>YEAR(ClientDB[[#This Row],[Start Date]])</f>
        <v>2015</v>
      </c>
      <c r="F17" t="s">
        <v>826</v>
      </c>
      <c r="G17" t="str">
        <f>VLOOKUP(ClientDB[[#This Row],[Org Code]],organization_table[],2)</f>
        <v>Ripple Com</v>
      </c>
      <c r="H17" s="10" t="s">
        <v>59</v>
      </c>
      <c r="I17" s="10" t="str">
        <f>INDEX(Country,MATCH(ClientDB[[#This Row],[Country Code]],Country_Codes,0),1)</f>
        <v>Netherlands</v>
      </c>
      <c r="J17" s="15">
        <v>5</v>
      </c>
      <c r="K17" s="15" t="str">
        <f>IF(ClientDB[[#This Row],[Start Date]]&gt;=$U$14,"New","")</f>
        <v/>
      </c>
      <c r="L17" s="15" t="str">
        <f>IF(AND(ClientDB[[#This Row],[Start Year]]&lt;2016,ClientDB[[#This Row],[Events]]&gt;=6),"Gift","")</f>
        <v/>
      </c>
      <c r="M1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" s="15">
        <v>3</v>
      </c>
      <c r="O17" s="32">
        <f>ClientDB[[#This Row],[Days]]*IF(ClientDB[[#This Row],[Days]]&gt;1,$V$8,$V$7)</f>
        <v>900</v>
      </c>
      <c r="P1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7" s="15" t="s">
        <v>902</v>
      </c>
      <c r="R17" s="15" t="str">
        <f>INDEX(seat_table,MATCH(ClientDB[[#This Row],[Country Code]],seat_country_code,0),MATCH(ClientDB[[#This Row],[Meal]],meal,0))</f>
        <v>C</v>
      </c>
    </row>
    <row r="18" spans="1:22" ht="16.2" thickBot="1" x14ac:dyDescent="0.3">
      <c r="A18" s="10">
        <v>11365</v>
      </c>
      <c r="B18" t="s">
        <v>260</v>
      </c>
      <c r="C18" t="s">
        <v>261</v>
      </c>
      <c r="D18" s="18">
        <v>43247</v>
      </c>
      <c r="E18" s="10">
        <f>YEAR(ClientDB[[#This Row],[Start Date]])</f>
        <v>2018</v>
      </c>
      <c r="F18" t="s">
        <v>822</v>
      </c>
      <c r="G18" t="str">
        <f>VLOOKUP(ClientDB[[#This Row],[Org Code]],organization_table[],2)</f>
        <v>PicSure</v>
      </c>
      <c r="H18" s="10" t="s">
        <v>262</v>
      </c>
      <c r="I18" s="10" t="str">
        <f>INDEX(Country,MATCH(ClientDB[[#This Row],[Country Code]],Country_Codes,0),1)</f>
        <v>Poland</v>
      </c>
      <c r="J18" s="15">
        <v>2</v>
      </c>
      <c r="K18" s="15" t="str">
        <f>IF(ClientDB[[#This Row],[Start Date]]&gt;=$U$14,"New","")</f>
        <v/>
      </c>
      <c r="L18" s="15" t="str">
        <f>IF(AND(ClientDB[[#This Row],[Start Year]]&lt;2016,ClientDB[[#This Row],[Events]]&gt;=6),"Gift","")</f>
        <v/>
      </c>
      <c r="M1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" s="15">
        <v>1</v>
      </c>
      <c r="O18" s="32">
        <f>ClientDB[[#This Row],[Days]]*IF(ClientDB[[#This Row],[Days]]&gt;1,$V$8,$V$7)</f>
        <v>350</v>
      </c>
      <c r="P1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8" s="15" t="s">
        <v>901</v>
      </c>
      <c r="R18" s="15" t="str">
        <f>INDEX(seat_table,MATCH(ClientDB[[#This Row],[Country Code]],seat_country_code,0),MATCH(ClientDB[[#This Row],[Meal]],meal,0))</f>
        <v>F</v>
      </c>
      <c r="T18" s="14" t="s">
        <v>780</v>
      </c>
      <c r="U18" s="20" t="s">
        <v>773</v>
      </c>
      <c r="V18" s="20" t="s">
        <v>785</v>
      </c>
    </row>
    <row r="19" spans="1:22" x14ac:dyDescent="0.25">
      <c r="A19" s="10">
        <v>11584</v>
      </c>
      <c r="B19" t="s">
        <v>263</v>
      </c>
      <c r="C19" t="s">
        <v>343</v>
      </c>
      <c r="D19" s="18">
        <v>43460</v>
      </c>
      <c r="E19" s="10">
        <f>YEAR(ClientDB[[#This Row],[Start Date]])</f>
        <v>2018</v>
      </c>
      <c r="F19" t="s">
        <v>827</v>
      </c>
      <c r="G19" t="str">
        <f>VLOOKUP(ClientDB[[#This Row],[Org Code]],organization_table[],2)</f>
        <v>Ripple Com</v>
      </c>
      <c r="H19" s="10" t="s">
        <v>46</v>
      </c>
      <c r="I19" s="10" t="str">
        <f>INDEX(Country,MATCH(ClientDB[[#This Row],[Country Code]],Country_Codes,0),1)</f>
        <v>Germany</v>
      </c>
      <c r="J19" s="15">
        <v>6</v>
      </c>
      <c r="K19" s="15" t="str">
        <f>IF(ClientDB[[#This Row],[Start Date]]&gt;=$U$14,"New","")</f>
        <v/>
      </c>
      <c r="L19" s="15" t="str">
        <f>IF(AND(ClientDB[[#This Row],[Start Year]]&lt;2016,ClientDB[[#This Row],[Events]]&gt;=6),"Gift","")</f>
        <v/>
      </c>
      <c r="M1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" s="15">
        <v>2</v>
      </c>
      <c r="O19" s="32">
        <f>ClientDB[[#This Row],[Days]]*IF(ClientDB[[#This Row],[Days]]&gt;1,$V$8,$V$7)</f>
        <v>600</v>
      </c>
      <c r="P1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9" s="15" t="s">
        <v>901</v>
      </c>
      <c r="R19" s="15" t="str">
        <f>INDEX(seat_table,MATCH(ClientDB[[#This Row],[Country Code]],seat_country_code,0),MATCH(ClientDB[[#This Row],[Meal]],meal,0))</f>
        <v>D</v>
      </c>
      <c r="T19" s="21">
        <v>1</v>
      </c>
      <c r="U19" s="26" t="s">
        <v>781</v>
      </c>
      <c r="V19" s="27">
        <f>COUNTIFS($M$7:$M$368,U19)</f>
        <v>263</v>
      </c>
    </row>
    <row r="20" spans="1:22" x14ac:dyDescent="0.25">
      <c r="A20" s="10">
        <v>11646</v>
      </c>
      <c r="B20" t="s">
        <v>712</v>
      </c>
      <c r="C20" t="s">
        <v>67</v>
      </c>
      <c r="D20" s="18">
        <v>43551</v>
      </c>
      <c r="E20" s="10">
        <f>YEAR(ClientDB[[#This Row],[Start Date]])</f>
        <v>2019</v>
      </c>
      <c r="F20" t="s">
        <v>824</v>
      </c>
      <c r="G20" t="str">
        <f>VLOOKUP(ClientDB[[#This Row],[Org Code]],organization_table[],2)</f>
        <v>Pink Cloud Networks</v>
      </c>
      <c r="H20" s="10" t="s">
        <v>59</v>
      </c>
      <c r="I20" s="10" t="str">
        <f>INDEX(Country,MATCH(ClientDB[[#This Row],[Country Code]],Country_Codes,0),1)</f>
        <v>Netherlands</v>
      </c>
      <c r="J20" s="15">
        <v>9</v>
      </c>
      <c r="K20" s="15" t="str">
        <f>IF(ClientDB[[#This Row],[Start Date]]&gt;=$U$14,"New","")</f>
        <v/>
      </c>
      <c r="L20" s="15" t="str">
        <f>IF(AND(ClientDB[[#This Row],[Start Year]]&lt;2016,ClientDB[[#This Row],[Events]]&gt;=6),"Gift","")</f>
        <v/>
      </c>
      <c r="M2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0" s="15">
        <v>1</v>
      </c>
      <c r="O20" s="32">
        <f>ClientDB[[#This Row],[Days]]*IF(ClientDB[[#This Row],[Days]]&gt;1,$V$8,$V$7)</f>
        <v>350</v>
      </c>
      <c r="P2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0" s="15" t="s">
        <v>901</v>
      </c>
      <c r="R20" s="15" t="str">
        <f>INDEX(seat_table,MATCH(ClientDB[[#This Row],[Country Code]],seat_country_code,0),MATCH(ClientDB[[#This Row],[Meal]],meal,0))</f>
        <v>F</v>
      </c>
      <c r="T20" s="22">
        <v>10</v>
      </c>
      <c r="U20" s="15" t="s">
        <v>782</v>
      </c>
      <c r="V20" s="28">
        <f>COUNTIFS($M$7:$M$368,U20)</f>
        <v>72</v>
      </c>
    </row>
    <row r="21" spans="1:22" x14ac:dyDescent="0.25">
      <c r="A21" s="10">
        <v>11762</v>
      </c>
      <c r="B21" t="s">
        <v>364</v>
      </c>
      <c r="C21" t="s">
        <v>365</v>
      </c>
      <c r="D21" s="18">
        <v>43821</v>
      </c>
      <c r="E21" s="10">
        <f>YEAR(ClientDB[[#This Row],[Start Date]])</f>
        <v>2019</v>
      </c>
      <c r="F21" t="s">
        <v>838</v>
      </c>
      <c r="G21" t="str">
        <f>VLOOKUP(ClientDB[[#This Row],[Org Code]],organization_table[],2)</f>
        <v>xLAN Internet Exchange</v>
      </c>
      <c r="H21" s="10" t="s">
        <v>15</v>
      </c>
      <c r="I21" s="10" t="str">
        <f>INDEX(Country,MATCH(ClientDB[[#This Row],[Country Code]],Country_Codes,0),1)</f>
        <v>United Kingdom</v>
      </c>
      <c r="J21" s="15">
        <v>3</v>
      </c>
      <c r="K21" s="15" t="str">
        <f>IF(ClientDB[[#This Row],[Start Date]]&gt;=$U$14,"New","")</f>
        <v/>
      </c>
      <c r="L21" s="15" t="str">
        <f>IF(AND(ClientDB[[#This Row],[Start Year]]&lt;2016,ClientDB[[#This Row],[Events]]&gt;=6),"Gift","")</f>
        <v/>
      </c>
      <c r="M2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" s="15">
        <v>1</v>
      </c>
      <c r="O21" s="32">
        <f>ClientDB[[#This Row],[Days]]*IF(ClientDB[[#This Row],[Days]]&gt;1,$V$8,$V$7)</f>
        <v>350</v>
      </c>
      <c r="P2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1" s="15" t="s">
        <v>901</v>
      </c>
      <c r="R21" s="15" t="str">
        <f>INDEX(seat_table,MATCH(ClientDB[[#This Row],[Country Code]],seat_country_code,0),MATCH(ClientDB[[#This Row],[Meal]],meal,0))</f>
        <v>E</v>
      </c>
      <c r="T21" s="22">
        <v>20</v>
      </c>
      <c r="U21" s="15" t="s">
        <v>783</v>
      </c>
      <c r="V21" s="28">
        <f>COUNTIFS($M$7:$M$368,U21)</f>
        <v>19</v>
      </c>
    </row>
    <row r="22" spans="1:22" ht="14.4" thickBot="1" x14ac:dyDescent="0.3">
      <c r="A22" s="10">
        <v>11854</v>
      </c>
      <c r="B22" t="s">
        <v>591</v>
      </c>
      <c r="C22" t="s">
        <v>592</v>
      </c>
      <c r="D22" s="18">
        <v>42788</v>
      </c>
      <c r="E22" s="10">
        <f>YEAR(ClientDB[[#This Row],[Start Date]])</f>
        <v>2017</v>
      </c>
      <c r="F22" t="s">
        <v>832</v>
      </c>
      <c r="G22" t="str">
        <f>VLOOKUP(ClientDB[[#This Row],[Org Code]],organization_table[],2)</f>
        <v>TQ Processes</v>
      </c>
      <c r="H22" s="10" t="s">
        <v>155</v>
      </c>
      <c r="I22" s="10" t="str">
        <f>INDEX(Country,MATCH(ClientDB[[#This Row],[Country Code]],Country_Codes,0),1)</f>
        <v>United Arab Emirates</v>
      </c>
      <c r="J22" s="15">
        <v>14</v>
      </c>
      <c r="K22" s="15" t="str">
        <f>IF(ClientDB[[#This Row],[Start Date]]&gt;=$U$14,"New","")</f>
        <v/>
      </c>
      <c r="L22" s="15" t="str">
        <f>IF(AND(ClientDB[[#This Row],[Start Year]]&lt;2016,ClientDB[[#This Row],[Events]]&gt;=6),"Gift","")</f>
        <v/>
      </c>
      <c r="M2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2" s="15">
        <v>1</v>
      </c>
      <c r="O22" s="32">
        <f>ClientDB[[#This Row],[Days]]*IF(ClientDB[[#This Row],[Days]]&gt;1,$V$8,$V$7)</f>
        <v>350</v>
      </c>
      <c r="P2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22" s="15" t="s">
        <v>901</v>
      </c>
      <c r="R22" s="15" t="str">
        <f>INDEX(seat_table,MATCH(ClientDB[[#This Row],[Country Code]],seat_country_code,0),MATCH(ClientDB[[#This Row],[Meal]],meal,0))</f>
        <v>D</v>
      </c>
      <c r="T22" s="23">
        <v>30</v>
      </c>
      <c r="U22" s="29" t="s">
        <v>784</v>
      </c>
      <c r="V22" s="30">
        <f>COUNTIFS($M$7:$M$368,U22)</f>
        <v>8</v>
      </c>
    </row>
    <row r="23" spans="1:22" ht="14.4" thickBot="1" x14ac:dyDescent="0.3">
      <c r="A23" s="10">
        <v>11958</v>
      </c>
      <c r="B23" t="s">
        <v>359</v>
      </c>
      <c r="C23" t="s">
        <v>360</v>
      </c>
      <c r="D23" s="18">
        <v>42654</v>
      </c>
      <c r="E23" s="10">
        <f>YEAR(ClientDB[[#This Row],[Start Date]])</f>
        <v>2016</v>
      </c>
      <c r="F23" t="s">
        <v>803</v>
      </c>
      <c r="G23" t="str">
        <f>VLOOKUP(ClientDB[[#This Row],[Org Code]],organization_table[],2)</f>
        <v>Colot</v>
      </c>
      <c r="H23" s="10" t="s">
        <v>46</v>
      </c>
      <c r="I23" s="10" t="str">
        <f>INDEX(Country,MATCH(ClientDB[[#This Row],[Country Code]],Country_Codes,0),1)</f>
        <v>Germany</v>
      </c>
      <c r="J23" s="15">
        <v>19</v>
      </c>
      <c r="K23" s="15" t="str">
        <f>IF(ClientDB[[#This Row],[Start Date]]&gt;=$U$14,"New","")</f>
        <v/>
      </c>
      <c r="L23" s="15" t="str">
        <f>IF(AND(ClientDB[[#This Row],[Start Year]]&lt;2016,ClientDB[[#This Row],[Events]]&gt;=6),"Gift","")</f>
        <v/>
      </c>
      <c r="M2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3" s="15">
        <v>1</v>
      </c>
      <c r="O23" s="32">
        <f>ClientDB[[#This Row],[Days]]*IF(ClientDB[[#This Row],[Days]]&gt;1,$V$8,$V$7)</f>
        <v>350</v>
      </c>
      <c r="P2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23" s="15" t="s">
        <v>902</v>
      </c>
      <c r="R23" s="15" t="str">
        <f>INDEX(seat_table,MATCH(ClientDB[[#This Row],[Country Code]],seat_country_code,0),MATCH(ClientDB[[#This Row],[Meal]],meal,0))</f>
        <v>B</v>
      </c>
    </row>
    <row r="24" spans="1:22" ht="16.2" thickBot="1" x14ac:dyDescent="0.3">
      <c r="A24" s="10">
        <v>12136</v>
      </c>
      <c r="B24" t="s">
        <v>94</v>
      </c>
      <c r="C24" t="s">
        <v>95</v>
      </c>
      <c r="D24" s="18">
        <v>42422</v>
      </c>
      <c r="E24" s="10">
        <f>YEAR(ClientDB[[#This Row],[Start Date]])</f>
        <v>2016</v>
      </c>
      <c r="F24" t="s">
        <v>813</v>
      </c>
      <c r="G24" t="str">
        <f>VLOOKUP(ClientDB[[#This Row],[Org Code]],organization_table[],2)</f>
        <v>HeatProof</v>
      </c>
      <c r="H24" s="10" t="s">
        <v>97</v>
      </c>
      <c r="I24" s="10" t="str">
        <f>INDEX(Country,MATCH(ClientDB[[#This Row],[Country Code]],Country_Codes,0),1)</f>
        <v>Ireland</v>
      </c>
      <c r="J24" s="15">
        <v>8</v>
      </c>
      <c r="K24" s="15" t="str">
        <f>IF(ClientDB[[#This Row],[Start Date]]&gt;=$U$14,"New","")</f>
        <v/>
      </c>
      <c r="L24" s="15" t="str">
        <f>IF(AND(ClientDB[[#This Row],[Start Year]]&lt;2016,ClientDB[[#This Row],[Events]]&gt;=6),"Gift","")</f>
        <v/>
      </c>
      <c r="M2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4" s="15">
        <v>1</v>
      </c>
      <c r="O24" s="32">
        <f>ClientDB[[#This Row],[Days]]*IF(ClientDB[[#This Row],[Days]]&gt;1,$V$8,$V$7)</f>
        <v>350</v>
      </c>
      <c r="P2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4" s="15" t="s">
        <v>901</v>
      </c>
      <c r="R24" s="15" t="str">
        <f>INDEX(seat_table,MATCH(ClientDB[[#This Row],[Country Code]],seat_country_code,0),MATCH(ClientDB[[#This Row],[Meal]],meal,0))</f>
        <v>F</v>
      </c>
      <c r="T24" s="9" t="s">
        <v>917</v>
      </c>
      <c r="U24" s="25">
        <f>COUNTIFS(ClientDB[Gift?],"Gift")</f>
        <v>41</v>
      </c>
    </row>
    <row r="25" spans="1:22" ht="16.2" thickBot="1" x14ac:dyDescent="0.3">
      <c r="A25" s="10">
        <v>12141</v>
      </c>
      <c r="B25" t="s">
        <v>693</v>
      </c>
      <c r="C25" t="s">
        <v>694</v>
      </c>
      <c r="D25" s="18">
        <v>43015</v>
      </c>
      <c r="E25" s="10">
        <f>YEAR(ClientDB[[#This Row],[Start Date]])</f>
        <v>2017</v>
      </c>
      <c r="F25" t="s">
        <v>801</v>
      </c>
      <c r="G25" t="str">
        <f>VLOOKUP(ClientDB[[#This Row],[Org Code]],organization_table[],2)</f>
        <v>Colot</v>
      </c>
      <c r="H25" s="10" t="s">
        <v>7</v>
      </c>
      <c r="I25" s="10" t="str">
        <f>INDEX(Country,MATCH(ClientDB[[#This Row],[Country Code]],Country_Codes,0),1)</f>
        <v>Iran</v>
      </c>
      <c r="J25" s="15">
        <v>2</v>
      </c>
      <c r="K25" s="15" t="str">
        <f>IF(ClientDB[[#This Row],[Start Date]]&gt;=$U$14,"New","")</f>
        <v/>
      </c>
      <c r="L25" s="15" t="str">
        <f>IF(AND(ClientDB[[#This Row],[Start Year]]&lt;2016,ClientDB[[#This Row],[Events]]&gt;=6),"Gift","")</f>
        <v/>
      </c>
      <c r="M2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5" s="15">
        <v>3</v>
      </c>
      <c r="O25" s="32">
        <f>ClientDB[[#This Row],[Days]]*IF(ClientDB[[#This Row],[Days]]&gt;1,$V$8,$V$7)</f>
        <v>900</v>
      </c>
      <c r="P2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5" s="15" t="s">
        <v>901</v>
      </c>
      <c r="R25" s="15" t="str">
        <f>INDEX(seat_table,MATCH(ClientDB[[#This Row],[Country Code]],seat_country_code,0),MATCH(ClientDB[[#This Row],[Meal]],meal,0))</f>
        <v>F</v>
      </c>
      <c r="T25" s="9" t="s">
        <v>908</v>
      </c>
      <c r="U25" s="35">
        <f>SUM(ClientDB[Price])</f>
        <v>230050</v>
      </c>
    </row>
    <row r="26" spans="1:22" ht="16.2" thickBot="1" x14ac:dyDescent="0.3">
      <c r="A26" s="10">
        <v>12268</v>
      </c>
      <c r="B26" t="s">
        <v>67</v>
      </c>
      <c r="C26" t="s">
        <v>720</v>
      </c>
      <c r="D26" s="18">
        <v>42381</v>
      </c>
      <c r="E26" s="10">
        <f>YEAR(ClientDB[[#This Row],[Start Date]])</f>
        <v>2016</v>
      </c>
      <c r="F26" t="s">
        <v>803</v>
      </c>
      <c r="G26" t="str">
        <f>VLOOKUP(ClientDB[[#This Row],[Org Code]],organization_table[],2)</f>
        <v>Colot</v>
      </c>
      <c r="H26" s="10" t="s">
        <v>46</v>
      </c>
      <c r="I26" s="10" t="str">
        <f>INDEX(Country,MATCH(ClientDB[[#This Row],[Country Code]],Country_Codes,0),1)</f>
        <v>Germany</v>
      </c>
      <c r="J26" s="15">
        <v>23</v>
      </c>
      <c r="K26" s="15" t="str">
        <f>IF(ClientDB[[#This Row],[Start Date]]&gt;=$U$14,"New","")</f>
        <v/>
      </c>
      <c r="L26" s="15" t="str">
        <f>IF(AND(ClientDB[[#This Row],[Start Year]]&lt;2016,ClientDB[[#This Row],[Events]]&gt;=6),"Gift","")</f>
        <v/>
      </c>
      <c r="M2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26" s="15">
        <v>3</v>
      </c>
      <c r="O26" s="32">
        <f>ClientDB[[#This Row],[Days]]*IF(ClientDB[[#This Row],[Days]]&gt;1,$V$8,$V$7)</f>
        <v>900</v>
      </c>
      <c r="P2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6" s="15" t="s">
        <v>902</v>
      </c>
      <c r="R26" s="15" t="str">
        <f>INDEX(seat_table,MATCH(ClientDB[[#This Row],[Country Code]],seat_country_code,0),MATCH(ClientDB[[#This Row],[Meal]],meal,0))</f>
        <v>B</v>
      </c>
      <c r="T26" s="9" t="s">
        <v>909</v>
      </c>
      <c r="U26" s="35">
        <f>SUM(ClientDB[After Discount])</f>
        <v>212260</v>
      </c>
    </row>
    <row r="27" spans="1:22" x14ac:dyDescent="0.25">
      <c r="A27" s="10">
        <v>12345</v>
      </c>
      <c r="B27" t="s">
        <v>272</v>
      </c>
      <c r="C27" t="s">
        <v>273</v>
      </c>
      <c r="D27" s="18">
        <v>43954</v>
      </c>
      <c r="E27" s="10">
        <f>YEAR(ClientDB[[#This Row],[Start Date]])</f>
        <v>2020</v>
      </c>
      <c r="F27" t="s">
        <v>797</v>
      </c>
      <c r="G27" t="str">
        <f>VLOOKUP(ClientDB[[#This Row],[Org Code]],organization_table[],2)</f>
        <v>ASET PLC</v>
      </c>
      <c r="H27" s="10" t="s">
        <v>274</v>
      </c>
      <c r="I27" s="10" t="str">
        <f>INDEX(Country,MATCH(ClientDB[[#This Row],[Country Code]],Country_Codes,0),1)</f>
        <v>Spain</v>
      </c>
      <c r="J27" s="15">
        <v>2</v>
      </c>
      <c r="K27" s="15" t="str">
        <f>IF(ClientDB[[#This Row],[Start Date]]&gt;=$U$14,"New","")</f>
        <v>New</v>
      </c>
      <c r="L27" s="15" t="str">
        <f>IF(AND(ClientDB[[#This Row],[Start Year]]&lt;2016,ClientDB[[#This Row],[Events]]&gt;=6),"Gift","")</f>
        <v/>
      </c>
      <c r="M2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" s="15">
        <v>2</v>
      </c>
      <c r="O27" s="32">
        <f>ClientDB[[#This Row],[Days]]*IF(ClientDB[[#This Row],[Days]]&gt;1,$V$8,$V$7)</f>
        <v>600</v>
      </c>
      <c r="P2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7" s="15" t="s">
        <v>901</v>
      </c>
      <c r="R27" s="15" t="str">
        <f>INDEX(seat_table,MATCH(ClientDB[[#This Row],[Country Code]],seat_country_code,0),MATCH(ClientDB[[#This Row],[Meal]],meal,0))</f>
        <v>D</v>
      </c>
    </row>
    <row r="28" spans="1:22" ht="15.6" x14ac:dyDescent="0.25">
      <c r="A28" s="10">
        <v>12443</v>
      </c>
      <c r="B28" t="s">
        <v>384</v>
      </c>
      <c r="C28" t="s">
        <v>385</v>
      </c>
      <c r="D28" s="18">
        <v>43353</v>
      </c>
      <c r="E28" s="10">
        <f>YEAR(ClientDB[[#This Row],[Start Date]])</f>
        <v>2018</v>
      </c>
      <c r="F28" t="s">
        <v>806</v>
      </c>
      <c r="G28" t="str">
        <f>VLOOKUP(ClientDB[[#This Row],[Org Code]],organization_table[],2)</f>
        <v>DENIL</v>
      </c>
      <c r="H28" s="10" t="s">
        <v>386</v>
      </c>
      <c r="I28" s="10" t="str">
        <f>INDEX(Country,MATCH(ClientDB[[#This Row],[Country Code]],Country_Codes,0),1)</f>
        <v>Belgium</v>
      </c>
      <c r="J28" s="15">
        <v>3</v>
      </c>
      <c r="K28" s="15" t="str">
        <f>IF(ClientDB[[#This Row],[Start Date]]&gt;=$U$14,"New","")</f>
        <v/>
      </c>
      <c r="L28" s="15" t="str">
        <f>IF(AND(ClientDB[[#This Row],[Start Year]]&lt;2016,ClientDB[[#This Row],[Events]]&gt;=6),"Gift","")</f>
        <v/>
      </c>
      <c r="M2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8" s="15">
        <v>3</v>
      </c>
      <c r="O28" s="32">
        <f>ClientDB[[#This Row],[Days]]*IF(ClientDB[[#This Row],[Days]]&gt;1,$V$8,$V$7)</f>
        <v>900</v>
      </c>
      <c r="P2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8" s="15" t="s">
        <v>900</v>
      </c>
      <c r="R28" s="15" t="str">
        <f>INDEX(seat_table,MATCH(ClientDB[[#This Row],[Country Code]],seat_country_code,0),MATCH(ClientDB[[#This Row],[Meal]],meal,0))</f>
        <v>A</v>
      </c>
      <c r="T28" s="39" t="s">
        <v>919</v>
      </c>
      <c r="U28" s="38"/>
    </row>
    <row r="29" spans="1:22" ht="15.6" x14ac:dyDescent="0.25">
      <c r="A29" s="10">
        <v>12503</v>
      </c>
      <c r="B29" t="s">
        <v>399</v>
      </c>
      <c r="C29" t="s">
        <v>623</v>
      </c>
      <c r="D29" s="18">
        <v>43398</v>
      </c>
      <c r="E29" s="10">
        <f>YEAR(ClientDB[[#This Row],[Start Date]])</f>
        <v>2018</v>
      </c>
      <c r="F29" t="s">
        <v>805</v>
      </c>
      <c r="G29" t="str">
        <f>VLOOKUP(ClientDB[[#This Row],[Org Code]],organization_table[],2)</f>
        <v>DENIL</v>
      </c>
      <c r="H29" s="10" t="s">
        <v>277</v>
      </c>
      <c r="I29" s="10" t="str">
        <f>INDEX(Country,MATCH(ClientDB[[#This Row],[Country Code]],Country_Codes,0),1)</f>
        <v>Saudi Arabia</v>
      </c>
      <c r="J29" s="15">
        <v>5</v>
      </c>
      <c r="K29" s="15" t="str">
        <f>IF(ClientDB[[#This Row],[Start Date]]&gt;=$U$14,"New","")</f>
        <v/>
      </c>
      <c r="L29" s="15" t="str">
        <f>IF(AND(ClientDB[[#This Row],[Start Year]]&lt;2016,ClientDB[[#This Row],[Events]]&gt;=6),"Gift","")</f>
        <v/>
      </c>
      <c r="M2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" s="15">
        <v>3</v>
      </c>
      <c r="O29" s="32">
        <f>ClientDB[[#This Row],[Days]]*IF(ClientDB[[#This Row],[Days]]&gt;1,$V$8,$V$7)</f>
        <v>900</v>
      </c>
      <c r="P2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9" s="15" t="s">
        <v>899</v>
      </c>
      <c r="R29" s="15" t="str">
        <f>INDEX(seat_table,MATCH(ClientDB[[#This Row],[Country Code]],seat_country_code,0),MATCH(ClientDB[[#This Row],[Meal]],meal,0))</f>
        <v>B</v>
      </c>
      <c r="T29" s="14" t="s">
        <v>775</v>
      </c>
      <c r="U29" s="31">
        <f t="shared" ref="U29:U35" si="0">COUNTIFS(Seating,T29)</f>
        <v>76</v>
      </c>
    </row>
    <row r="30" spans="1:22" ht="15.6" x14ac:dyDescent="0.25">
      <c r="A30" s="10">
        <v>12714</v>
      </c>
      <c r="B30" t="s">
        <v>338</v>
      </c>
      <c r="C30" t="s">
        <v>339</v>
      </c>
      <c r="D30" s="18">
        <v>42523</v>
      </c>
      <c r="E30" s="10">
        <f>YEAR(ClientDB[[#This Row],[Start Date]])</f>
        <v>2016</v>
      </c>
      <c r="F30" t="s">
        <v>840</v>
      </c>
      <c r="G30" t="str">
        <f>VLOOKUP(ClientDB[[#This Row],[Org Code]],organization_table[],2)</f>
        <v>xLAN Internet Exchange</v>
      </c>
      <c r="H30" s="10" t="s">
        <v>340</v>
      </c>
      <c r="I30" s="10" t="str">
        <f>INDEX(Country,MATCH(ClientDB[[#This Row],[Country Code]],Country_Codes,0),1)</f>
        <v>Bulgaria</v>
      </c>
      <c r="J30" s="15">
        <v>13</v>
      </c>
      <c r="K30" s="15" t="str">
        <f>IF(ClientDB[[#This Row],[Start Date]]&gt;=$U$14,"New","")</f>
        <v/>
      </c>
      <c r="L30" s="15" t="str">
        <f>IF(AND(ClientDB[[#This Row],[Start Year]]&lt;2016,ClientDB[[#This Row],[Events]]&gt;=6),"Gift","")</f>
        <v/>
      </c>
      <c r="M3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0" s="15">
        <v>1</v>
      </c>
      <c r="O30" s="32">
        <f>ClientDB[[#This Row],[Days]]*IF(ClientDB[[#This Row],[Days]]&gt;1,$V$8,$V$7)</f>
        <v>350</v>
      </c>
      <c r="P3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0" s="15" t="s">
        <v>901</v>
      </c>
      <c r="R30" s="15" t="str">
        <f>INDEX(seat_table,MATCH(ClientDB[[#This Row],[Country Code]],seat_country_code,0),MATCH(ClientDB[[#This Row],[Meal]],meal,0))</f>
        <v>D</v>
      </c>
      <c r="T30" s="14" t="s">
        <v>776</v>
      </c>
      <c r="U30" s="31">
        <f t="shared" si="0"/>
        <v>52</v>
      </c>
    </row>
    <row r="31" spans="1:22" ht="15.6" x14ac:dyDescent="0.25">
      <c r="A31" s="10">
        <v>12802</v>
      </c>
      <c r="B31" t="s">
        <v>532</v>
      </c>
      <c r="C31" t="s">
        <v>533</v>
      </c>
      <c r="D31" s="18">
        <v>41676</v>
      </c>
      <c r="E31" s="10">
        <f>YEAR(ClientDB[[#This Row],[Start Date]])</f>
        <v>2014</v>
      </c>
      <c r="F31" t="s">
        <v>815</v>
      </c>
      <c r="G31" t="str">
        <f>VLOOKUP(ClientDB[[#This Row],[Org Code]],organization_table[],2)</f>
        <v>Intelligence Systems</v>
      </c>
      <c r="H31" s="10" t="s">
        <v>143</v>
      </c>
      <c r="I31" s="10" t="str">
        <f>INDEX(Country,MATCH(ClientDB[[#This Row],[Country Code]],Country_Codes,0),1)</f>
        <v>Oman</v>
      </c>
      <c r="J31" s="15">
        <v>17</v>
      </c>
      <c r="K31" s="15" t="str">
        <f>IF(ClientDB[[#This Row],[Start Date]]&gt;=$U$14,"New","")</f>
        <v/>
      </c>
      <c r="L31" s="15" t="str">
        <f>IF(AND(ClientDB[[#This Row],[Start Year]]&lt;2016,ClientDB[[#This Row],[Events]]&gt;=6),"Gift","")</f>
        <v>Gift</v>
      </c>
      <c r="M3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1" s="15">
        <v>3</v>
      </c>
      <c r="O31" s="32">
        <f>ClientDB[[#This Row],[Days]]*IF(ClientDB[[#This Row],[Days]]&gt;1,$V$8,$V$7)</f>
        <v>900</v>
      </c>
      <c r="P3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31" s="15" t="s">
        <v>899</v>
      </c>
      <c r="R31" s="15" t="str">
        <f>INDEX(seat_table,MATCH(ClientDB[[#This Row],[Country Code]],seat_country_code,0),MATCH(ClientDB[[#This Row],[Meal]],meal,0))</f>
        <v>B</v>
      </c>
      <c r="T31" s="14" t="s">
        <v>774</v>
      </c>
      <c r="U31" s="31">
        <f t="shared" si="0"/>
        <v>46</v>
      </c>
    </row>
    <row r="32" spans="1:22" ht="15.6" x14ac:dyDescent="0.25">
      <c r="A32" s="10">
        <v>12808</v>
      </c>
      <c r="B32" t="s">
        <v>323</v>
      </c>
      <c r="C32" t="s">
        <v>704</v>
      </c>
      <c r="D32" s="18">
        <v>41311</v>
      </c>
      <c r="E32" s="10">
        <f>YEAR(ClientDB[[#This Row],[Start Date]])</f>
        <v>2013</v>
      </c>
      <c r="F32" t="s">
        <v>826</v>
      </c>
      <c r="G32" t="str">
        <f>VLOOKUP(ClientDB[[#This Row],[Org Code]],organization_table[],2)</f>
        <v>Ripple Com</v>
      </c>
      <c r="H32" s="10" t="s">
        <v>46</v>
      </c>
      <c r="I32" s="10" t="str">
        <f>INDEX(Country,MATCH(ClientDB[[#This Row],[Country Code]],Country_Codes,0),1)</f>
        <v>Germany</v>
      </c>
      <c r="J32" s="15">
        <v>26</v>
      </c>
      <c r="K32" s="15" t="str">
        <f>IF(ClientDB[[#This Row],[Start Date]]&gt;=$U$14,"New","")</f>
        <v/>
      </c>
      <c r="L32" s="15" t="str">
        <f>IF(AND(ClientDB[[#This Row],[Start Year]]&lt;2016,ClientDB[[#This Row],[Events]]&gt;=6),"Gift","")</f>
        <v>Gift</v>
      </c>
      <c r="M3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32" s="15">
        <v>1</v>
      </c>
      <c r="O32" s="32">
        <f>ClientDB[[#This Row],[Days]]*IF(ClientDB[[#This Row],[Days]]&gt;1,$V$8,$V$7)</f>
        <v>350</v>
      </c>
      <c r="P3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2" s="15" t="s">
        <v>901</v>
      </c>
      <c r="R32" s="15" t="str">
        <f>INDEX(seat_table,MATCH(ClientDB[[#This Row],[Country Code]],seat_country_code,0),MATCH(ClientDB[[#This Row],[Meal]],meal,0))</f>
        <v>D</v>
      </c>
      <c r="T32" s="14" t="s">
        <v>787</v>
      </c>
      <c r="U32" s="31">
        <f t="shared" si="0"/>
        <v>50</v>
      </c>
    </row>
    <row r="33" spans="1:21" ht="15.6" x14ac:dyDescent="0.25">
      <c r="A33" s="10">
        <v>12811</v>
      </c>
      <c r="B33" t="s">
        <v>570</v>
      </c>
      <c r="C33" t="s">
        <v>571</v>
      </c>
      <c r="D33" s="18">
        <v>42630</v>
      </c>
      <c r="E33" s="10">
        <f>YEAR(ClientDB[[#This Row],[Start Date]])</f>
        <v>2016</v>
      </c>
      <c r="F33" t="s">
        <v>811</v>
      </c>
      <c r="G33" t="str">
        <f>VLOOKUP(ClientDB[[#This Row],[Org Code]],organization_table[],2)</f>
        <v>Ebony Telecoms</v>
      </c>
      <c r="H33" s="10" t="s">
        <v>15</v>
      </c>
      <c r="I33" s="10" t="str">
        <f>INDEX(Country,MATCH(ClientDB[[#This Row],[Country Code]],Country_Codes,0),1)</f>
        <v>United Kingdom</v>
      </c>
      <c r="J33" s="15">
        <v>3</v>
      </c>
      <c r="K33" s="15" t="str">
        <f>IF(ClientDB[[#This Row],[Start Date]]&gt;=$U$14,"New","")</f>
        <v/>
      </c>
      <c r="L33" s="15" t="str">
        <f>IF(AND(ClientDB[[#This Row],[Start Year]]&lt;2016,ClientDB[[#This Row],[Events]]&gt;=6),"Gift","")</f>
        <v/>
      </c>
      <c r="M3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" s="15">
        <v>1</v>
      </c>
      <c r="O33" s="32">
        <f>ClientDB[[#This Row],[Days]]*IF(ClientDB[[#This Row],[Days]]&gt;1,$V$8,$V$7)</f>
        <v>350</v>
      </c>
      <c r="P3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3" s="15" t="s">
        <v>902</v>
      </c>
      <c r="R33" s="15" t="str">
        <f>INDEX(seat_table,MATCH(ClientDB[[#This Row],[Country Code]],seat_country_code,0),MATCH(ClientDB[[#This Row],[Meal]],meal,0))</f>
        <v>B</v>
      </c>
      <c r="T33" s="14" t="s">
        <v>788</v>
      </c>
      <c r="U33" s="31">
        <f t="shared" si="0"/>
        <v>32</v>
      </c>
    </row>
    <row r="34" spans="1:21" ht="15.6" x14ac:dyDescent="0.25">
      <c r="A34" s="10">
        <v>12838</v>
      </c>
      <c r="B34" t="s">
        <v>268</v>
      </c>
      <c r="C34" t="s">
        <v>269</v>
      </c>
      <c r="D34" s="18">
        <v>43909</v>
      </c>
      <c r="E34" s="10">
        <f>YEAR(ClientDB[[#This Row],[Start Date]])</f>
        <v>2020</v>
      </c>
      <c r="F34" t="s">
        <v>823</v>
      </c>
      <c r="G34" t="str">
        <f>VLOOKUP(ClientDB[[#This Row],[Org Code]],organization_table[],2)</f>
        <v>Pink Cloud Networks</v>
      </c>
      <c r="H34" s="10" t="s">
        <v>155</v>
      </c>
      <c r="I34" s="10" t="str">
        <f>INDEX(Country,MATCH(ClientDB[[#This Row],[Country Code]],Country_Codes,0),1)</f>
        <v>United Arab Emirates</v>
      </c>
      <c r="J34" s="15">
        <v>2</v>
      </c>
      <c r="K34" s="15" t="str">
        <f>IF(ClientDB[[#This Row],[Start Date]]&gt;=$U$14,"New","")</f>
        <v>New</v>
      </c>
      <c r="L34" s="15" t="str">
        <f>IF(AND(ClientDB[[#This Row],[Start Year]]&lt;2016,ClientDB[[#This Row],[Events]]&gt;=6),"Gift","")</f>
        <v/>
      </c>
      <c r="M3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" s="15">
        <v>1</v>
      </c>
      <c r="O34" s="32">
        <f>ClientDB[[#This Row],[Days]]*IF(ClientDB[[#This Row],[Days]]&gt;1,$V$8,$V$7)</f>
        <v>350</v>
      </c>
      <c r="P3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4" s="15" t="s">
        <v>901</v>
      </c>
      <c r="R34" s="15" t="str">
        <f>INDEX(seat_table,MATCH(ClientDB[[#This Row],[Country Code]],seat_country_code,0),MATCH(ClientDB[[#This Row],[Meal]],meal,0))</f>
        <v>D</v>
      </c>
      <c r="T34" s="14" t="s">
        <v>789</v>
      </c>
      <c r="U34" s="31">
        <f t="shared" si="0"/>
        <v>62</v>
      </c>
    </row>
    <row r="35" spans="1:21" ht="15.6" x14ac:dyDescent="0.25">
      <c r="A35" s="10">
        <v>12940</v>
      </c>
      <c r="B35" t="s">
        <v>627</v>
      </c>
      <c r="C35" t="s">
        <v>628</v>
      </c>
      <c r="D35" s="18">
        <v>42588</v>
      </c>
      <c r="E35" s="10">
        <f>YEAR(ClientDB[[#This Row],[Start Date]])</f>
        <v>2016</v>
      </c>
      <c r="F35" t="s">
        <v>827</v>
      </c>
      <c r="G35" t="str">
        <f>VLOOKUP(ClientDB[[#This Row],[Org Code]],organization_table[],2)</f>
        <v>Ripple Com</v>
      </c>
      <c r="H35" s="10" t="s">
        <v>15</v>
      </c>
      <c r="I35" s="10" t="str">
        <f>INDEX(Country,MATCH(ClientDB[[#This Row],[Country Code]],Country_Codes,0),1)</f>
        <v>United Kingdom</v>
      </c>
      <c r="J35" s="15">
        <v>9</v>
      </c>
      <c r="K35" s="15" t="str">
        <f>IF(ClientDB[[#This Row],[Start Date]]&gt;=$U$14,"New","")</f>
        <v/>
      </c>
      <c r="L35" s="15" t="str">
        <f>IF(AND(ClientDB[[#This Row],[Start Year]]&lt;2016,ClientDB[[#This Row],[Events]]&gt;=6),"Gift","")</f>
        <v/>
      </c>
      <c r="M3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5" s="15">
        <v>3</v>
      </c>
      <c r="O35" s="32">
        <f>ClientDB[[#This Row],[Days]]*IF(ClientDB[[#This Row],[Days]]&gt;1,$V$8,$V$7)</f>
        <v>900</v>
      </c>
      <c r="P3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5" s="15" t="s">
        <v>899</v>
      </c>
      <c r="R35" s="15" t="str">
        <f>INDEX(seat_table,MATCH(ClientDB[[#This Row],[Country Code]],seat_country_code,0),MATCH(ClientDB[[#This Row],[Meal]],meal,0))</f>
        <v>A</v>
      </c>
      <c r="T35" s="14" t="s">
        <v>790</v>
      </c>
      <c r="U35" s="31">
        <f t="shared" si="0"/>
        <v>44</v>
      </c>
    </row>
    <row r="36" spans="1:21" x14ac:dyDescent="0.25">
      <c r="A36" s="10">
        <v>12942</v>
      </c>
      <c r="B36" t="s">
        <v>135</v>
      </c>
      <c r="C36" t="s">
        <v>622</v>
      </c>
      <c r="D36" s="18">
        <v>43373</v>
      </c>
      <c r="E36" s="10">
        <f>YEAR(ClientDB[[#This Row],[Start Date]])</f>
        <v>2018</v>
      </c>
      <c r="F36" t="s">
        <v>803</v>
      </c>
      <c r="G36" t="str">
        <f>VLOOKUP(ClientDB[[#This Row],[Org Code]],organization_table[],2)</f>
        <v>Colot</v>
      </c>
      <c r="H36" s="10" t="s">
        <v>59</v>
      </c>
      <c r="I36" s="10" t="str">
        <f>INDEX(Country,MATCH(ClientDB[[#This Row],[Country Code]],Country_Codes,0),1)</f>
        <v>Netherlands</v>
      </c>
      <c r="J36" s="15">
        <v>7</v>
      </c>
      <c r="K36" s="15" t="str">
        <f>IF(ClientDB[[#This Row],[Start Date]]&gt;=$U$14,"New","")</f>
        <v/>
      </c>
      <c r="L36" s="15" t="str">
        <f>IF(AND(ClientDB[[#This Row],[Start Year]]&lt;2016,ClientDB[[#This Row],[Events]]&gt;=6),"Gift","")</f>
        <v/>
      </c>
      <c r="M3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6" s="15">
        <v>1</v>
      </c>
      <c r="O36" s="32">
        <f>ClientDB[[#This Row],[Days]]*IF(ClientDB[[#This Row],[Days]]&gt;1,$V$8,$V$7)</f>
        <v>350</v>
      </c>
      <c r="P3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36" s="15" t="s">
        <v>901</v>
      </c>
      <c r="R36" s="15" t="str">
        <f>INDEX(seat_table,MATCH(ClientDB[[#This Row],[Country Code]],seat_country_code,0),MATCH(ClientDB[[#This Row],[Meal]],meal,0))</f>
        <v>F</v>
      </c>
    </row>
    <row r="37" spans="1:21" x14ac:dyDescent="0.25">
      <c r="A37" s="10">
        <v>13063</v>
      </c>
      <c r="B37" t="s">
        <v>43</v>
      </c>
      <c r="C37" t="s">
        <v>44</v>
      </c>
      <c r="D37" s="18">
        <v>42328</v>
      </c>
      <c r="E37" s="10">
        <f>YEAR(ClientDB[[#This Row],[Start Date]])</f>
        <v>2015</v>
      </c>
      <c r="F37" t="s">
        <v>838</v>
      </c>
      <c r="G37" t="str">
        <f>VLOOKUP(ClientDB[[#This Row],[Org Code]],organization_table[],2)</f>
        <v>xLAN Internet Exchange</v>
      </c>
      <c r="H37" s="10" t="s">
        <v>46</v>
      </c>
      <c r="I37" s="10" t="str">
        <f>INDEX(Country,MATCH(ClientDB[[#This Row],[Country Code]],Country_Codes,0),1)</f>
        <v>Germany</v>
      </c>
      <c r="J37" s="15">
        <v>1</v>
      </c>
      <c r="K37" s="15" t="str">
        <f>IF(ClientDB[[#This Row],[Start Date]]&gt;=$U$14,"New","")</f>
        <v/>
      </c>
      <c r="L37" s="15" t="str">
        <f>IF(AND(ClientDB[[#This Row],[Start Year]]&lt;2016,ClientDB[[#This Row],[Events]]&gt;=6),"Gift","")</f>
        <v/>
      </c>
      <c r="M3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7" s="15">
        <v>3</v>
      </c>
      <c r="O37" s="32">
        <f>ClientDB[[#This Row],[Days]]*IF(ClientDB[[#This Row],[Days]]&gt;1,$V$8,$V$7)</f>
        <v>900</v>
      </c>
      <c r="P3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7" s="15" t="s">
        <v>901</v>
      </c>
      <c r="R37" s="15" t="str">
        <f>INDEX(seat_table,MATCH(ClientDB[[#This Row],[Country Code]],seat_country_code,0),MATCH(ClientDB[[#This Row],[Meal]],meal,0))</f>
        <v>D</v>
      </c>
    </row>
    <row r="38" spans="1:21" x14ac:dyDescent="0.25">
      <c r="A38" s="10">
        <v>13210</v>
      </c>
      <c r="B38" t="s">
        <v>627</v>
      </c>
      <c r="C38" t="s">
        <v>697</v>
      </c>
      <c r="D38" s="18">
        <v>42738</v>
      </c>
      <c r="E38" s="10">
        <f>YEAR(ClientDB[[#This Row],[Start Date]])</f>
        <v>2017</v>
      </c>
      <c r="F38" t="s">
        <v>817</v>
      </c>
      <c r="G38" t="str">
        <f>VLOOKUP(ClientDB[[#This Row],[Org Code]],organization_table[],2)</f>
        <v>LACNE</v>
      </c>
      <c r="H38" s="10" t="s">
        <v>698</v>
      </c>
      <c r="I38" s="10" t="str">
        <f>INDEX(Country,MATCH(ClientDB[[#This Row],[Country Code]],Country_Codes,0),1)</f>
        <v>Argentina</v>
      </c>
      <c r="J38" s="15">
        <v>3</v>
      </c>
      <c r="K38" s="15" t="str">
        <f>IF(ClientDB[[#This Row],[Start Date]]&gt;=$U$14,"New","")</f>
        <v/>
      </c>
      <c r="L38" s="15" t="str">
        <f>IF(AND(ClientDB[[#This Row],[Start Year]]&lt;2016,ClientDB[[#This Row],[Events]]&gt;=6),"Gift","")</f>
        <v/>
      </c>
      <c r="M3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8" s="15">
        <v>1</v>
      </c>
      <c r="O38" s="32">
        <f>ClientDB[[#This Row],[Days]]*IF(ClientDB[[#This Row],[Days]]&gt;1,$V$8,$V$7)</f>
        <v>350</v>
      </c>
      <c r="P3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8" s="15" t="s">
        <v>902</v>
      </c>
      <c r="R38" s="15" t="str">
        <f>INDEX(seat_table,MATCH(ClientDB[[#This Row],[Country Code]],seat_country_code,0),MATCH(ClientDB[[#This Row],[Meal]],meal,0))</f>
        <v>B</v>
      </c>
    </row>
    <row r="39" spans="1:21" x14ac:dyDescent="0.25">
      <c r="A39" s="10">
        <v>13229</v>
      </c>
      <c r="B39" t="s">
        <v>60</v>
      </c>
      <c r="C39" t="s">
        <v>61</v>
      </c>
      <c r="D39" s="18">
        <v>42336</v>
      </c>
      <c r="E39" s="10">
        <f>YEAR(ClientDB[[#This Row],[Start Date]])</f>
        <v>2015</v>
      </c>
      <c r="F39" t="s">
        <v>797</v>
      </c>
      <c r="G39" t="str">
        <f>VLOOKUP(ClientDB[[#This Row],[Org Code]],organization_table[],2)</f>
        <v>ASET PLC</v>
      </c>
      <c r="H39" s="10" t="s">
        <v>63</v>
      </c>
      <c r="I39" s="10" t="str">
        <f>INDEX(Country,MATCH(ClientDB[[#This Row],[Country Code]],Country_Codes,0),1)</f>
        <v>Armenia</v>
      </c>
      <c r="J39" s="15">
        <v>2</v>
      </c>
      <c r="K39" s="15" t="str">
        <f>IF(ClientDB[[#This Row],[Start Date]]&gt;=$U$14,"New","")</f>
        <v/>
      </c>
      <c r="L39" s="15" t="str">
        <f>IF(AND(ClientDB[[#This Row],[Start Year]]&lt;2016,ClientDB[[#This Row],[Events]]&gt;=6),"Gift","")</f>
        <v/>
      </c>
      <c r="M3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9" s="15">
        <v>1</v>
      </c>
      <c r="O39" s="32">
        <f>ClientDB[[#This Row],[Days]]*IF(ClientDB[[#This Row],[Days]]&gt;1,$V$8,$V$7)</f>
        <v>350</v>
      </c>
      <c r="P3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9" s="15" t="s">
        <v>901</v>
      </c>
      <c r="R39" s="15" t="str">
        <f>INDEX(seat_table,MATCH(ClientDB[[#This Row],[Country Code]],seat_country_code,0),MATCH(ClientDB[[#This Row],[Meal]],meal,0))</f>
        <v>D</v>
      </c>
    </row>
    <row r="40" spans="1:21" x14ac:dyDescent="0.25">
      <c r="A40" s="10">
        <v>13301</v>
      </c>
      <c r="B40" t="s">
        <v>542</v>
      </c>
      <c r="C40" t="s">
        <v>543</v>
      </c>
      <c r="D40" s="18">
        <v>43004</v>
      </c>
      <c r="E40" s="10">
        <f>YEAR(ClientDB[[#This Row],[Start Date]])</f>
        <v>2017</v>
      </c>
      <c r="F40" t="s">
        <v>814</v>
      </c>
      <c r="G40" t="str">
        <f>VLOOKUP(ClientDB[[#This Row],[Org Code]],organization_table[],2)</f>
        <v>IPI Bucharest</v>
      </c>
      <c r="H40" s="10" t="s">
        <v>7</v>
      </c>
      <c r="I40" s="10" t="str">
        <f>INDEX(Country,MATCH(ClientDB[[#This Row],[Country Code]],Country_Codes,0),1)</f>
        <v>Iran</v>
      </c>
      <c r="J40" s="15">
        <v>4</v>
      </c>
      <c r="K40" s="15" t="str">
        <f>IF(ClientDB[[#This Row],[Start Date]]&gt;=$U$14,"New","")</f>
        <v/>
      </c>
      <c r="L40" s="15" t="str">
        <f>IF(AND(ClientDB[[#This Row],[Start Year]]&lt;2016,ClientDB[[#This Row],[Events]]&gt;=6),"Gift","")</f>
        <v/>
      </c>
      <c r="M4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40" s="15">
        <v>3</v>
      </c>
      <c r="O40" s="32">
        <f>ClientDB[[#This Row],[Days]]*IF(ClientDB[[#This Row],[Days]]&gt;1,$V$8,$V$7)</f>
        <v>900</v>
      </c>
      <c r="P4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40" s="15" t="s">
        <v>901</v>
      </c>
      <c r="R40" s="15" t="str">
        <f>INDEX(seat_table,MATCH(ClientDB[[#This Row],[Country Code]],seat_country_code,0),MATCH(ClientDB[[#This Row],[Meal]],meal,0))</f>
        <v>F</v>
      </c>
    </row>
    <row r="41" spans="1:21" x14ac:dyDescent="0.25">
      <c r="A41" s="10">
        <v>13380</v>
      </c>
      <c r="B41" t="s">
        <v>447</v>
      </c>
      <c r="C41" t="s">
        <v>448</v>
      </c>
      <c r="D41" s="18">
        <v>42498</v>
      </c>
      <c r="E41" s="10">
        <f>YEAR(ClientDB[[#This Row],[Start Date]])</f>
        <v>2016</v>
      </c>
      <c r="F41" t="s">
        <v>814</v>
      </c>
      <c r="G41" t="str">
        <f>VLOOKUP(ClientDB[[#This Row],[Org Code]],organization_table[],2)</f>
        <v>IPI Bucharest</v>
      </c>
      <c r="H41" s="10" t="s">
        <v>7</v>
      </c>
      <c r="I41" s="10" t="str">
        <f>INDEX(Country,MATCH(ClientDB[[#This Row],[Country Code]],Country_Codes,0),1)</f>
        <v>Iran</v>
      </c>
      <c r="J41" s="15">
        <v>6</v>
      </c>
      <c r="K41" s="15" t="str">
        <f>IF(ClientDB[[#This Row],[Start Date]]&gt;=$U$14,"New","")</f>
        <v/>
      </c>
      <c r="L41" s="15" t="str">
        <f>IF(AND(ClientDB[[#This Row],[Start Year]]&lt;2016,ClientDB[[#This Row],[Events]]&gt;=6),"Gift","")</f>
        <v/>
      </c>
      <c r="M4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41" s="15">
        <v>2</v>
      </c>
      <c r="O41" s="32">
        <f>ClientDB[[#This Row],[Days]]*IF(ClientDB[[#This Row],[Days]]&gt;1,$V$8,$V$7)</f>
        <v>600</v>
      </c>
      <c r="P4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41" s="15" t="s">
        <v>901</v>
      </c>
      <c r="R41" s="15" t="str">
        <f>INDEX(seat_table,MATCH(ClientDB[[#This Row],[Country Code]],seat_country_code,0),MATCH(ClientDB[[#This Row],[Meal]],meal,0))</f>
        <v>F</v>
      </c>
    </row>
    <row r="42" spans="1:21" x14ac:dyDescent="0.25">
      <c r="A42" s="10">
        <v>13382</v>
      </c>
      <c r="B42" t="s">
        <v>445</v>
      </c>
      <c r="C42" t="s">
        <v>446</v>
      </c>
      <c r="D42" s="18">
        <v>42213</v>
      </c>
      <c r="E42" s="10">
        <f>YEAR(ClientDB[[#This Row],[Start Date]])</f>
        <v>2015</v>
      </c>
      <c r="F42" t="s">
        <v>823</v>
      </c>
      <c r="G42" t="str">
        <f>VLOOKUP(ClientDB[[#This Row],[Org Code]],organization_table[],2)</f>
        <v>Pink Cloud Networks</v>
      </c>
      <c r="H42" s="10" t="s">
        <v>59</v>
      </c>
      <c r="I42" s="10" t="str">
        <f>INDEX(Country,MATCH(ClientDB[[#This Row],[Country Code]],Country_Codes,0),1)</f>
        <v>Netherlands</v>
      </c>
      <c r="J42" s="15">
        <v>8</v>
      </c>
      <c r="K42" s="15" t="str">
        <f>IF(ClientDB[[#This Row],[Start Date]]&gt;=$U$14,"New","")</f>
        <v/>
      </c>
      <c r="L42" s="15" t="str">
        <f>IF(AND(ClientDB[[#This Row],[Start Year]]&lt;2016,ClientDB[[#This Row],[Events]]&gt;=6),"Gift","")</f>
        <v>Gift</v>
      </c>
      <c r="M4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42" s="15">
        <v>2</v>
      </c>
      <c r="O42" s="32">
        <f>ClientDB[[#This Row],[Days]]*IF(ClientDB[[#This Row],[Days]]&gt;1,$V$8,$V$7)</f>
        <v>600</v>
      </c>
      <c r="P4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42" s="15" t="s">
        <v>901</v>
      </c>
      <c r="R42" s="15" t="str">
        <f>INDEX(seat_table,MATCH(ClientDB[[#This Row],[Country Code]],seat_country_code,0),MATCH(ClientDB[[#This Row],[Meal]],meal,0))</f>
        <v>F</v>
      </c>
    </row>
    <row r="43" spans="1:21" x14ac:dyDescent="0.25">
      <c r="A43" s="10">
        <v>13420</v>
      </c>
      <c r="B43" t="s">
        <v>67</v>
      </c>
      <c r="C43" t="s">
        <v>527</v>
      </c>
      <c r="D43" s="18">
        <v>42701</v>
      </c>
      <c r="E43" s="10">
        <f>YEAR(ClientDB[[#This Row],[Start Date]])</f>
        <v>2016</v>
      </c>
      <c r="F43" t="s">
        <v>806</v>
      </c>
      <c r="G43" t="str">
        <f>VLOOKUP(ClientDB[[#This Row],[Org Code]],organization_table[],2)</f>
        <v>DENIL</v>
      </c>
      <c r="H43" s="10" t="s">
        <v>11</v>
      </c>
      <c r="I43" s="10" t="str">
        <f>INDEX(Country,MATCH(ClientDB[[#This Row],[Country Code]],Country_Codes,0),1)</f>
        <v>Austria</v>
      </c>
      <c r="J43" s="15">
        <v>17</v>
      </c>
      <c r="K43" s="15" t="str">
        <f>IF(ClientDB[[#This Row],[Start Date]]&gt;=$U$14,"New","")</f>
        <v/>
      </c>
      <c r="L43" s="15" t="str">
        <f>IF(AND(ClientDB[[#This Row],[Start Year]]&lt;2016,ClientDB[[#This Row],[Events]]&gt;=6),"Gift","")</f>
        <v/>
      </c>
      <c r="M4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43" s="15">
        <v>2</v>
      </c>
      <c r="O43" s="32">
        <f>ClientDB[[#This Row],[Days]]*IF(ClientDB[[#This Row],[Days]]&gt;1,$V$8,$V$7)</f>
        <v>600</v>
      </c>
      <c r="P4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43" s="15" t="s">
        <v>902</v>
      </c>
      <c r="R43" s="15" t="str">
        <f>INDEX(seat_table,MATCH(ClientDB[[#This Row],[Country Code]],seat_country_code,0),MATCH(ClientDB[[#This Row],[Meal]],meal,0))</f>
        <v>B</v>
      </c>
    </row>
    <row r="44" spans="1:21" x14ac:dyDescent="0.25">
      <c r="A44" s="10">
        <v>13485</v>
      </c>
      <c r="B44" t="s">
        <v>135</v>
      </c>
      <c r="C44" t="s">
        <v>174</v>
      </c>
      <c r="D44" s="18">
        <v>43049</v>
      </c>
      <c r="E44" s="10">
        <f>YEAR(ClientDB[[#This Row],[Start Date]])</f>
        <v>2017</v>
      </c>
      <c r="F44" t="s">
        <v>803</v>
      </c>
      <c r="G44" t="str">
        <f>VLOOKUP(ClientDB[[#This Row],[Org Code]],organization_table[],2)</f>
        <v>Colot</v>
      </c>
      <c r="H44" s="10" t="s">
        <v>175</v>
      </c>
      <c r="I44" s="10" t="str">
        <f>INDEX(Country,MATCH(ClientDB[[#This Row],[Country Code]],Country_Codes,0),1)</f>
        <v>Australia</v>
      </c>
      <c r="J44" s="15">
        <v>6</v>
      </c>
      <c r="K44" s="15" t="str">
        <f>IF(ClientDB[[#This Row],[Start Date]]&gt;=$U$14,"New","")</f>
        <v/>
      </c>
      <c r="L44" s="15" t="str">
        <f>IF(AND(ClientDB[[#This Row],[Start Year]]&lt;2016,ClientDB[[#This Row],[Events]]&gt;=6),"Gift","")</f>
        <v/>
      </c>
      <c r="M4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44" s="15">
        <v>3</v>
      </c>
      <c r="O44" s="32">
        <f>ClientDB[[#This Row],[Days]]*IF(ClientDB[[#This Row],[Days]]&gt;1,$V$8,$V$7)</f>
        <v>900</v>
      </c>
      <c r="P4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44" s="15" t="s">
        <v>901</v>
      </c>
      <c r="R44" s="15" t="str">
        <f>INDEX(seat_table,MATCH(ClientDB[[#This Row],[Country Code]],seat_country_code,0),MATCH(ClientDB[[#This Row],[Meal]],meal,0))</f>
        <v>D</v>
      </c>
    </row>
    <row r="45" spans="1:21" x14ac:dyDescent="0.25">
      <c r="A45" s="10">
        <v>13650</v>
      </c>
      <c r="B45" t="s">
        <v>536</v>
      </c>
      <c r="C45" t="s">
        <v>537</v>
      </c>
      <c r="D45" s="18">
        <v>44078</v>
      </c>
      <c r="E45" s="10">
        <f>YEAR(ClientDB[[#This Row],[Start Date]])</f>
        <v>2020</v>
      </c>
      <c r="F45" t="s">
        <v>806</v>
      </c>
      <c r="G45" t="str">
        <f>VLOOKUP(ClientDB[[#This Row],[Org Code]],organization_table[],2)</f>
        <v>DENIL</v>
      </c>
      <c r="H45" s="10" t="s">
        <v>46</v>
      </c>
      <c r="I45" s="10" t="str">
        <f>INDEX(Country,MATCH(ClientDB[[#This Row],[Country Code]],Country_Codes,0),1)</f>
        <v>Germany</v>
      </c>
      <c r="J45" s="15">
        <v>17</v>
      </c>
      <c r="K45" s="15" t="str">
        <f>IF(ClientDB[[#This Row],[Start Date]]&gt;=$U$14,"New","")</f>
        <v>New</v>
      </c>
      <c r="L45" s="15" t="str">
        <f>IF(AND(ClientDB[[#This Row],[Start Year]]&lt;2016,ClientDB[[#This Row],[Events]]&gt;=6),"Gift","")</f>
        <v/>
      </c>
      <c r="M4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45" s="15">
        <v>2</v>
      </c>
      <c r="O45" s="32">
        <f>ClientDB[[#This Row],[Days]]*IF(ClientDB[[#This Row],[Days]]&gt;1,$V$8,$V$7)</f>
        <v>600</v>
      </c>
      <c r="P4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45" s="15" t="s">
        <v>901</v>
      </c>
      <c r="R45" s="15" t="str">
        <f>INDEX(seat_table,MATCH(ClientDB[[#This Row],[Country Code]],seat_country_code,0),MATCH(ClientDB[[#This Row],[Meal]],meal,0))</f>
        <v>D</v>
      </c>
    </row>
    <row r="46" spans="1:21" x14ac:dyDescent="0.25">
      <c r="A46" s="10">
        <v>13671</v>
      </c>
      <c r="B46" t="s">
        <v>762</v>
      </c>
      <c r="C46" t="s">
        <v>763</v>
      </c>
      <c r="D46" s="18">
        <v>43010</v>
      </c>
      <c r="E46" s="10">
        <f>YEAR(ClientDB[[#This Row],[Start Date]])</f>
        <v>2017</v>
      </c>
      <c r="F46" t="s">
        <v>827</v>
      </c>
      <c r="G46" t="str">
        <f>VLOOKUP(ClientDB[[#This Row],[Org Code]],organization_table[],2)</f>
        <v>Ripple Com</v>
      </c>
      <c r="H46" s="10" t="s">
        <v>7</v>
      </c>
      <c r="I46" s="10" t="str">
        <f>INDEX(Country,MATCH(ClientDB[[#This Row],[Country Code]],Country_Codes,0),1)</f>
        <v>Iran</v>
      </c>
      <c r="J46" s="15">
        <v>8</v>
      </c>
      <c r="K46" s="15" t="str">
        <f>IF(ClientDB[[#This Row],[Start Date]]&gt;=$U$14,"New","")</f>
        <v/>
      </c>
      <c r="L46" s="15" t="str">
        <f>IF(AND(ClientDB[[#This Row],[Start Year]]&lt;2016,ClientDB[[#This Row],[Events]]&gt;=6),"Gift","")</f>
        <v/>
      </c>
      <c r="M4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46" s="15">
        <v>2</v>
      </c>
      <c r="O46" s="32">
        <f>ClientDB[[#This Row],[Days]]*IF(ClientDB[[#This Row],[Days]]&gt;1,$V$8,$V$7)</f>
        <v>600</v>
      </c>
      <c r="P4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46" s="15" t="s">
        <v>899</v>
      </c>
      <c r="R46" s="15" t="str">
        <f>INDEX(seat_table,MATCH(ClientDB[[#This Row],[Country Code]],seat_country_code,0),MATCH(ClientDB[[#This Row],[Meal]],meal,0))</f>
        <v>A</v>
      </c>
    </row>
    <row r="47" spans="1:21" x14ac:dyDescent="0.25">
      <c r="A47" s="10">
        <v>13684</v>
      </c>
      <c r="B47" t="s">
        <v>219</v>
      </c>
      <c r="C47" t="s">
        <v>220</v>
      </c>
      <c r="D47" s="18">
        <v>43498</v>
      </c>
      <c r="E47" s="10">
        <f>YEAR(ClientDB[[#This Row],[Start Date]])</f>
        <v>2019</v>
      </c>
      <c r="F47" t="s">
        <v>827</v>
      </c>
      <c r="G47" t="str">
        <f>VLOOKUP(ClientDB[[#This Row],[Org Code]],organization_table[],2)</f>
        <v>Ripple Com</v>
      </c>
      <c r="H47" s="10" t="s">
        <v>15</v>
      </c>
      <c r="I47" s="10" t="str">
        <f>INDEX(Country,MATCH(ClientDB[[#This Row],[Country Code]],Country_Codes,0),1)</f>
        <v>United Kingdom</v>
      </c>
      <c r="J47" s="15">
        <v>10</v>
      </c>
      <c r="K47" s="15" t="str">
        <f>IF(ClientDB[[#This Row],[Start Date]]&gt;=$U$14,"New","")</f>
        <v/>
      </c>
      <c r="L47" s="15" t="str">
        <f>IF(AND(ClientDB[[#This Row],[Start Year]]&lt;2016,ClientDB[[#This Row],[Events]]&gt;=6),"Gift","")</f>
        <v/>
      </c>
      <c r="M4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47" s="15">
        <v>1</v>
      </c>
      <c r="O47" s="32">
        <f>ClientDB[[#This Row],[Days]]*IF(ClientDB[[#This Row],[Days]]&gt;1,$V$8,$V$7)</f>
        <v>350</v>
      </c>
      <c r="P4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47" s="15" t="s">
        <v>901</v>
      </c>
      <c r="R47" s="15" t="str">
        <f>INDEX(seat_table,MATCH(ClientDB[[#This Row],[Country Code]],seat_country_code,0),MATCH(ClientDB[[#This Row],[Meal]],meal,0))</f>
        <v>E</v>
      </c>
    </row>
    <row r="48" spans="1:21" x14ac:dyDescent="0.25">
      <c r="A48" s="10">
        <v>13713</v>
      </c>
      <c r="B48" t="s">
        <v>417</v>
      </c>
      <c r="C48" t="s">
        <v>418</v>
      </c>
      <c r="D48" s="18">
        <v>42684</v>
      </c>
      <c r="E48" s="10">
        <f>YEAR(ClientDB[[#This Row],[Start Date]])</f>
        <v>2016</v>
      </c>
      <c r="F48" t="s">
        <v>827</v>
      </c>
      <c r="G48" t="str">
        <f>VLOOKUP(ClientDB[[#This Row],[Org Code]],organization_table[],2)</f>
        <v>Ripple Com</v>
      </c>
      <c r="H48" s="10" t="s">
        <v>419</v>
      </c>
      <c r="I48" s="10" t="str">
        <f>INDEX(Country,MATCH(ClientDB[[#This Row],[Country Code]],Country_Codes,0),1)</f>
        <v>Hungary</v>
      </c>
      <c r="J48" s="15">
        <v>20</v>
      </c>
      <c r="K48" s="15" t="str">
        <f>IF(ClientDB[[#This Row],[Start Date]]&gt;=$U$14,"New","")</f>
        <v/>
      </c>
      <c r="L48" s="15" t="str">
        <f>IF(AND(ClientDB[[#This Row],[Start Year]]&lt;2016,ClientDB[[#This Row],[Events]]&gt;=6),"Gift","")</f>
        <v/>
      </c>
      <c r="M4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48" s="15">
        <v>2</v>
      </c>
      <c r="O48" s="32">
        <f>ClientDB[[#This Row],[Days]]*IF(ClientDB[[#This Row],[Days]]&gt;1,$V$8,$V$7)</f>
        <v>600</v>
      </c>
      <c r="P4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48" s="15" t="s">
        <v>900</v>
      </c>
      <c r="R48" s="15" t="str">
        <f>INDEX(seat_table,MATCH(ClientDB[[#This Row],[Country Code]],seat_country_code,0),MATCH(ClientDB[[#This Row],[Meal]],meal,0))</f>
        <v>A</v>
      </c>
    </row>
    <row r="49" spans="1:18" x14ac:dyDescent="0.25">
      <c r="A49" s="10">
        <v>13813</v>
      </c>
      <c r="B49" t="s">
        <v>516</v>
      </c>
      <c r="C49" t="s">
        <v>517</v>
      </c>
      <c r="D49" s="18">
        <v>43978</v>
      </c>
      <c r="E49" s="10">
        <f>YEAR(ClientDB[[#This Row],[Start Date]])</f>
        <v>2020</v>
      </c>
      <c r="F49" t="s">
        <v>827</v>
      </c>
      <c r="G49" t="str">
        <f>VLOOKUP(ClientDB[[#This Row],[Org Code]],organization_table[],2)</f>
        <v>Ripple Com</v>
      </c>
      <c r="H49" s="10" t="s">
        <v>15</v>
      </c>
      <c r="I49" s="10" t="str">
        <f>INDEX(Country,MATCH(ClientDB[[#This Row],[Country Code]],Country_Codes,0),1)</f>
        <v>United Kingdom</v>
      </c>
      <c r="J49" s="15">
        <v>1</v>
      </c>
      <c r="K49" s="15" t="str">
        <f>IF(ClientDB[[#This Row],[Start Date]]&gt;=$U$14,"New","")</f>
        <v>New</v>
      </c>
      <c r="L49" s="15" t="str">
        <f>IF(AND(ClientDB[[#This Row],[Start Year]]&lt;2016,ClientDB[[#This Row],[Events]]&gt;=6),"Gift","")</f>
        <v/>
      </c>
      <c r="M4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49" s="15">
        <v>1</v>
      </c>
      <c r="O49" s="32">
        <f>ClientDB[[#This Row],[Days]]*IF(ClientDB[[#This Row],[Days]]&gt;1,$V$8,$V$7)</f>
        <v>350</v>
      </c>
      <c r="P4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49" s="15" t="s">
        <v>902</v>
      </c>
      <c r="R49" s="15" t="str">
        <f>INDEX(seat_table,MATCH(ClientDB[[#This Row],[Country Code]],seat_country_code,0),MATCH(ClientDB[[#This Row],[Meal]],meal,0))</f>
        <v>B</v>
      </c>
    </row>
    <row r="50" spans="1:18" x14ac:dyDescent="0.25">
      <c r="A50" s="10">
        <v>13824</v>
      </c>
      <c r="B50" t="s">
        <v>110</v>
      </c>
      <c r="C50" t="s">
        <v>111</v>
      </c>
      <c r="D50" s="18">
        <v>41364</v>
      </c>
      <c r="E50" s="10">
        <f>YEAR(ClientDB[[#This Row],[Start Date]])</f>
        <v>2013</v>
      </c>
      <c r="F50" t="s">
        <v>836</v>
      </c>
      <c r="G50" t="str">
        <f>VLOOKUP(ClientDB[[#This Row],[Org Code]],organization_table[],2)</f>
        <v>Wiz Labs</v>
      </c>
      <c r="H50" s="10" t="s">
        <v>97</v>
      </c>
      <c r="I50" s="10" t="str">
        <f>INDEX(Country,MATCH(ClientDB[[#This Row],[Country Code]],Country_Codes,0),1)</f>
        <v>Ireland</v>
      </c>
      <c r="J50" s="15">
        <v>31</v>
      </c>
      <c r="K50" s="15" t="str">
        <f>IF(ClientDB[[#This Row],[Start Date]]&gt;=$U$14,"New","")</f>
        <v/>
      </c>
      <c r="L50" s="15" t="str">
        <f>IF(AND(ClientDB[[#This Row],[Start Year]]&lt;2016,ClientDB[[#This Row],[Events]]&gt;=6),"Gift","")</f>
        <v>Gift</v>
      </c>
      <c r="M5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Platinum</v>
      </c>
      <c r="N50" s="15">
        <v>3</v>
      </c>
      <c r="O50" s="32">
        <f>ClientDB[[#This Row],[Days]]*IF(ClientDB[[#This Row],[Days]]&gt;1,$V$8,$V$7)</f>
        <v>900</v>
      </c>
      <c r="P5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50" s="15" t="s">
        <v>901</v>
      </c>
      <c r="R50" s="15" t="str">
        <f>INDEX(seat_table,MATCH(ClientDB[[#This Row],[Country Code]],seat_country_code,0),MATCH(ClientDB[[#This Row],[Meal]],meal,0))</f>
        <v>F</v>
      </c>
    </row>
    <row r="51" spans="1:18" x14ac:dyDescent="0.25">
      <c r="A51" s="10">
        <v>13865</v>
      </c>
      <c r="B51" t="s">
        <v>372</v>
      </c>
      <c r="C51" t="s">
        <v>373</v>
      </c>
      <c r="D51" s="18">
        <v>42729</v>
      </c>
      <c r="E51" s="10">
        <f>YEAR(ClientDB[[#This Row],[Start Date]])</f>
        <v>2016</v>
      </c>
      <c r="F51" t="s">
        <v>813</v>
      </c>
      <c r="G51" t="str">
        <f>VLOOKUP(ClientDB[[#This Row],[Org Code]],organization_table[],2)</f>
        <v>HeatProof</v>
      </c>
      <c r="H51" s="10" t="s">
        <v>11</v>
      </c>
      <c r="I51" s="10" t="str">
        <f>INDEX(Country,MATCH(ClientDB[[#This Row],[Country Code]],Country_Codes,0),1)</f>
        <v>Austria</v>
      </c>
      <c r="J51" s="15">
        <v>4</v>
      </c>
      <c r="K51" s="15" t="str">
        <f>IF(ClientDB[[#This Row],[Start Date]]&gt;=$U$14,"New","")</f>
        <v/>
      </c>
      <c r="L51" s="15" t="str">
        <f>IF(AND(ClientDB[[#This Row],[Start Year]]&lt;2016,ClientDB[[#This Row],[Events]]&gt;=6),"Gift","")</f>
        <v/>
      </c>
      <c r="M5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51" s="15">
        <v>3</v>
      </c>
      <c r="O51" s="32">
        <f>ClientDB[[#This Row],[Days]]*IF(ClientDB[[#This Row],[Days]]&gt;1,$V$8,$V$7)</f>
        <v>900</v>
      </c>
      <c r="P5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51" s="15" t="s">
        <v>899</v>
      </c>
      <c r="R51" s="15" t="str">
        <f>INDEX(seat_table,MATCH(ClientDB[[#This Row],[Country Code]],seat_country_code,0),MATCH(ClientDB[[#This Row],[Meal]],meal,0))</f>
        <v>A</v>
      </c>
    </row>
    <row r="52" spans="1:18" x14ac:dyDescent="0.25">
      <c r="A52" s="10">
        <v>13875</v>
      </c>
      <c r="B52" t="s">
        <v>408</v>
      </c>
      <c r="C52" t="s">
        <v>409</v>
      </c>
      <c r="D52" s="18">
        <v>42312</v>
      </c>
      <c r="E52" s="10">
        <f>YEAR(ClientDB[[#This Row],[Start Date]])</f>
        <v>2015</v>
      </c>
      <c r="F52" t="s">
        <v>821</v>
      </c>
      <c r="G52" t="str">
        <f>VLOOKUP(ClientDB[[#This Row],[Org Code]],organization_table[],2)</f>
        <v>Parmis Technologies</v>
      </c>
      <c r="H52" s="10" t="s">
        <v>7</v>
      </c>
      <c r="I52" s="10" t="str">
        <f>INDEX(Country,MATCH(ClientDB[[#This Row],[Country Code]],Country_Codes,0),1)</f>
        <v>Iran</v>
      </c>
      <c r="J52" s="15">
        <v>12</v>
      </c>
      <c r="K52" s="15" t="str">
        <f>IF(ClientDB[[#This Row],[Start Date]]&gt;=$U$14,"New","")</f>
        <v/>
      </c>
      <c r="L52" s="15" t="str">
        <f>IF(AND(ClientDB[[#This Row],[Start Year]]&lt;2016,ClientDB[[#This Row],[Events]]&gt;=6),"Gift","")</f>
        <v>Gift</v>
      </c>
      <c r="M5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52" s="15">
        <v>3</v>
      </c>
      <c r="O52" s="32">
        <f>ClientDB[[#This Row],[Days]]*IF(ClientDB[[#This Row],[Days]]&gt;1,$V$8,$V$7)</f>
        <v>900</v>
      </c>
      <c r="P5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52" s="15" t="s">
        <v>900</v>
      </c>
      <c r="R52" s="15" t="str">
        <f>INDEX(seat_table,MATCH(ClientDB[[#This Row],[Country Code]],seat_country_code,0),MATCH(ClientDB[[#This Row],[Meal]],meal,0))</f>
        <v>A</v>
      </c>
    </row>
    <row r="53" spans="1:18" x14ac:dyDescent="0.25">
      <c r="A53" s="10">
        <v>13906</v>
      </c>
      <c r="B53" t="s">
        <v>540</v>
      </c>
      <c r="C53" t="s">
        <v>541</v>
      </c>
      <c r="D53" s="18">
        <v>43242</v>
      </c>
      <c r="E53" s="10">
        <f>YEAR(ClientDB[[#This Row],[Start Date]])</f>
        <v>2018</v>
      </c>
      <c r="F53" t="s">
        <v>826</v>
      </c>
      <c r="G53" t="str">
        <f>VLOOKUP(ClientDB[[#This Row],[Org Code]],organization_table[],2)</f>
        <v>Ripple Com</v>
      </c>
      <c r="H53" s="10" t="s">
        <v>7</v>
      </c>
      <c r="I53" s="10" t="str">
        <f>INDEX(Country,MATCH(ClientDB[[#This Row],[Country Code]],Country_Codes,0),1)</f>
        <v>Iran</v>
      </c>
      <c r="J53" s="15">
        <v>8</v>
      </c>
      <c r="K53" s="15" t="str">
        <f>IF(ClientDB[[#This Row],[Start Date]]&gt;=$U$14,"New","")</f>
        <v/>
      </c>
      <c r="L53" s="15" t="str">
        <f>IF(AND(ClientDB[[#This Row],[Start Year]]&lt;2016,ClientDB[[#This Row],[Events]]&gt;=6),"Gift","")</f>
        <v/>
      </c>
      <c r="M5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53" s="15">
        <v>3</v>
      </c>
      <c r="O53" s="32">
        <f>ClientDB[[#This Row],[Days]]*IF(ClientDB[[#This Row],[Days]]&gt;1,$V$8,$V$7)</f>
        <v>900</v>
      </c>
      <c r="P5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53" s="15" t="s">
        <v>901</v>
      </c>
      <c r="R53" s="15" t="str">
        <f>INDEX(seat_table,MATCH(ClientDB[[#This Row],[Country Code]],seat_country_code,0),MATCH(ClientDB[[#This Row],[Meal]],meal,0))</f>
        <v>F</v>
      </c>
    </row>
    <row r="54" spans="1:18" x14ac:dyDescent="0.25">
      <c r="A54" s="10">
        <v>14010</v>
      </c>
      <c r="B54" t="s">
        <v>589</v>
      </c>
      <c r="C54" t="s">
        <v>590</v>
      </c>
      <c r="D54" s="18">
        <v>42621</v>
      </c>
      <c r="E54" s="10">
        <f>YEAR(ClientDB[[#This Row],[Start Date]])</f>
        <v>2016</v>
      </c>
      <c r="F54" t="s">
        <v>804</v>
      </c>
      <c r="G54" t="str">
        <f>VLOOKUP(ClientDB[[#This Row],[Org Code]],organization_table[],2)</f>
        <v>Cyber Data Processing</v>
      </c>
      <c r="H54" s="10" t="s">
        <v>7</v>
      </c>
      <c r="I54" s="10" t="str">
        <f>INDEX(Country,MATCH(ClientDB[[#This Row],[Country Code]],Country_Codes,0),1)</f>
        <v>Iran</v>
      </c>
      <c r="J54" s="15">
        <v>27</v>
      </c>
      <c r="K54" s="15" t="str">
        <f>IF(ClientDB[[#This Row],[Start Date]]&gt;=$U$14,"New","")</f>
        <v/>
      </c>
      <c r="L54" s="15" t="str">
        <f>IF(AND(ClientDB[[#This Row],[Start Year]]&lt;2016,ClientDB[[#This Row],[Events]]&gt;=6),"Gift","")</f>
        <v/>
      </c>
      <c r="M5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54" s="15">
        <v>1</v>
      </c>
      <c r="O54" s="32">
        <f>ClientDB[[#This Row],[Days]]*IF(ClientDB[[#This Row],[Days]]&gt;1,$V$8,$V$7)</f>
        <v>350</v>
      </c>
      <c r="P5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54" s="15" t="s">
        <v>901</v>
      </c>
      <c r="R54" s="15" t="str">
        <f>INDEX(seat_table,MATCH(ClientDB[[#This Row],[Country Code]],seat_country_code,0),MATCH(ClientDB[[#This Row],[Meal]],meal,0))</f>
        <v>F</v>
      </c>
    </row>
    <row r="55" spans="1:18" x14ac:dyDescent="0.25">
      <c r="A55" s="10">
        <v>14051</v>
      </c>
      <c r="B55" t="s">
        <v>528</v>
      </c>
      <c r="C55" t="s">
        <v>529</v>
      </c>
      <c r="D55" s="18">
        <v>43000</v>
      </c>
      <c r="E55" s="10">
        <f>YEAR(ClientDB[[#This Row],[Start Date]])</f>
        <v>2017</v>
      </c>
      <c r="F55" t="s">
        <v>810</v>
      </c>
      <c r="G55" t="str">
        <f>VLOOKUP(ClientDB[[#This Row],[Org Code]],organization_table[],2)</f>
        <v>Euro-M</v>
      </c>
      <c r="H55" s="10" t="s">
        <v>46</v>
      </c>
      <c r="I55" s="10" t="str">
        <f>INDEX(Country,MATCH(ClientDB[[#This Row],[Country Code]],Country_Codes,0),1)</f>
        <v>Germany</v>
      </c>
      <c r="J55" s="15">
        <v>8</v>
      </c>
      <c r="K55" s="15" t="str">
        <f>IF(ClientDB[[#This Row],[Start Date]]&gt;=$U$14,"New","")</f>
        <v/>
      </c>
      <c r="L55" s="15" t="str">
        <f>IF(AND(ClientDB[[#This Row],[Start Year]]&lt;2016,ClientDB[[#This Row],[Events]]&gt;=6),"Gift","")</f>
        <v/>
      </c>
      <c r="M5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55" s="15">
        <v>2</v>
      </c>
      <c r="O55" s="32">
        <f>ClientDB[[#This Row],[Days]]*IF(ClientDB[[#This Row],[Days]]&gt;1,$V$8,$V$7)</f>
        <v>600</v>
      </c>
      <c r="P5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55" s="15" t="s">
        <v>902</v>
      </c>
      <c r="R55" s="15" t="str">
        <f>INDEX(seat_table,MATCH(ClientDB[[#This Row],[Country Code]],seat_country_code,0),MATCH(ClientDB[[#This Row],[Meal]],meal,0))</f>
        <v>B</v>
      </c>
    </row>
    <row r="56" spans="1:18" x14ac:dyDescent="0.25">
      <c r="A56" s="10">
        <v>14099</v>
      </c>
      <c r="B56" t="s">
        <v>669</v>
      </c>
      <c r="C56" t="s">
        <v>670</v>
      </c>
      <c r="D56" s="18">
        <v>42832</v>
      </c>
      <c r="E56" s="10">
        <f>YEAR(ClientDB[[#This Row],[Start Date]])</f>
        <v>2017</v>
      </c>
      <c r="F56" t="s">
        <v>799</v>
      </c>
      <c r="G56" t="str">
        <f>VLOOKUP(ClientDB[[#This Row],[Org Code]],organization_table[],2)</f>
        <v>ByteSize</v>
      </c>
      <c r="H56" s="10" t="s">
        <v>155</v>
      </c>
      <c r="I56" s="10" t="str">
        <f>INDEX(Country,MATCH(ClientDB[[#This Row],[Country Code]],Country_Codes,0),1)</f>
        <v>United Arab Emirates</v>
      </c>
      <c r="J56" s="15">
        <v>22</v>
      </c>
      <c r="K56" s="15" t="str">
        <f>IF(ClientDB[[#This Row],[Start Date]]&gt;=$U$14,"New","")</f>
        <v/>
      </c>
      <c r="L56" s="15" t="str">
        <f>IF(AND(ClientDB[[#This Row],[Start Year]]&lt;2016,ClientDB[[#This Row],[Events]]&gt;=6),"Gift","")</f>
        <v/>
      </c>
      <c r="M5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56" s="15">
        <v>2</v>
      </c>
      <c r="O56" s="32">
        <f>ClientDB[[#This Row],[Days]]*IF(ClientDB[[#This Row],[Days]]&gt;1,$V$8,$V$7)</f>
        <v>600</v>
      </c>
      <c r="P5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56" s="15" t="s">
        <v>902</v>
      </c>
      <c r="R56" s="15" t="str">
        <f>INDEX(seat_table,MATCH(ClientDB[[#This Row],[Country Code]],seat_country_code,0),MATCH(ClientDB[[#This Row],[Meal]],meal,0))</f>
        <v>B</v>
      </c>
    </row>
    <row r="57" spans="1:18" x14ac:dyDescent="0.25">
      <c r="A57" s="10">
        <v>14145</v>
      </c>
      <c r="B57" t="s">
        <v>734</v>
      </c>
      <c r="C57" t="s">
        <v>735</v>
      </c>
      <c r="D57" s="18">
        <v>44029</v>
      </c>
      <c r="E57" s="10">
        <f>YEAR(ClientDB[[#This Row],[Start Date]])</f>
        <v>2020</v>
      </c>
      <c r="F57" t="s">
        <v>827</v>
      </c>
      <c r="G57" t="str">
        <f>VLOOKUP(ClientDB[[#This Row],[Org Code]],organization_table[],2)</f>
        <v>Ripple Com</v>
      </c>
      <c r="H57" s="10" t="s">
        <v>15</v>
      </c>
      <c r="I57" s="10" t="str">
        <f>INDEX(Country,MATCH(ClientDB[[#This Row],[Country Code]],Country_Codes,0),1)</f>
        <v>United Kingdom</v>
      </c>
      <c r="J57" s="15">
        <v>1</v>
      </c>
      <c r="K57" s="15" t="str">
        <f>IF(ClientDB[[#This Row],[Start Date]]&gt;=$U$14,"New","")</f>
        <v>New</v>
      </c>
      <c r="L57" s="15" t="str">
        <f>IF(AND(ClientDB[[#This Row],[Start Year]]&lt;2016,ClientDB[[#This Row],[Events]]&gt;=6),"Gift","")</f>
        <v/>
      </c>
      <c r="M5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57" s="15">
        <v>3</v>
      </c>
      <c r="O57" s="32">
        <f>ClientDB[[#This Row],[Days]]*IF(ClientDB[[#This Row],[Days]]&gt;1,$V$8,$V$7)</f>
        <v>900</v>
      </c>
      <c r="P5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57" s="15" t="s">
        <v>901</v>
      </c>
      <c r="R57" s="15" t="str">
        <f>INDEX(seat_table,MATCH(ClientDB[[#This Row],[Country Code]],seat_country_code,0),MATCH(ClientDB[[#This Row],[Meal]],meal,0))</f>
        <v>E</v>
      </c>
    </row>
    <row r="58" spans="1:18" x14ac:dyDescent="0.25">
      <c r="A58" s="10">
        <v>14159</v>
      </c>
      <c r="B58" t="s">
        <v>94</v>
      </c>
      <c r="C58" t="s">
        <v>352</v>
      </c>
      <c r="D58" s="18">
        <v>42215</v>
      </c>
      <c r="E58" s="10">
        <f>YEAR(ClientDB[[#This Row],[Start Date]])</f>
        <v>2015</v>
      </c>
      <c r="F58" t="s">
        <v>827</v>
      </c>
      <c r="G58" t="str">
        <f>VLOOKUP(ClientDB[[#This Row],[Org Code]],organization_table[],2)</f>
        <v>Ripple Com</v>
      </c>
      <c r="H58" s="10" t="s">
        <v>15</v>
      </c>
      <c r="I58" s="10" t="str">
        <f>INDEX(Country,MATCH(ClientDB[[#This Row],[Country Code]],Country_Codes,0),1)</f>
        <v>United Kingdom</v>
      </c>
      <c r="J58" s="15">
        <v>22</v>
      </c>
      <c r="K58" s="15" t="str">
        <f>IF(ClientDB[[#This Row],[Start Date]]&gt;=$U$14,"New","")</f>
        <v/>
      </c>
      <c r="L58" s="15" t="str">
        <f>IF(AND(ClientDB[[#This Row],[Start Year]]&lt;2016,ClientDB[[#This Row],[Events]]&gt;=6),"Gift","")</f>
        <v>Gift</v>
      </c>
      <c r="M5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58" s="15">
        <v>1</v>
      </c>
      <c r="O58" s="32">
        <f>ClientDB[[#This Row],[Days]]*IF(ClientDB[[#This Row],[Days]]&gt;1,$V$8,$V$7)</f>
        <v>350</v>
      </c>
      <c r="P5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58" s="15" t="s">
        <v>900</v>
      </c>
      <c r="R58" s="15" t="str">
        <f>INDEX(seat_table,MATCH(ClientDB[[#This Row],[Country Code]],seat_country_code,0),MATCH(ClientDB[[#This Row],[Meal]],meal,0))</f>
        <v>A</v>
      </c>
    </row>
    <row r="59" spans="1:18" x14ac:dyDescent="0.25">
      <c r="A59" s="10">
        <v>14194</v>
      </c>
      <c r="B59" t="s">
        <v>501</v>
      </c>
      <c r="C59" t="s">
        <v>604</v>
      </c>
      <c r="D59" s="18">
        <v>43901</v>
      </c>
      <c r="E59" s="10">
        <f>YEAR(ClientDB[[#This Row],[Start Date]])</f>
        <v>2020</v>
      </c>
      <c r="F59" t="s">
        <v>821</v>
      </c>
      <c r="G59" t="str">
        <f>VLOOKUP(ClientDB[[#This Row],[Org Code]],organization_table[],2)</f>
        <v>Parmis Technologies</v>
      </c>
      <c r="H59" s="10" t="s">
        <v>46</v>
      </c>
      <c r="I59" s="10" t="str">
        <f>INDEX(Country,MATCH(ClientDB[[#This Row],[Country Code]],Country_Codes,0),1)</f>
        <v>Germany</v>
      </c>
      <c r="J59" s="15">
        <v>4</v>
      </c>
      <c r="K59" s="15" t="str">
        <f>IF(ClientDB[[#This Row],[Start Date]]&gt;=$U$14,"New","")</f>
        <v>New</v>
      </c>
      <c r="L59" s="15" t="str">
        <f>IF(AND(ClientDB[[#This Row],[Start Year]]&lt;2016,ClientDB[[#This Row],[Events]]&gt;=6),"Gift","")</f>
        <v/>
      </c>
      <c r="M5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59" s="15">
        <v>3</v>
      </c>
      <c r="O59" s="32">
        <f>ClientDB[[#This Row],[Days]]*IF(ClientDB[[#This Row],[Days]]&gt;1,$V$8,$V$7)</f>
        <v>900</v>
      </c>
      <c r="P5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59" s="15" t="s">
        <v>901</v>
      </c>
      <c r="R59" s="15" t="str">
        <f>INDEX(seat_table,MATCH(ClientDB[[#This Row],[Country Code]],seat_country_code,0),MATCH(ClientDB[[#This Row],[Meal]],meal,0))</f>
        <v>D</v>
      </c>
    </row>
    <row r="60" spans="1:18" x14ac:dyDescent="0.25">
      <c r="A60" s="10">
        <v>14279</v>
      </c>
      <c r="B60" t="s">
        <v>434</v>
      </c>
      <c r="C60" t="s">
        <v>435</v>
      </c>
      <c r="D60" s="18">
        <v>42962</v>
      </c>
      <c r="E60" s="10">
        <f>YEAR(ClientDB[[#This Row],[Start Date]])</f>
        <v>2017</v>
      </c>
      <c r="F60" t="s">
        <v>838</v>
      </c>
      <c r="G60" t="str">
        <f>VLOOKUP(ClientDB[[#This Row],[Org Code]],organization_table[],2)</f>
        <v>xLAN Internet Exchange</v>
      </c>
      <c r="H60" s="10" t="s">
        <v>7</v>
      </c>
      <c r="I60" s="10" t="str">
        <f>INDEX(Country,MATCH(ClientDB[[#This Row],[Country Code]],Country_Codes,0),1)</f>
        <v>Iran</v>
      </c>
      <c r="J60" s="15">
        <v>5</v>
      </c>
      <c r="K60" s="15" t="str">
        <f>IF(ClientDB[[#This Row],[Start Date]]&gt;=$U$14,"New","")</f>
        <v/>
      </c>
      <c r="L60" s="15" t="str">
        <f>IF(AND(ClientDB[[#This Row],[Start Year]]&lt;2016,ClientDB[[#This Row],[Events]]&gt;=6),"Gift","")</f>
        <v/>
      </c>
      <c r="M6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60" s="15">
        <v>1</v>
      </c>
      <c r="O60" s="32">
        <f>ClientDB[[#This Row],[Days]]*IF(ClientDB[[#This Row],[Days]]&gt;1,$V$8,$V$7)</f>
        <v>350</v>
      </c>
      <c r="P6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60" s="15" t="s">
        <v>901</v>
      </c>
      <c r="R60" s="15" t="str">
        <f>INDEX(seat_table,MATCH(ClientDB[[#This Row],[Country Code]],seat_country_code,0),MATCH(ClientDB[[#This Row],[Meal]],meal,0))</f>
        <v>F</v>
      </c>
    </row>
    <row r="61" spans="1:18" x14ac:dyDescent="0.25">
      <c r="A61" s="10">
        <v>14484</v>
      </c>
      <c r="B61" t="s">
        <v>499</v>
      </c>
      <c r="C61" t="s">
        <v>500</v>
      </c>
      <c r="D61" s="18">
        <v>42640</v>
      </c>
      <c r="E61" s="10">
        <f>YEAR(ClientDB[[#This Row],[Start Date]])</f>
        <v>2016</v>
      </c>
      <c r="F61" t="s">
        <v>827</v>
      </c>
      <c r="G61" t="str">
        <f>VLOOKUP(ClientDB[[#This Row],[Org Code]],organization_table[],2)</f>
        <v>Ripple Com</v>
      </c>
      <c r="H61" s="10" t="s">
        <v>15</v>
      </c>
      <c r="I61" s="10" t="str">
        <f>INDEX(Country,MATCH(ClientDB[[#This Row],[Country Code]],Country_Codes,0),1)</f>
        <v>United Kingdom</v>
      </c>
      <c r="J61" s="15">
        <v>18</v>
      </c>
      <c r="K61" s="15" t="str">
        <f>IF(ClientDB[[#This Row],[Start Date]]&gt;=$U$14,"New","")</f>
        <v/>
      </c>
      <c r="L61" s="15" t="str">
        <f>IF(AND(ClientDB[[#This Row],[Start Year]]&lt;2016,ClientDB[[#This Row],[Events]]&gt;=6),"Gift","")</f>
        <v/>
      </c>
      <c r="M6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61" s="15">
        <v>3</v>
      </c>
      <c r="O61" s="32">
        <f>ClientDB[[#This Row],[Days]]*IF(ClientDB[[#This Row],[Days]]&gt;1,$V$8,$V$7)</f>
        <v>900</v>
      </c>
      <c r="P6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61" s="15" t="s">
        <v>902</v>
      </c>
      <c r="R61" s="15" t="str">
        <f>INDEX(seat_table,MATCH(ClientDB[[#This Row],[Country Code]],seat_country_code,0),MATCH(ClientDB[[#This Row],[Meal]],meal,0))</f>
        <v>B</v>
      </c>
    </row>
    <row r="62" spans="1:18" x14ac:dyDescent="0.25">
      <c r="A62" s="10">
        <v>14486</v>
      </c>
      <c r="B62" t="s">
        <v>618</v>
      </c>
      <c r="C62" t="s">
        <v>619</v>
      </c>
      <c r="D62" s="18">
        <v>43855</v>
      </c>
      <c r="E62" s="10">
        <f>YEAR(ClientDB[[#This Row],[Start Date]])</f>
        <v>2020</v>
      </c>
      <c r="F62" t="s">
        <v>830</v>
      </c>
      <c r="G62" t="str">
        <f>VLOOKUP(ClientDB[[#This Row],[Org Code]],organization_table[],2)</f>
        <v>Steps IT Training</v>
      </c>
      <c r="H62" s="10" t="s">
        <v>274</v>
      </c>
      <c r="I62" s="10" t="str">
        <f>INDEX(Country,MATCH(ClientDB[[#This Row],[Country Code]],Country_Codes,0),1)</f>
        <v>Spain</v>
      </c>
      <c r="J62" s="15">
        <v>3</v>
      </c>
      <c r="K62" s="15" t="str">
        <f>IF(ClientDB[[#This Row],[Start Date]]&gt;=$U$14,"New","")</f>
        <v>New</v>
      </c>
      <c r="L62" s="15" t="str">
        <f>IF(AND(ClientDB[[#This Row],[Start Year]]&lt;2016,ClientDB[[#This Row],[Events]]&gt;=6),"Gift","")</f>
        <v/>
      </c>
      <c r="M6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62" s="15">
        <v>3</v>
      </c>
      <c r="O62" s="32">
        <f>ClientDB[[#This Row],[Days]]*IF(ClientDB[[#This Row],[Days]]&gt;1,$V$8,$V$7)</f>
        <v>900</v>
      </c>
      <c r="P6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62" s="15" t="s">
        <v>901</v>
      </c>
      <c r="R62" s="15" t="str">
        <f>INDEX(seat_table,MATCH(ClientDB[[#This Row],[Country Code]],seat_country_code,0),MATCH(ClientDB[[#This Row],[Meal]],meal,0))</f>
        <v>D</v>
      </c>
    </row>
    <row r="63" spans="1:18" x14ac:dyDescent="0.25">
      <c r="A63" s="10">
        <v>14504</v>
      </c>
      <c r="B63" t="s">
        <v>378</v>
      </c>
      <c r="C63" t="s">
        <v>379</v>
      </c>
      <c r="D63" s="18">
        <v>43369</v>
      </c>
      <c r="E63" s="10">
        <f>YEAR(ClientDB[[#This Row],[Start Date]])</f>
        <v>2018</v>
      </c>
      <c r="F63" t="s">
        <v>832</v>
      </c>
      <c r="G63" t="str">
        <f>VLOOKUP(ClientDB[[#This Row],[Org Code]],organization_table[],2)</f>
        <v>TQ Processes</v>
      </c>
      <c r="H63" s="10" t="s">
        <v>38</v>
      </c>
      <c r="I63" s="10" t="str">
        <f>INDEX(Country,MATCH(ClientDB[[#This Row],[Country Code]],Country_Codes,0),1)</f>
        <v>Czech Republic</v>
      </c>
      <c r="J63" s="15">
        <v>11</v>
      </c>
      <c r="K63" s="15" t="str">
        <f>IF(ClientDB[[#This Row],[Start Date]]&gt;=$U$14,"New","")</f>
        <v/>
      </c>
      <c r="L63" s="15" t="str">
        <f>IF(AND(ClientDB[[#This Row],[Start Year]]&lt;2016,ClientDB[[#This Row],[Events]]&gt;=6),"Gift","")</f>
        <v/>
      </c>
      <c r="M6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63" s="15">
        <v>2</v>
      </c>
      <c r="O63" s="32">
        <f>ClientDB[[#This Row],[Days]]*IF(ClientDB[[#This Row],[Days]]&gt;1,$V$8,$V$7)</f>
        <v>600</v>
      </c>
      <c r="P6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63" s="15" t="s">
        <v>899</v>
      </c>
      <c r="R63" s="15" t="str">
        <f>INDEX(seat_table,MATCH(ClientDB[[#This Row],[Country Code]],seat_country_code,0),MATCH(ClientDB[[#This Row],[Meal]],meal,0))</f>
        <v>A</v>
      </c>
    </row>
    <row r="64" spans="1:18" x14ac:dyDescent="0.25">
      <c r="A64" s="10">
        <v>14515</v>
      </c>
      <c r="B64" t="s">
        <v>237</v>
      </c>
      <c r="C64" t="s">
        <v>238</v>
      </c>
      <c r="D64" s="18">
        <v>43615</v>
      </c>
      <c r="E64" s="10">
        <f>YEAR(ClientDB[[#This Row],[Start Date]])</f>
        <v>2019</v>
      </c>
      <c r="F64" t="s">
        <v>820</v>
      </c>
      <c r="G64" t="str">
        <f>VLOOKUP(ClientDB[[#This Row],[Org Code]],organization_table[],2)</f>
        <v>Oglev</v>
      </c>
      <c r="H64" s="10" t="s">
        <v>239</v>
      </c>
      <c r="I64" s="10" t="str">
        <f>INDEX(Country,MATCH(ClientDB[[#This Row],[Country Code]],Country_Codes,0),1)</f>
        <v>Switzerland</v>
      </c>
      <c r="J64" s="15">
        <v>5</v>
      </c>
      <c r="K64" s="15" t="str">
        <f>IF(ClientDB[[#This Row],[Start Date]]&gt;=$U$14,"New","")</f>
        <v/>
      </c>
      <c r="L64" s="15" t="str">
        <f>IF(AND(ClientDB[[#This Row],[Start Year]]&lt;2016,ClientDB[[#This Row],[Events]]&gt;=6),"Gift","")</f>
        <v/>
      </c>
      <c r="M6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64" s="15">
        <v>1</v>
      </c>
      <c r="O64" s="32">
        <f>ClientDB[[#This Row],[Days]]*IF(ClientDB[[#This Row],[Days]]&gt;1,$V$8,$V$7)</f>
        <v>350</v>
      </c>
      <c r="P6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64" s="15" t="s">
        <v>901</v>
      </c>
      <c r="R64" s="15" t="str">
        <f>INDEX(seat_table,MATCH(ClientDB[[#This Row],[Country Code]],seat_country_code,0),MATCH(ClientDB[[#This Row],[Meal]],meal,0))</f>
        <v>D</v>
      </c>
    </row>
    <row r="65" spans="1:18" x14ac:dyDescent="0.25">
      <c r="A65" s="10">
        <v>14530</v>
      </c>
      <c r="B65" t="s">
        <v>633</v>
      </c>
      <c r="C65" t="s">
        <v>634</v>
      </c>
      <c r="D65" s="18">
        <v>41530</v>
      </c>
      <c r="E65" s="10">
        <f>YEAR(ClientDB[[#This Row],[Start Date]])</f>
        <v>2013</v>
      </c>
      <c r="F65" t="s">
        <v>817</v>
      </c>
      <c r="G65" t="str">
        <f>VLOOKUP(ClientDB[[#This Row],[Org Code]],organization_table[],2)</f>
        <v>LACNE</v>
      </c>
      <c r="H65" s="10" t="s">
        <v>15</v>
      </c>
      <c r="I65" s="10" t="str">
        <f>INDEX(Country,MATCH(ClientDB[[#This Row],[Country Code]],Country_Codes,0),1)</f>
        <v>United Kingdom</v>
      </c>
      <c r="J65" s="15">
        <v>36</v>
      </c>
      <c r="K65" s="15" t="str">
        <f>IF(ClientDB[[#This Row],[Start Date]]&gt;=$U$14,"New","")</f>
        <v/>
      </c>
      <c r="L65" s="15" t="str">
        <f>IF(AND(ClientDB[[#This Row],[Start Year]]&lt;2016,ClientDB[[#This Row],[Events]]&gt;=6),"Gift","")</f>
        <v>Gift</v>
      </c>
      <c r="M6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Platinum</v>
      </c>
      <c r="N65" s="15">
        <v>1</v>
      </c>
      <c r="O65" s="32">
        <f>ClientDB[[#This Row],[Days]]*IF(ClientDB[[#This Row],[Days]]&gt;1,$V$8,$V$7)</f>
        <v>350</v>
      </c>
      <c r="P6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65" s="15" t="s">
        <v>901</v>
      </c>
      <c r="R65" s="15" t="str">
        <f>INDEX(seat_table,MATCH(ClientDB[[#This Row],[Country Code]],seat_country_code,0),MATCH(ClientDB[[#This Row],[Meal]],meal,0))</f>
        <v>E</v>
      </c>
    </row>
    <row r="66" spans="1:18" x14ac:dyDescent="0.25">
      <c r="A66" s="10">
        <v>14621</v>
      </c>
      <c r="B66" t="s">
        <v>122</v>
      </c>
      <c r="C66" t="s">
        <v>123</v>
      </c>
      <c r="D66" s="18">
        <v>43720</v>
      </c>
      <c r="E66" s="10">
        <f>YEAR(ClientDB[[#This Row],[Start Date]])</f>
        <v>2019</v>
      </c>
      <c r="F66" t="s">
        <v>827</v>
      </c>
      <c r="G66" t="str">
        <f>VLOOKUP(ClientDB[[#This Row],[Org Code]],organization_table[],2)</f>
        <v>Ripple Com</v>
      </c>
      <c r="H66" s="10" t="s">
        <v>124</v>
      </c>
      <c r="I66" s="10" t="str">
        <f>INDEX(Country,MATCH(ClientDB[[#This Row],[Country Code]],Country_Codes,0),1)</f>
        <v>Lebanon</v>
      </c>
      <c r="J66" s="15">
        <v>8</v>
      </c>
      <c r="K66" s="15" t="str">
        <f>IF(ClientDB[[#This Row],[Start Date]]&gt;=$U$14,"New","")</f>
        <v/>
      </c>
      <c r="L66" s="15" t="str">
        <f>IF(AND(ClientDB[[#This Row],[Start Year]]&lt;2016,ClientDB[[#This Row],[Events]]&gt;=6),"Gift","")</f>
        <v/>
      </c>
      <c r="M6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66" s="15">
        <v>2</v>
      </c>
      <c r="O66" s="32">
        <f>ClientDB[[#This Row],[Days]]*IF(ClientDB[[#This Row],[Days]]&gt;1,$V$8,$V$7)</f>
        <v>600</v>
      </c>
      <c r="P6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66" s="15" t="s">
        <v>899</v>
      </c>
      <c r="R66" s="15" t="str">
        <f>INDEX(seat_table,MATCH(ClientDB[[#This Row],[Country Code]],seat_country_code,0),MATCH(ClientDB[[#This Row],[Meal]],meal,0))</f>
        <v>B</v>
      </c>
    </row>
    <row r="67" spans="1:18" x14ac:dyDescent="0.25">
      <c r="A67" s="10">
        <v>14634</v>
      </c>
      <c r="B67" t="s">
        <v>534</v>
      </c>
      <c r="C67" t="s">
        <v>535</v>
      </c>
      <c r="D67" s="18">
        <v>43151</v>
      </c>
      <c r="E67" s="10">
        <f>YEAR(ClientDB[[#This Row],[Start Date]])</f>
        <v>2018</v>
      </c>
      <c r="F67" t="s">
        <v>823</v>
      </c>
      <c r="G67" t="str">
        <f>VLOOKUP(ClientDB[[#This Row],[Org Code]],organization_table[],2)</f>
        <v>Pink Cloud Networks</v>
      </c>
      <c r="H67" s="10" t="s">
        <v>34</v>
      </c>
      <c r="I67" s="10" t="str">
        <f>INDEX(Country,MATCH(ClientDB[[#This Row],[Country Code]],Country_Codes,0),1)</f>
        <v>United States</v>
      </c>
      <c r="J67" s="15">
        <v>4</v>
      </c>
      <c r="K67" s="15" t="str">
        <f>IF(ClientDB[[#This Row],[Start Date]]&gt;=$U$14,"New","")</f>
        <v/>
      </c>
      <c r="L67" s="15" t="str">
        <f>IF(AND(ClientDB[[#This Row],[Start Year]]&lt;2016,ClientDB[[#This Row],[Events]]&gt;=6),"Gift","")</f>
        <v/>
      </c>
      <c r="M6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67" s="15">
        <v>2</v>
      </c>
      <c r="O67" s="32">
        <f>ClientDB[[#This Row],[Days]]*IF(ClientDB[[#This Row],[Days]]&gt;1,$V$8,$V$7)</f>
        <v>600</v>
      </c>
      <c r="P6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67" s="15" t="s">
        <v>901</v>
      </c>
      <c r="R67" s="15" t="str">
        <f>INDEX(seat_table,MATCH(ClientDB[[#This Row],[Country Code]],seat_country_code,0),MATCH(ClientDB[[#This Row],[Meal]],meal,0))</f>
        <v>G</v>
      </c>
    </row>
    <row r="68" spans="1:18" x14ac:dyDescent="0.25">
      <c r="A68" s="10">
        <v>14675</v>
      </c>
      <c r="B68" t="s">
        <v>234</v>
      </c>
      <c r="C68" t="s">
        <v>235</v>
      </c>
      <c r="D68" s="18">
        <v>43871</v>
      </c>
      <c r="E68" s="10">
        <f>YEAR(ClientDB[[#This Row],[Start Date]])</f>
        <v>2020</v>
      </c>
      <c r="F68" t="s">
        <v>832</v>
      </c>
      <c r="G68" t="str">
        <f>VLOOKUP(ClientDB[[#This Row],[Org Code]],organization_table[],2)</f>
        <v>TQ Processes</v>
      </c>
      <c r="H68" s="10" t="s">
        <v>34</v>
      </c>
      <c r="I68" s="10" t="str">
        <f>INDEX(Country,MATCH(ClientDB[[#This Row],[Country Code]],Country_Codes,0),1)</f>
        <v>United States</v>
      </c>
      <c r="J68" s="15">
        <v>1</v>
      </c>
      <c r="K68" s="15" t="str">
        <f>IF(ClientDB[[#This Row],[Start Date]]&gt;=$U$14,"New","")</f>
        <v>New</v>
      </c>
      <c r="L68" s="15" t="str">
        <f>IF(AND(ClientDB[[#This Row],[Start Year]]&lt;2016,ClientDB[[#This Row],[Events]]&gt;=6),"Gift","")</f>
        <v/>
      </c>
      <c r="M6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68" s="15">
        <v>2</v>
      </c>
      <c r="O68" s="32">
        <f>ClientDB[[#This Row],[Days]]*IF(ClientDB[[#This Row],[Days]]&gt;1,$V$8,$V$7)</f>
        <v>600</v>
      </c>
      <c r="P6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68" s="15" t="s">
        <v>902</v>
      </c>
      <c r="R68" s="15" t="str">
        <f>INDEX(seat_table,MATCH(ClientDB[[#This Row],[Country Code]],seat_country_code,0),MATCH(ClientDB[[#This Row],[Meal]],meal,0))</f>
        <v>F</v>
      </c>
    </row>
    <row r="69" spans="1:18" x14ac:dyDescent="0.25">
      <c r="A69" s="10">
        <v>15000</v>
      </c>
      <c r="B69" t="s">
        <v>57</v>
      </c>
      <c r="C69" t="s">
        <v>58</v>
      </c>
      <c r="D69" s="18">
        <v>43970</v>
      </c>
      <c r="E69" s="10">
        <f>YEAR(ClientDB[[#This Row],[Start Date]])</f>
        <v>2020</v>
      </c>
      <c r="F69" t="s">
        <v>824</v>
      </c>
      <c r="G69" t="str">
        <f>VLOOKUP(ClientDB[[#This Row],[Org Code]],organization_table[],2)</f>
        <v>Pink Cloud Networks</v>
      </c>
      <c r="H69" s="10" t="s">
        <v>59</v>
      </c>
      <c r="I69" s="10" t="str">
        <f>INDEX(Country,MATCH(ClientDB[[#This Row],[Country Code]],Country_Codes,0),1)</f>
        <v>Netherlands</v>
      </c>
      <c r="J69" s="15">
        <v>3</v>
      </c>
      <c r="K69" s="15" t="str">
        <f>IF(ClientDB[[#This Row],[Start Date]]&gt;=$U$14,"New","")</f>
        <v>New</v>
      </c>
      <c r="L69" s="15" t="str">
        <f>IF(AND(ClientDB[[#This Row],[Start Year]]&lt;2016,ClientDB[[#This Row],[Events]]&gt;=6),"Gift","")</f>
        <v/>
      </c>
      <c r="M6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69" s="15">
        <v>2</v>
      </c>
      <c r="O69" s="32">
        <f>ClientDB[[#This Row],[Days]]*IF(ClientDB[[#This Row],[Days]]&gt;1,$V$8,$V$7)</f>
        <v>600</v>
      </c>
      <c r="P6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69" s="15" t="s">
        <v>902</v>
      </c>
      <c r="R69" s="15" t="str">
        <f>INDEX(seat_table,MATCH(ClientDB[[#This Row],[Country Code]],seat_country_code,0),MATCH(ClientDB[[#This Row],[Meal]],meal,0))</f>
        <v>C</v>
      </c>
    </row>
    <row r="70" spans="1:18" x14ac:dyDescent="0.25">
      <c r="A70" s="10">
        <v>15111</v>
      </c>
      <c r="B70" t="s">
        <v>683</v>
      </c>
      <c r="C70" t="s">
        <v>684</v>
      </c>
      <c r="D70" s="18">
        <v>42411</v>
      </c>
      <c r="E70" s="10">
        <f>YEAR(ClientDB[[#This Row],[Start Date]])</f>
        <v>2016</v>
      </c>
      <c r="F70" t="s">
        <v>807</v>
      </c>
      <c r="G70" t="str">
        <f>VLOOKUP(ClientDB[[#This Row],[Org Code]],organization_table[],2)</f>
        <v>Duet</v>
      </c>
      <c r="H70" s="10" t="s">
        <v>685</v>
      </c>
      <c r="I70" s="10" t="str">
        <f>INDEX(Country,MATCH(ClientDB[[#This Row],[Country Code]],Country_Codes,0),1)</f>
        <v>Sudan</v>
      </c>
      <c r="J70" s="15">
        <v>34</v>
      </c>
      <c r="K70" s="15" t="str">
        <f>IF(ClientDB[[#This Row],[Start Date]]&gt;=$U$14,"New","")</f>
        <v/>
      </c>
      <c r="L70" s="15" t="str">
        <f>IF(AND(ClientDB[[#This Row],[Start Year]]&lt;2016,ClientDB[[#This Row],[Events]]&gt;=6),"Gift","")</f>
        <v/>
      </c>
      <c r="M7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Platinum</v>
      </c>
      <c r="N70" s="15">
        <v>2</v>
      </c>
      <c r="O70" s="32">
        <f>ClientDB[[#This Row],[Days]]*IF(ClientDB[[#This Row],[Days]]&gt;1,$V$8,$V$7)</f>
        <v>600</v>
      </c>
      <c r="P7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70" s="15" t="s">
        <v>902</v>
      </c>
      <c r="R70" s="15" t="str">
        <f>INDEX(seat_table,MATCH(ClientDB[[#This Row],[Country Code]],seat_country_code,0),MATCH(ClientDB[[#This Row],[Meal]],meal,0))</f>
        <v>C</v>
      </c>
    </row>
    <row r="71" spans="1:18" x14ac:dyDescent="0.25">
      <c r="A71" s="10">
        <v>15212</v>
      </c>
      <c r="B71" t="s">
        <v>244</v>
      </c>
      <c r="C71" t="s">
        <v>245</v>
      </c>
      <c r="D71" s="18">
        <v>43869</v>
      </c>
      <c r="E71" s="10">
        <f>YEAR(ClientDB[[#This Row],[Start Date]])</f>
        <v>2020</v>
      </c>
      <c r="F71" t="s">
        <v>827</v>
      </c>
      <c r="G71" t="str">
        <f>VLOOKUP(ClientDB[[#This Row],[Org Code]],organization_table[],2)</f>
        <v>Ripple Com</v>
      </c>
      <c r="H71" s="10" t="s">
        <v>15</v>
      </c>
      <c r="I71" s="10" t="str">
        <f>INDEX(Country,MATCH(ClientDB[[#This Row],[Country Code]],Country_Codes,0),1)</f>
        <v>United Kingdom</v>
      </c>
      <c r="J71" s="15">
        <v>3</v>
      </c>
      <c r="K71" s="15" t="str">
        <f>IF(ClientDB[[#This Row],[Start Date]]&gt;=$U$14,"New","")</f>
        <v>New</v>
      </c>
      <c r="L71" s="15" t="str">
        <f>IF(AND(ClientDB[[#This Row],[Start Year]]&lt;2016,ClientDB[[#This Row],[Events]]&gt;=6),"Gift","")</f>
        <v/>
      </c>
      <c r="M7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1" s="15">
        <v>2</v>
      </c>
      <c r="O71" s="32">
        <f>ClientDB[[#This Row],[Days]]*IF(ClientDB[[#This Row],[Days]]&gt;1,$V$8,$V$7)</f>
        <v>600</v>
      </c>
      <c r="P7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71" s="15" t="s">
        <v>899</v>
      </c>
      <c r="R71" s="15" t="str">
        <f>INDEX(seat_table,MATCH(ClientDB[[#This Row],[Country Code]],seat_country_code,0),MATCH(ClientDB[[#This Row],[Meal]],meal,0))</f>
        <v>A</v>
      </c>
    </row>
    <row r="72" spans="1:18" x14ac:dyDescent="0.25">
      <c r="A72" s="10">
        <v>15232</v>
      </c>
      <c r="B72" t="s">
        <v>35</v>
      </c>
      <c r="C72" t="s">
        <v>169</v>
      </c>
      <c r="D72" s="18">
        <v>43045</v>
      </c>
      <c r="E72" s="10">
        <f>YEAR(ClientDB[[#This Row],[Start Date]])</f>
        <v>2017</v>
      </c>
      <c r="F72" t="s">
        <v>814</v>
      </c>
      <c r="G72" t="str">
        <f>VLOOKUP(ClientDB[[#This Row],[Org Code]],organization_table[],2)</f>
        <v>IPI Bucharest</v>
      </c>
      <c r="H72" s="10" t="s">
        <v>26</v>
      </c>
      <c r="I72" s="10" t="str">
        <f>INDEX(Country,MATCH(ClientDB[[#This Row],[Country Code]],Country_Codes,0),1)</f>
        <v>Ukraine</v>
      </c>
      <c r="J72" s="15">
        <v>4</v>
      </c>
      <c r="K72" s="15" t="str">
        <f>IF(ClientDB[[#This Row],[Start Date]]&gt;=$U$14,"New","")</f>
        <v/>
      </c>
      <c r="L72" s="15" t="str">
        <f>IF(AND(ClientDB[[#This Row],[Start Year]]&lt;2016,ClientDB[[#This Row],[Events]]&gt;=6),"Gift","")</f>
        <v/>
      </c>
      <c r="M7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2" s="15">
        <v>2</v>
      </c>
      <c r="O72" s="32">
        <f>ClientDB[[#This Row],[Days]]*IF(ClientDB[[#This Row],[Days]]&gt;1,$V$8,$V$7)</f>
        <v>600</v>
      </c>
      <c r="P7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72" s="15" t="s">
        <v>901</v>
      </c>
      <c r="R72" s="15" t="str">
        <f>INDEX(seat_table,MATCH(ClientDB[[#This Row],[Country Code]],seat_country_code,0),MATCH(ClientDB[[#This Row],[Meal]],meal,0))</f>
        <v>G</v>
      </c>
    </row>
    <row r="73" spans="1:18" x14ac:dyDescent="0.25">
      <c r="A73" s="10">
        <v>15266</v>
      </c>
      <c r="B73" t="s">
        <v>548</v>
      </c>
      <c r="C73" t="s">
        <v>549</v>
      </c>
      <c r="D73" s="18">
        <v>43883</v>
      </c>
      <c r="E73" s="10">
        <f>YEAR(ClientDB[[#This Row],[Start Date]])</f>
        <v>2020</v>
      </c>
      <c r="F73" t="s">
        <v>807</v>
      </c>
      <c r="G73" t="str">
        <f>VLOOKUP(ClientDB[[#This Row],[Org Code]],organization_table[],2)</f>
        <v>Duet</v>
      </c>
      <c r="H73" s="10" t="s">
        <v>155</v>
      </c>
      <c r="I73" s="10" t="str">
        <f>INDEX(Country,MATCH(ClientDB[[#This Row],[Country Code]],Country_Codes,0),1)</f>
        <v>United Arab Emirates</v>
      </c>
      <c r="J73" s="15">
        <v>5</v>
      </c>
      <c r="K73" s="15" t="str">
        <f>IF(ClientDB[[#This Row],[Start Date]]&gt;=$U$14,"New","")</f>
        <v>New</v>
      </c>
      <c r="L73" s="15" t="str">
        <f>IF(AND(ClientDB[[#This Row],[Start Year]]&lt;2016,ClientDB[[#This Row],[Events]]&gt;=6),"Gift","")</f>
        <v/>
      </c>
      <c r="M7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3" s="15">
        <v>3</v>
      </c>
      <c r="O73" s="32">
        <f>ClientDB[[#This Row],[Days]]*IF(ClientDB[[#This Row],[Days]]&gt;1,$V$8,$V$7)</f>
        <v>900</v>
      </c>
      <c r="P7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73" s="15" t="s">
        <v>901</v>
      </c>
      <c r="R73" s="15" t="str">
        <f>INDEX(seat_table,MATCH(ClientDB[[#This Row],[Country Code]],seat_country_code,0),MATCH(ClientDB[[#This Row],[Meal]],meal,0))</f>
        <v>D</v>
      </c>
    </row>
    <row r="74" spans="1:18" x14ac:dyDescent="0.25">
      <c r="A74" s="10">
        <v>15329</v>
      </c>
      <c r="B74" t="s">
        <v>132</v>
      </c>
      <c r="C74" t="s">
        <v>133</v>
      </c>
      <c r="D74" s="18">
        <v>44049</v>
      </c>
      <c r="E74" s="10">
        <f>YEAR(ClientDB[[#This Row],[Start Date]])</f>
        <v>2020</v>
      </c>
      <c r="F74" t="s">
        <v>839</v>
      </c>
      <c r="G74" t="str">
        <f>VLOOKUP(ClientDB[[#This Row],[Org Code]],organization_table[],2)</f>
        <v>Zconnect, Inc</v>
      </c>
      <c r="H74" s="10" t="s">
        <v>26</v>
      </c>
      <c r="I74" s="10" t="str">
        <f>INDEX(Country,MATCH(ClientDB[[#This Row],[Country Code]],Country_Codes,0),1)</f>
        <v>Ukraine</v>
      </c>
      <c r="J74" s="15">
        <v>1</v>
      </c>
      <c r="K74" s="15" t="str">
        <f>IF(ClientDB[[#This Row],[Start Date]]&gt;=$U$14,"New","")</f>
        <v>New</v>
      </c>
      <c r="L74" s="15" t="str">
        <f>IF(AND(ClientDB[[#This Row],[Start Year]]&lt;2016,ClientDB[[#This Row],[Events]]&gt;=6),"Gift","")</f>
        <v/>
      </c>
      <c r="M7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4" s="15">
        <v>2</v>
      </c>
      <c r="O74" s="32">
        <f>ClientDB[[#This Row],[Days]]*IF(ClientDB[[#This Row],[Days]]&gt;1,$V$8,$V$7)</f>
        <v>600</v>
      </c>
      <c r="P7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74" s="15" t="s">
        <v>899</v>
      </c>
      <c r="R74" s="15" t="str">
        <f>INDEX(seat_table,MATCH(ClientDB[[#This Row],[Country Code]],seat_country_code,0),MATCH(ClientDB[[#This Row],[Meal]],meal,0))</f>
        <v>B</v>
      </c>
    </row>
    <row r="75" spans="1:18" x14ac:dyDescent="0.25">
      <c r="A75" s="10">
        <v>15378</v>
      </c>
      <c r="B75" t="s">
        <v>430</v>
      </c>
      <c r="C75" t="s">
        <v>431</v>
      </c>
      <c r="D75" s="18">
        <v>44035</v>
      </c>
      <c r="E75" s="10">
        <f>YEAR(ClientDB[[#This Row],[Start Date]])</f>
        <v>2020</v>
      </c>
      <c r="F75" t="s">
        <v>839</v>
      </c>
      <c r="G75" t="str">
        <f>VLOOKUP(ClientDB[[#This Row],[Org Code]],organization_table[],2)</f>
        <v>Zconnect, Inc</v>
      </c>
      <c r="H75" s="10" t="s">
        <v>54</v>
      </c>
      <c r="I75" s="10" t="str">
        <f>INDEX(Country,MATCH(ClientDB[[#This Row],[Country Code]],Country_Codes,0),1)</f>
        <v>Romania</v>
      </c>
      <c r="J75" s="15">
        <v>2</v>
      </c>
      <c r="K75" s="15" t="str">
        <f>IF(ClientDB[[#This Row],[Start Date]]&gt;=$U$14,"New","")</f>
        <v>New</v>
      </c>
      <c r="L75" s="15" t="str">
        <f>IF(AND(ClientDB[[#This Row],[Start Year]]&lt;2016,ClientDB[[#This Row],[Events]]&gt;=6),"Gift","")</f>
        <v/>
      </c>
      <c r="M7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5" s="15">
        <v>3</v>
      </c>
      <c r="O75" s="32">
        <f>ClientDB[[#This Row],[Days]]*IF(ClientDB[[#This Row],[Days]]&gt;1,$V$8,$V$7)</f>
        <v>900</v>
      </c>
      <c r="P7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75" s="15" t="s">
        <v>901</v>
      </c>
      <c r="R75" s="15" t="str">
        <f>INDEX(seat_table,MATCH(ClientDB[[#This Row],[Country Code]],seat_country_code,0),MATCH(ClientDB[[#This Row],[Meal]],meal,0))</f>
        <v>G</v>
      </c>
    </row>
    <row r="76" spans="1:18" x14ac:dyDescent="0.25">
      <c r="A76" s="10">
        <v>15458</v>
      </c>
      <c r="B76" t="s">
        <v>31</v>
      </c>
      <c r="C76" t="s">
        <v>32</v>
      </c>
      <c r="D76" s="18">
        <v>43359</v>
      </c>
      <c r="E76" s="10">
        <f>YEAR(ClientDB[[#This Row],[Start Date]])</f>
        <v>2018</v>
      </c>
      <c r="F76" t="s">
        <v>795</v>
      </c>
      <c r="G76" t="str">
        <f>VLOOKUP(ClientDB[[#This Row],[Org Code]],organization_table[],2)</f>
        <v>AHA Networks</v>
      </c>
      <c r="H76" s="10" t="s">
        <v>34</v>
      </c>
      <c r="I76" s="10" t="str">
        <f>INDEX(Country,MATCH(ClientDB[[#This Row],[Country Code]],Country_Codes,0),1)</f>
        <v>United States</v>
      </c>
      <c r="J76" s="15">
        <v>13</v>
      </c>
      <c r="K76" s="15" t="str">
        <f>IF(ClientDB[[#This Row],[Start Date]]&gt;=$U$14,"New","")</f>
        <v/>
      </c>
      <c r="L76" s="15" t="str">
        <f>IF(AND(ClientDB[[#This Row],[Start Year]]&lt;2016,ClientDB[[#This Row],[Events]]&gt;=6),"Gift","")</f>
        <v/>
      </c>
      <c r="M7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76" s="15">
        <v>1</v>
      </c>
      <c r="O76" s="32">
        <f>ClientDB[[#This Row],[Days]]*IF(ClientDB[[#This Row],[Days]]&gt;1,$V$8,$V$7)</f>
        <v>350</v>
      </c>
      <c r="P7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76" s="15" t="s">
        <v>902</v>
      </c>
      <c r="R76" s="15" t="str">
        <f>INDEX(seat_table,MATCH(ClientDB[[#This Row],[Country Code]],seat_country_code,0),MATCH(ClientDB[[#This Row],[Meal]],meal,0))</f>
        <v>F</v>
      </c>
    </row>
    <row r="77" spans="1:18" x14ac:dyDescent="0.25">
      <c r="A77" s="10">
        <v>15513</v>
      </c>
      <c r="B77" t="s">
        <v>672</v>
      </c>
      <c r="C77" t="s">
        <v>673</v>
      </c>
      <c r="D77" s="18">
        <v>43518</v>
      </c>
      <c r="E77" s="10">
        <f>YEAR(ClientDB[[#This Row],[Start Date]])</f>
        <v>2019</v>
      </c>
      <c r="F77" t="s">
        <v>830</v>
      </c>
      <c r="G77" t="str">
        <f>VLOOKUP(ClientDB[[#This Row],[Org Code]],organization_table[],2)</f>
        <v>Steps IT Training</v>
      </c>
      <c r="H77" s="10" t="s">
        <v>396</v>
      </c>
      <c r="I77" s="10" t="str">
        <f>INDEX(Country,MATCH(ClientDB[[#This Row],[Country Code]],Country_Codes,0),1)</f>
        <v>Lithuania</v>
      </c>
      <c r="J77" s="15">
        <v>4</v>
      </c>
      <c r="K77" s="15" t="str">
        <f>IF(ClientDB[[#This Row],[Start Date]]&gt;=$U$14,"New","")</f>
        <v/>
      </c>
      <c r="L77" s="15" t="str">
        <f>IF(AND(ClientDB[[#This Row],[Start Year]]&lt;2016,ClientDB[[#This Row],[Events]]&gt;=6),"Gift","")</f>
        <v/>
      </c>
      <c r="M7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7" s="15">
        <v>3</v>
      </c>
      <c r="O77" s="32">
        <f>ClientDB[[#This Row],[Days]]*IF(ClientDB[[#This Row],[Days]]&gt;1,$V$8,$V$7)</f>
        <v>900</v>
      </c>
      <c r="P7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77" s="15" t="s">
        <v>899</v>
      </c>
      <c r="R77" s="15" t="str">
        <f>INDEX(seat_table,MATCH(ClientDB[[#This Row],[Country Code]],seat_country_code,0),MATCH(ClientDB[[#This Row],[Meal]],meal,0))</f>
        <v>B</v>
      </c>
    </row>
    <row r="78" spans="1:18" x14ac:dyDescent="0.25">
      <c r="A78" s="10">
        <v>15627</v>
      </c>
      <c r="B78" t="s">
        <v>201</v>
      </c>
      <c r="C78" t="s">
        <v>202</v>
      </c>
      <c r="D78" s="18">
        <v>43936</v>
      </c>
      <c r="E78" s="10">
        <f>YEAR(ClientDB[[#This Row],[Start Date]])</f>
        <v>2020</v>
      </c>
      <c r="F78" t="s">
        <v>835</v>
      </c>
      <c r="G78" t="str">
        <f>VLOOKUP(ClientDB[[#This Row],[Org Code]],organization_table[],2)</f>
        <v>WWT</v>
      </c>
      <c r="H78" s="10" t="s">
        <v>203</v>
      </c>
      <c r="I78" s="10" t="str">
        <f>INDEX(Country,MATCH(ClientDB[[#This Row],[Country Code]],Country_Codes,0),1)</f>
        <v>Uganda</v>
      </c>
      <c r="J78" s="15">
        <v>3</v>
      </c>
      <c r="K78" s="15" t="str">
        <f>IF(ClientDB[[#This Row],[Start Date]]&gt;=$U$14,"New","")</f>
        <v>New</v>
      </c>
      <c r="L78" s="15" t="str">
        <f>IF(AND(ClientDB[[#This Row],[Start Year]]&lt;2016,ClientDB[[#This Row],[Events]]&gt;=6),"Gift","")</f>
        <v/>
      </c>
      <c r="M7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8" s="15">
        <v>1</v>
      </c>
      <c r="O78" s="32">
        <f>ClientDB[[#This Row],[Days]]*IF(ClientDB[[#This Row],[Days]]&gt;1,$V$8,$V$7)</f>
        <v>350</v>
      </c>
      <c r="P7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78" s="15" t="s">
        <v>901</v>
      </c>
      <c r="R78" s="15" t="str">
        <f>INDEX(seat_table,MATCH(ClientDB[[#This Row],[Country Code]],seat_country_code,0),MATCH(ClientDB[[#This Row],[Meal]],meal,0))</f>
        <v>G</v>
      </c>
    </row>
    <row r="79" spans="1:18" x14ac:dyDescent="0.25">
      <c r="A79" s="10">
        <v>15663</v>
      </c>
      <c r="B79" t="s">
        <v>312</v>
      </c>
      <c r="C79" t="s">
        <v>313</v>
      </c>
      <c r="D79" s="18">
        <v>43013</v>
      </c>
      <c r="E79" s="10">
        <f>YEAR(ClientDB[[#This Row],[Start Date]])</f>
        <v>2017</v>
      </c>
      <c r="F79" t="s">
        <v>838</v>
      </c>
      <c r="G79" t="str">
        <f>VLOOKUP(ClientDB[[#This Row],[Org Code]],organization_table[],2)</f>
        <v>xLAN Internet Exchange</v>
      </c>
      <c r="H79" s="10" t="s">
        <v>34</v>
      </c>
      <c r="I79" s="10" t="str">
        <f>INDEX(Country,MATCH(ClientDB[[#This Row],[Country Code]],Country_Codes,0),1)</f>
        <v>United States</v>
      </c>
      <c r="J79" s="15">
        <v>5</v>
      </c>
      <c r="K79" s="15" t="str">
        <f>IF(ClientDB[[#This Row],[Start Date]]&gt;=$U$14,"New","")</f>
        <v/>
      </c>
      <c r="L79" s="15" t="str">
        <f>IF(AND(ClientDB[[#This Row],[Start Year]]&lt;2016,ClientDB[[#This Row],[Events]]&gt;=6),"Gift","")</f>
        <v/>
      </c>
      <c r="M7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79" s="15">
        <v>2</v>
      </c>
      <c r="O79" s="32">
        <f>ClientDB[[#This Row],[Days]]*IF(ClientDB[[#This Row],[Days]]&gt;1,$V$8,$V$7)</f>
        <v>600</v>
      </c>
      <c r="P7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79" s="15" t="s">
        <v>901</v>
      </c>
      <c r="R79" s="15" t="str">
        <f>INDEX(seat_table,MATCH(ClientDB[[#This Row],[Country Code]],seat_country_code,0),MATCH(ClientDB[[#This Row],[Meal]],meal,0))</f>
        <v>G</v>
      </c>
    </row>
    <row r="80" spans="1:18" x14ac:dyDescent="0.25">
      <c r="A80" s="10">
        <v>15843</v>
      </c>
      <c r="B80" t="s">
        <v>745</v>
      </c>
      <c r="C80" t="s">
        <v>746</v>
      </c>
      <c r="D80" s="18">
        <v>42305</v>
      </c>
      <c r="E80" s="10">
        <f>YEAR(ClientDB[[#This Row],[Start Date]])</f>
        <v>2015</v>
      </c>
      <c r="F80" t="s">
        <v>840</v>
      </c>
      <c r="G80" t="str">
        <f>VLOOKUP(ClientDB[[#This Row],[Org Code]],organization_table[],2)</f>
        <v>xLAN Internet Exchange</v>
      </c>
      <c r="H80" s="10" t="s">
        <v>340</v>
      </c>
      <c r="I80" s="10" t="str">
        <f>INDEX(Country,MATCH(ClientDB[[#This Row],[Country Code]],Country_Codes,0),1)</f>
        <v>Bulgaria</v>
      </c>
      <c r="J80" s="15">
        <v>10</v>
      </c>
      <c r="K80" s="15" t="str">
        <f>IF(ClientDB[[#This Row],[Start Date]]&gt;=$U$14,"New","")</f>
        <v/>
      </c>
      <c r="L80" s="15" t="str">
        <f>IF(AND(ClientDB[[#This Row],[Start Year]]&lt;2016,ClientDB[[#This Row],[Events]]&gt;=6),"Gift","")</f>
        <v>Gift</v>
      </c>
      <c r="M8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80" s="15">
        <v>1</v>
      </c>
      <c r="O80" s="32">
        <f>ClientDB[[#This Row],[Days]]*IF(ClientDB[[#This Row],[Days]]&gt;1,$V$8,$V$7)</f>
        <v>350</v>
      </c>
      <c r="P8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80" s="15" t="s">
        <v>901</v>
      </c>
      <c r="R80" s="15" t="str">
        <f>INDEX(seat_table,MATCH(ClientDB[[#This Row],[Country Code]],seat_country_code,0),MATCH(ClientDB[[#This Row],[Meal]],meal,0))</f>
        <v>D</v>
      </c>
    </row>
    <row r="81" spans="1:18" x14ac:dyDescent="0.25">
      <c r="A81" s="10">
        <v>15866</v>
      </c>
      <c r="B81" t="s">
        <v>675</v>
      </c>
      <c r="C81" t="s">
        <v>676</v>
      </c>
      <c r="D81" s="18">
        <v>43115</v>
      </c>
      <c r="E81" s="10">
        <f>YEAR(ClientDB[[#This Row],[Start Date]])</f>
        <v>2018</v>
      </c>
      <c r="F81" t="s">
        <v>803</v>
      </c>
      <c r="G81" t="str">
        <f>VLOOKUP(ClientDB[[#This Row],[Org Code]],organization_table[],2)</f>
        <v>Colot</v>
      </c>
      <c r="H81" s="10" t="s">
        <v>274</v>
      </c>
      <c r="I81" s="10" t="str">
        <f>INDEX(Country,MATCH(ClientDB[[#This Row],[Country Code]],Country_Codes,0),1)</f>
        <v>Spain</v>
      </c>
      <c r="J81" s="15">
        <v>14</v>
      </c>
      <c r="K81" s="15" t="str">
        <f>IF(ClientDB[[#This Row],[Start Date]]&gt;=$U$14,"New","")</f>
        <v/>
      </c>
      <c r="L81" s="15" t="str">
        <f>IF(AND(ClientDB[[#This Row],[Start Year]]&lt;2016,ClientDB[[#This Row],[Events]]&gt;=6),"Gift","")</f>
        <v/>
      </c>
      <c r="M8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81" s="15">
        <v>1</v>
      </c>
      <c r="O81" s="32">
        <f>ClientDB[[#This Row],[Days]]*IF(ClientDB[[#This Row],[Days]]&gt;1,$V$8,$V$7)</f>
        <v>350</v>
      </c>
      <c r="P8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81" s="15" t="s">
        <v>902</v>
      </c>
      <c r="R81" s="15" t="str">
        <f>INDEX(seat_table,MATCH(ClientDB[[#This Row],[Country Code]],seat_country_code,0),MATCH(ClientDB[[#This Row],[Meal]],meal,0))</f>
        <v>B</v>
      </c>
    </row>
    <row r="82" spans="1:18" x14ac:dyDescent="0.25">
      <c r="A82" s="10">
        <v>15895</v>
      </c>
      <c r="B82" t="s">
        <v>159</v>
      </c>
      <c r="C82" t="s">
        <v>160</v>
      </c>
      <c r="D82" s="18">
        <v>42858</v>
      </c>
      <c r="E82" s="10">
        <f>YEAR(ClientDB[[#This Row],[Start Date]])</f>
        <v>2017</v>
      </c>
      <c r="F82" t="s">
        <v>827</v>
      </c>
      <c r="G82" t="str">
        <f>VLOOKUP(ClientDB[[#This Row],[Org Code]],organization_table[],2)</f>
        <v>Ripple Com</v>
      </c>
      <c r="H82" s="10" t="s">
        <v>15</v>
      </c>
      <c r="I82" s="10" t="str">
        <f>INDEX(Country,MATCH(ClientDB[[#This Row],[Country Code]],Country_Codes,0),1)</f>
        <v>United Kingdom</v>
      </c>
      <c r="J82" s="15">
        <v>11</v>
      </c>
      <c r="K82" s="15" t="str">
        <f>IF(ClientDB[[#This Row],[Start Date]]&gt;=$U$14,"New","")</f>
        <v/>
      </c>
      <c r="L82" s="15" t="str">
        <f>IF(AND(ClientDB[[#This Row],[Start Year]]&lt;2016,ClientDB[[#This Row],[Events]]&gt;=6),"Gift","")</f>
        <v/>
      </c>
      <c r="M8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82" s="15">
        <v>2</v>
      </c>
      <c r="O82" s="32">
        <f>ClientDB[[#This Row],[Days]]*IF(ClientDB[[#This Row],[Days]]&gt;1,$V$8,$V$7)</f>
        <v>600</v>
      </c>
      <c r="P8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82" s="15" t="s">
        <v>901</v>
      </c>
      <c r="R82" s="15" t="str">
        <f>INDEX(seat_table,MATCH(ClientDB[[#This Row],[Country Code]],seat_country_code,0),MATCH(ClientDB[[#This Row],[Meal]],meal,0))</f>
        <v>E</v>
      </c>
    </row>
    <row r="83" spans="1:18" x14ac:dyDescent="0.25">
      <c r="A83" s="10">
        <v>15928</v>
      </c>
      <c r="B83" t="s">
        <v>495</v>
      </c>
      <c r="C83" t="s">
        <v>496</v>
      </c>
      <c r="D83" s="18">
        <v>42474</v>
      </c>
      <c r="E83" s="10">
        <f>YEAR(ClientDB[[#This Row],[Start Date]])</f>
        <v>2016</v>
      </c>
      <c r="F83" t="s">
        <v>808</v>
      </c>
      <c r="G83" t="str">
        <f>VLOOKUP(ClientDB[[#This Row],[Org Code]],organization_table[],2)</f>
        <v>Ebony Telecoms</v>
      </c>
      <c r="H83" s="10" t="s">
        <v>38</v>
      </c>
      <c r="I83" s="10" t="str">
        <f>INDEX(Country,MATCH(ClientDB[[#This Row],[Country Code]],Country_Codes,0),1)</f>
        <v>Czech Republic</v>
      </c>
      <c r="J83" s="15">
        <v>7</v>
      </c>
      <c r="K83" s="15" t="str">
        <f>IF(ClientDB[[#This Row],[Start Date]]&gt;=$U$14,"New","")</f>
        <v/>
      </c>
      <c r="L83" s="15" t="str">
        <f>IF(AND(ClientDB[[#This Row],[Start Year]]&lt;2016,ClientDB[[#This Row],[Events]]&gt;=6),"Gift","")</f>
        <v/>
      </c>
      <c r="M8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83" s="15">
        <v>3</v>
      </c>
      <c r="O83" s="32">
        <f>ClientDB[[#This Row],[Days]]*IF(ClientDB[[#This Row],[Days]]&gt;1,$V$8,$V$7)</f>
        <v>900</v>
      </c>
      <c r="P8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83" s="15" t="s">
        <v>899</v>
      </c>
      <c r="R83" s="15" t="str">
        <f>INDEX(seat_table,MATCH(ClientDB[[#This Row],[Country Code]],seat_country_code,0),MATCH(ClientDB[[#This Row],[Meal]],meal,0))</f>
        <v>A</v>
      </c>
    </row>
    <row r="84" spans="1:18" x14ac:dyDescent="0.25">
      <c r="A84" s="10">
        <v>15957</v>
      </c>
      <c r="B84" t="s">
        <v>616</v>
      </c>
      <c r="C84" t="s">
        <v>617</v>
      </c>
      <c r="D84" s="18">
        <v>43932</v>
      </c>
      <c r="E84" s="10">
        <f>YEAR(ClientDB[[#This Row],[Start Date]])</f>
        <v>2020</v>
      </c>
      <c r="F84" t="s">
        <v>837</v>
      </c>
      <c r="G84" t="str">
        <f>VLOOKUP(ClientDB[[#This Row],[Org Code]],organization_table[],2)</f>
        <v>Verisize</v>
      </c>
      <c r="H84" s="10" t="s">
        <v>7</v>
      </c>
      <c r="I84" s="10" t="str">
        <f>INDEX(Country,MATCH(ClientDB[[#This Row],[Country Code]],Country_Codes,0),1)</f>
        <v>Iran</v>
      </c>
      <c r="J84" s="15">
        <v>12</v>
      </c>
      <c r="K84" s="15" t="str">
        <f>IF(ClientDB[[#This Row],[Start Date]]&gt;=$U$14,"New","")</f>
        <v>New</v>
      </c>
      <c r="L84" s="15" t="str">
        <f>IF(AND(ClientDB[[#This Row],[Start Year]]&lt;2016,ClientDB[[#This Row],[Events]]&gt;=6),"Gift","")</f>
        <v/>
      </c>
      <c r="M8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84" s="15">
        <v>3</v>
      </c>
      <c r="O84" s="32">
        <f>ClientDB[[#This Row],[Days]]*IF(ClientDB[[#This Row],[Days]]&gt;1,$V$8,$V$7)</f>
        <v>900</v>
      </c>
      <c r="P8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84" s="15" t="s">
        <v>901</v>
      </c>
      <c r="R84" s="15" t="str">
        <f>INDEX(seat_table,MATCH(ClientDB[[#This Row],[Country Code]],seat_country_code,0),MATCH(ClientDB[[#This Row],[Meal]],meal,0))</f>
        <v>F</v>
      </c>
    </row>
    <row r="85" spans="1:18" x14ac:dyDescent="0.25">
      <c r="A85" s="10">
        <v>16000</v>
      </c>
      <c r="B85" t="s">
        <v>593</v>
      </c>
      <c r="C85" t="s">
        <v>594</v>
      </c>
      <c r="D85" s="18">
        <v>41550</v>
      </c>
      <c r="E85" s="10">
        <f>YEAR(ClientDB[[#This Row],[Start Date]])</f>
        <v>2013</v>
      </c>
      <c r="F85" t="s">
        <v>814</v>
      </c>
      <c r="G85" t="str">
        <f>VLOOKUP(ClientDB[[#This Row],[Org Code]],organization_table[],2)</f>
        <v>IPI Bucharest</v>
      </c>
      <c r="H85" s="10" t="s">
        <v>59</v>
      </c>
      <c r="I85" s="10" t="str">
        <f>INDEX(Country,MATCH(ClientDB[[#This Row],[Country Code]],Country_Codes,0),1)</f>
        <v>Netherlands</v>
      </c>
      <c r="J85" s="15">
        <v>37</v>
      </c>
      <c r="K85" s="15" t="str">
        <f>IF(ClientDB[[#This Row],[Start Date]]&gt;=$U$14,"New","")</f>
        <v/>
      </c>
      <c r="L85" s="15" t="str">
        <f>IF(AND(ClientDB[[#This Row],[Start Year]]&lt;2016,ClientDB[[#This Row],[Events]]&gt;=6),"Gift","")</f>
        <v>Gift</v>
      </c>
      <c r="M8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Platinum</v>
      </c>
      <c r="N85" s="15">
        <v>2</v>
      </c>
      <c r="O85" s="32">
        <f>ClientDB[[#This Row],[Days]]*IF(ClientDB[[#This Row],[Days]]&gt;1,$V$8,$V$7)</f>
        <v>600</v>
      </c>
      <c r="P8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85" s="15" t="s">
        <v>902</v>
      </c>
      <c r="R85" s="15" t="str">
        <f>INDEX(seat_table,MATCH(ClientDB[[#This Row],[Country Code]],seat_country_code,0),MATCH(ClientDB[[#This Row],[Meal]],meal,0))</f>
        <v>C</v>
      </c>
    </row>
    <row r="86" spans="1:18" x14ac:dyDescent="0.25">
      <c r="A86" s="10">
        <v>16152</v>
      </c>
      <c r="B86" t="s">
        <v>35</v>
      </c>
      <c r="C86" t="s">
        <v>36</v>
      </c>
      <c r="D86" s="18">
        <v>43673</v>
      </c>
      <c r="E86" s="10">
        <f>YEAR(ClientDB[[#This Row],[Start Date]])</f>
        <v>2019</v>
      </c>
      <c r="F86" t="s">
        <v>824</v>
      </c>
      <c r="G86" t="str">
        <f>VLOOKUP(ClientDB[[#This Row],[Org Code]],organization_table[],2)</f>
        <v>Pink Cloud Networks</v>
      </c>
      <c r="H86" s="10" t="s">
        <v>38</v>
      </c>
      <c r="I86" s="10" t="str">
        <f>INDEX(Country,MATCH(ClientDB[[#This Row],[Country Code]],Country_Codes,0),1)</f>
        <v>Czech Republic</v>
      </c>
      <c r="J86" s="15">
        <v>19</v>
      </c>
      <c r="K86" s="15" t="str">
        <f>IF(ClientDB[[#This Row],[Start Date]]&gt;=$U$14,"New","")</f>
        <v/>
      </c>
      <c r="L86" s="15" t="str">
        <f>IF(AND(ClientDB[[#This Row],[Start Year]]&lt;2016,ClientDB[[#This Row],[Events]]&gt;=6),"Gift","")</f>
        <v/>
      </c>
      <c r="M8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86" s="15">
        <v>2</v>
      </c>
      <c r="O86" s="32">
        <f>ClientDB[[#This Row],[Days]]*IF(ClientDB[[#This Row],[Days]]&gt;1,$V$8,$V$7)</f>
        <v>600</v>
      </c>
      <c r="P8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86" s="15" t="s">
        <v>902</v>
      </c>
      <c r="R86" s="15" t="str">
        <f>INDEX(seat_table,MATCH(ClientDB[[#This Row],[Country Code]],seat_country_code,0),MATCH(ClientDB[[#This Row],[Meal]],meal,0))</f>
        <v>B</v>
      </c>
    </row>
    <row r="87" spans="1:18" x14ac:dyDescent="0.25">
      <c r="A87" s="10">
        <v>16316</v>
      </c>
      <c r="B87" t="s">
        <v>189</v>
      </c>
      <c r="C87" t="s">
        <v>719</v>
      </c>
      <c r="D87" s="18">
        <v>43063</v>
      </c>
      <c r="E87" s="10">
        <f>YEAR(ClientDB[[#This Row],[Start Date]])</f>
        <v>2017</v>
      </c>
      <c r="F87" t="s">
        <v>797</v>
      </c>
      <c r="G87" t="str">
        <f>VLOOKUP(ClientDB[[#This Row],[Org Code]],organization_table[],2)</f>
        <v>ASET PLC</v>
      </c>
      <c r="H87" s="10" t="s">
        <v>7</v>
      </c>
      <c r="I87" s="10" t="str">
        <f>INDEX(Country,MATCH(ClientDB[[#This Row],[Country Code]],Country_Codes,0),1)</f>
        <v>Iran</v>
      </c>
      <c r="J87" s="15">
        <v>8</v>
      </c>
      <c r="K87" s="15" t="str">
        <f>IF(ClientDB[[#This Row],[Start Date]]&gt;=$U$14,"New","")</f>
        <v/>
      </c>
      <c r="L87" s="15" t="str">
        <f>IF(AND(ClientDB[[#This Row],[Start Year]]&lt;2016,ClientDB[[#This Row],[Events]]&gt;=6),"Gift","")</f>
        <v/>
      </c>
      <c r="M8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87" s="15">
        <v>3</v>
      </c>
      <c r="O87" s="32">
        <f>ClientDB[[#This Row],[Days]]*IF(ClientDB[[#This Row],[Days]]&gt;1,$V$8,$V$7)</f>
        <v>900</v>
      </c>
      <c r="P8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87" s="15" t="s">
        <v>900</v>
      </c>
      <c r="R87" s="15" t="str">
        <f>INDEX(seat_table,MATCH(ClientDB[[#This Row],[Country Code]],seat_country_code,0),MATCH(ClientDB[[#This Row],[Meal]],meal,0))</f>
        <v>A</v>
      </c>
    </row>
    <row r="88" spans="1:18" x14ac:dyDescent="0.25">
      <c r="A88" s="10">
        <v>16399</v>
      </c>
      <c r="B88" t="s">
        <v>336</v>
      </c>
      <c r="C88" t="s">
        <v>337</v>
      </c>
      <c r="D88" s="18">
        <v>42193</v>
      </c>
      <c r="E88" s="10">
        <f>YEAR(ClientDB[[#This Row],[Start Date]])</f>
        <v>2015</v>
      </c>
      <c r="F88" t="s">
        <v>823</v>
      </c>
      <c r="G88" t="str">
        <f>VLOOKUP(ClientDB[[#This Row],[Org Code]],organization_table[],2)</f>
        <v>Pink Cloud Networks</v>
      </c>
      <c r="H88" s="10" t="s">
        <v>155</v>
      </c>
      <c r="I88" s="10" t="str">
        <f>INDEX(Country,MATCH(ClientDB[[#This Row],[Country Code]],Country_Codes,0),1)</f>
        <v>United Arab Emirates</v>
      </c>
      <c r="J88" s="15">
        <v>2</v>
      </c>
      <c r="K88" s="15" t="str">
        <f>IF(ClientDB[[#This Row],[Start Date]]&gt;=$U$14,"New","")</f>
        <v/>
      </c>
      <c r="L88" s="15" t="str">
        <f>IF(AND(ClientDB[[#This Row],[Start Year]]&lt;2016,ClientDB[[#This Row],[Events]]&gt;=6),"Gift","")</f>
        <v/>
      </c>
      <c r="M8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88" s="15">
        <v>3</v>
      </c>
      <c r="O88" s="32">
        <f>ClientDB[[#This Row],[Days]]*IF(ClientDB[[#This Row],[Days]]&gt;1,$V$8,$V$7)</f>
        <v>900</v>
      </c>
      <c r="P8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88" s="15" t="s">
        <v>899</v>
      </c>
      <c r="R88" s="15" t="str">
        <f>INDEX(seat_table,MATCH(ClientDB[[#This Row],[Country Code]],seat_country_code,0),MATCH(ClientDB[[#This Row],[Meal]],meal,0))</f>
        <v>A</v>
      </c>
    </row>
    <row r="89" spans="1:18" x14ac:dyDescent="0.25">
      <c r="A89" s="10">
        <v>16572</v>
      </c>
      <c r="B89" t="s">
        <v>150</v>
      </c>
      <c r="C89" t="s">
        <v>151</v>
      </c>
      <c r="D89" s="18">
        <v>42342</v>
      </c>
      <c r="E89" s="10">
        <f>YEAR(ClientDB[[#This Row],[Start Date]])</f>
        <v>2015</v>
      </c>
      <c r="F89" t="s">
        <v>817</v>
      </c>
      <c r="G89" t="str">
        <f>VLOOKUP(ClientDB[[#This Row],[Org Code]],organization_table[],2)</f>
        <v>LACNE</v>
      </c>
      <c r="H89" s="10" t="s">
        <v>15</v>
      </c>
      <c r="I89" s="10" t="str">
        <f>INDEX(Country,MATCH(ClientDB[[#This Row],[Country Code]],Country_Codes,0),1)</f>
        <v>United Kingdom</v>
      </c>
      <c r="J89" s="15">
        <v>30</v>
      </c>
      <c r="K89" s="15" t="str">
        <f>IF(ClientDB[[#This Row],[Start Date]]&gt;=$U$14,"New","")</f>
        <v/>
      </c>
      <c r="L89" s="15" t="str">
        <f>IF(AND(ClientDB[[#This Row],[Start Year]]&lt;2016,ClientDB[[#This Row],[Events]]&gt;=6),"Gift","")</f>
        <v>Gift</v>
      </c>
      <c r="M8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Platinum</v>
      </c>
      <c r="N89" s="15">
        <v>2</v>
      </c>
      <c r="O89" s="32">
        <f>ClientDB[[#This Row],[Days]]*IF(ClientDB[[#This Row],[Days]]&gt;1,$V$8,$V$7)</f>
        <v>600</v>
      </c>
      <c r="P8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89" s="15" t="s">
        <v>902</v>
      </c>
      <c r="R89" s="15" t="str">
        <f>INDEX(seat_table,MATCH(ClientDB[[#This Row],[Country Code]],seat_country_code,0),MATCH(ClientDB[[#This Row],[Meal]],meal,0))</f>
        <v>B</v>
      </c>
    </row>
    <row r="90" spans="1:18" x14ac:dyDescent="0.25">
      <c r="A90" s="10">
        <v>16755</v>
      </c>
      <c r="B90" t="s">
        <v>323</v>
      </c>
      <c r="C90" t="s">
        <v>324</v>
      </c>
      <c r="D90" s="18">
        <v>43418</v>
      </c>
      <c r="E90" s="10">
        <f>YEAR(ClientDB[[#This Row],[Start Date]])</f>
        <v>2018</v>
      </c>
      <c r="F90" t="s">
        <v>807</v>
      </c>
      <c r="G90" t="str">
        <f>VLOOKUP(ClientDB[[#This Row],[Org Code]],organization_table[],2)</f>
        <v>Duet</v>
      </c>
      <c r="H90" s="10" t="s">
        <v>325</v>
      </c>
      <c r="I90" s="10" t="str">
        <f>INDEX(Country,MATCH(ClientDB[[#This Row],[Country Code]],Country_Codes,0),1)</f>
        <v>New Zealand</v>
      </c>
      <c r="J90" s="15">
        <v>8</v>
      </c>
      <c r="K90" s="15" t="str">
        <f>IF(ClientDB[[#This Row],[Start Date]]&gt;=$U$14,"New","")</f>
        <v/>
      </c>
      <c r="L90" s="15" t="str">
        <f>IF(AND(ClientDB[[#This Row],[Start Year]]&lt;2016,ClientDB[[#This Row],[Events]]&gt;=6),"Gift","")</f>
        <v/>
      </c>
      <c r="M9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90" s="15">
        <v>2</v>
      </c>
      <c r="O90" s="32">
        <f>ClientDB[[#This Row],[Days]]*IF(ClientDB[[#This Row],[Days]]&gt;1,$V$8,$V$7)</f>
        <v>600</v>
      </c>
      <c r="P9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90" s="15" t="s">
        <v>899</v>
      </c>
      <c r="R90" s="15" t="str">
        <f>INDEX(seat_table,MATCH(ClientDB[[#This Row],[Country Code]],seat_country_code,0),MATCH(ClientDB[[#This Row],[Meal]],meal,0))</f>
        <v>B</v>
      </c>
    </row>
    <row r="91" spans="1:18" x14ac:dyDescent="0.25">
      <c r="A91" s="10">
        <v>16823</v>
      </c>
      <c r="B91" t="s">
        <v>705</v>
      </c>
      <c r="C91" t="s">
        <v>706</v>
      </c>
      <c r="D91" s="18">
        <v>42202</v>
      </c>
      <c r="E91" s="10">
        <f>YEAR(ClientDB[[#This Row],[Start Date]])</f>
        <v>2015</v>
      </c>
      <c r="F91" t="s">
        <v>840</v>
      </c>
      <c r="G91" t="str">
        <f>VLOOKUP(ClientDB[[#This Row],[Org Code]],organization_table[],2)</f>
        <v>xLAN Internet Exchange</v>
      </c>
      <c r="H91" s="10" t="s">
        <v>46</v>
      </c>
      <c r="I91" s="10" t="str">
        <f>INDEX(Country,MATCH(ClientDB[[#This Row],[Country Code]],Country_Codes,0),1)</f>
        <v>Germany</v>
      </c>
      <c r="J91" s="15">
        <v>16</v>
      </c>
      <c r="K91" s="15" t="str">
        <f>IF(ClientDB[[#This Row],[Start Date]]&gt;=$U$14,"New","")</f>
        <v/>
      </c>
      <c r="L91" s="15" t="str">
        <f>IF(AND(ClientDB[[#This Row],[Start Year]]&lt;2016,ClientDB[[#This Row],[Events]]&gt;=6),"Gift","")</f>
        <v>Gift</v>
      </c>
      <c r="M9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91" s="15">
        <v>3</v>
      </c>
      <c r="O91" s="32">
        <f>ClientDB[[#This Row],[Days]]*IF(ClientDB[[#This Row],[Days]]&gt;1,$V$8,$V$7)</f>
        <v>900</v>
      </c>
      <c r="P9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91" s="15" t="s">
        <v>901</v>
      </c>
      <c r="R91" s="15" t="str">
        <f>INDEX(seat_table,MATCH(ClientDB[[#This Row],[Country Code]],seat_country_code,0),MATCH(ClientDB[[#This Row],[Meal]],meal,0))</f>
        <v>D</v>
      </c>
    </row>
    <row r="92" spans="1:18" x14ac:dyDescent="0.25">
      <c r="A92" s="10">
        <v>16991</v>
      </c>
      <c r="B92" t="s">
        <v>278</v>
      </c>
      <c r="C92" t="s">
        <v>279</v>
      </c>
      <c r="D92" s="18">
        <v>43326</v>
      </c>
      <c r="E92" s="10">
        <f>YEAR(ClientDB[[#This Row],[Start Date]])</f>
        <v>2018</v>
      </c>
      <c r="F92" t="s">
        <v>827</v>
      </c>
      <c r="G92" t="str">
        <f>VLOOKUP(ClientDB[[#This Row],[Org Code]],organization_table[],2)</f>
        <v>Ripple Com</v>
      </c>
      <c r="H92" s="10" t="s">
        <v>34</v>
      </c>
      <c r="I92" s="10" t="str">
        <f>INDEX(Country,MATCH(ClientDB[[#This Row],[Country Code]],Country_Codes,0),1)</f>
        <v>United States</v>
      </c>
      <c r="J92" s="15">
        <v>19</v>
      </c>
      <c r="K92" s="15" t="str">
        <f>IF(ClientDB[[#This Row],[Start Date]]&gt;=$U$14,"New","")</f>
        <v/>
      </c>
      <c r="L92" s="15" t="str">
        <f>IF(AND(ClientDB[[#This Row],[Start Year]]&lt;2016,ClientDB[[#This Row],[Events]]&gt;=6),"Gift","")</f>
        <v/>
      </c>
      <c r="M9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92" s="15">
        <v>2</v>
      </c>
      <c r="O92" s="32">
        <f>ClientDB[[#This Row],[Days]]*IF(ClientDB[[#This Row],[Days]]&gt;1,$V$8,$V$7)</f>
        <v>600</v>
      </c>
      <c r="P9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92" s="15" t="s">
        <v>900</v>
      </c>
      <c r="R92" s="15" t="str">
        <f>INDEX(seat_table,MATCH(ClientDB[[#This Row],[Country Code]],seat_country_code,0),MATCH(ClientDB[[#This Row],[Meal]],meal,0))</f>
        <v>F</v>
      </c>
    </row>
    <row r="93" spans="1:18" x14ac:dyDescent="0.25">
      <c r="A93" s="10">
        <v>17020</v>
      </c>
      <c r="B93" t="s">
        <v>478</v>
      </c>
      <c r="C93" t="s">
        <v>479</v>
      </c>
      <c r="D93" s="18">
        <v>42666</v>
      </c>
      <c r="E93" s="10">
        <f>YEAR(ClientDB[[#This Row],[Start Date]])</f>
        <v>2016</v>
      </c>
      <c r="F93" t="s">
        <v>822</v>
      </c>
      <c r="G93" t="str">
        <f>VLOOKUP(ClientDB[[#This Row],[Org Code]],organization_table[],2)</f>
        <v>PicSure</v>
      </c>
      <c r="H93" s="10" t="s">
        <v>59</v>
      </c>
      <c r="I93" s="10" t="str">
        <f>INDEX(Country,MATCH(ClientDB[[#This Row],[Country Code]],Country_Codes,0),1)</f>
        <v>Netherlands</v>
      </c>
      <c r="J93" s="15">
        <v>2</v>
      </c>
      <c r="K93" s="15" t="str">
        <f>IF(ClientDB[[#This Row],[Start Date]]&gt;=$U$14,"New","")</f>
        <v/>
      </c>
      <c r="L93" s="15" t="str">
        <f>IF(AND(ClientDB[[#This Row],[Start Year]]&lt;2016,ClientDB[[#This Row],[Events]]&gt;=6),"Gift","")</f>
        <v/>
      </c>
      <c r="M9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93" s="15">
        <v>2</v>
      </c>
      <c r="O93" s="32">
        <f>ClientDB[[#This Row],[Days]]*IF(ClientDB[[#This Row],[Days]]&gt;1,$V$8,$V$7)</f>
        <v>600</v>
      </c>
      <c r="P9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93" s="15" t="s">
        <v>901</v>
      </c>
      <c r="R93" s="15" t="str">
        <f>INDEX(seat_table,MATCH(ClientDB[[#This Row],[Country Code]],seat_country_code,0),MATCH(ClientDB[[#This Row],[Meal]],meal,0))</f>
        <v>F</v>
      </c>
    </row>
    <row r="94" spans="1:18" x14ac:dyDescent="0.25">
      <c r="A94" s="10">
        <v>17050</v>
      </c>
      <c r="B94" t="s">
        <v>754</v>
      </c>
      <c r="C94" t="s">
        <v>755</v>
      </c>
      <c r="D94" s="18">
        <v>42380</v>
      </c>
      <c r="E94" s="10">
        <f>YEAR(ClientDB[[#This Row],[Start Date]])</f>
        <v>2016</v>
      </c>
      <c r="F94" t="s">
        <v>827</v>
      </c>
      <c r="G94" t="str">
        <f>VLOOKUP(ClientDB[[#This Row],[Org Code]],organization_table[],2)</f>
        <v>Ripple Com</v>
      </c>
      <c r="H94" s="10" t="s">
        <v>15</v>
      </c>
      <c r="I94" s="10" t="str">
        <f>INDEX(Country,MATCH(ClientDB[[#This Row],[Country Code]],Country_Codes,0),1)</f>
        <v>United Kingdom</v>
      </c>
      <c r="J94" s="15">
        <v>12</v>
      </c>
      <c r="K94" s="15" t="str">
        <f>IF(ClientDB[[#This Row],[Start Date]]&gt;=$U$14,"New","")</f>
        <v/>
      </c>
      <c r="L94" s="15" t="str">
        <f>IF(AND(ClientDB[[#This Row],[Start Year]]&lt;2016,ClientDB[[#This Row],[Events]]&gt;=6),"Gift","")</f>
        <v/>
      </c>
      <c r="M9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94" s="15">
        <v>1</v>
      </c>
      <c r="O94" s="32">
        <f>ClientDB[[#This Row],[Days]]*IF(ClientDB[[#This Row],[Days]]&gt;1,$V$8,$V$7)</f>
        <v>350</v>
      </c>
      <c r="P9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94" s="15" t="s">
        <v>899</v>
      </c>
      <c r="R94" s="15" t="str">
        <f>INDEX(seat_table,MATCH(ClientDB[[#This Row],[Country Code]],seat_country_code,0),MATCH(ClientDB[[#This Row],[Meal]],meal,0))</f>
        <v>A</v>
      </c>
    </row>
    <row r="95" spans="1:18" x14ac:dyDescent="0.25">
      <c r="A95" s="10">
        <v>17091</v>
      </c>
      <c r="B95" t="s">
        <v>665</v>
      </c>
      <c r="C95" t="s">
        <v>666</v>
      </c>
      <c r="D95" s="18">
        <v>42197</v>
      </c>
      <c r="E95" s="10">
        <f>YEAR(ClientDB[[#This Row],[Start Date]])</f>
        <v>2015</v>
      </c>
      <c r="F95" t="s">
        <v>818</v>
      </c>
      <c r="G95" t="str">
        <f>VLOOKUP(ClientDB[[#This Row],[Org Code]],organization_table[],2)</f>
        <v>Mojbal</v>
      </c>
      <c r="H95" s="10" t="s">
        <v>34</v>
      </c>
      <c r="I95" s="10" t="str">
        <f>INDEX(Country,MATCH(ClientDB[[#This Row],[Country Code]],Country_Codes,0),1)</f>
        <v>United States</v>
      </c>
      <c r="J95" s="15">
        <v>11</v>
      </c>
      <c r="K95" s="15" t="str">
        <f>IF(ClientDB[[#This Row],[Start Date]]&gt;=$U$14,"New","")</f>
        <v/>
      </c>
      <c r="L95" s="15" t="str">
        <f>IF(AND(ClientDB[[#This Row],[Start Year]]&lt;2016,ClientDB[[#This Row],[Events]]&gt;=6),"Gift","")</f>
        <v>Gift</v>
      </c>
      <c r="M9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95" s="15">
        <v>3</v>
      </c>
      <c r="O95" s="32">
        <f>ClientDB[[#This Row],[Days]]*IF(ClientDB[[#This Row],[Days]]&gt;1,$V$8,$V$7)</f>
        <v>900</v>
      </c>
      <c r="P9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95" s="15" t="s">
        <v>899</v>
      </c>
      <c r="R95" s="15" t="str">
        <f>INDEX(seat_table,MATCH(ClientDB[[#This Row],[Country Code]],seat_country_code,0),MATCH(ClientDB[[#This Row],[Meal]],meal,0))</f>
        <v>F</v>
      </c>
    </row>
    <row r="96" spans="1:18" x14ac:dyDescent="0.25">
      <c r="A96" s="10">
        <v>17163</v>
      </c>
      <c r="B96" t="s">
        <v>530</v>
      </c>
      <c r="C96" t="s">
        <v>531</v>
      </c>
      <c r="D96" s="18">
        <v>43444</v>
      </c>
      <c r="E96" s="10">
        <f>YEAR(ClientDB[[#This Row],[Start Date]])</f>
        <v>2018</v>
      </c>
      <c r="F96" t="s">
        <v>795</v>
      </c>
      <c r="G96" t="str">
        <f>VLOOKUP(ClientDB[[#This Row],[Org Code]],organization_table[],2)</f>
        <v>AHA Networks</v>
      </c>
      <c r="H96" s="10" t="s">
        <v>46</v>
      </c>
      <c r="I96" s="10" t="str">
        <f>INDEX(Country,MATCH(ClientDB[[#This Row],[Country Code]],Country_Codes,0),1)</f>
        <v>Germany</v>
      </c>
      <c r="J96" s="15">
        <v>21</v>
      </c>
      <c r="K96" s="15" t="str">
        <f>IF(ClientDB[[#This Row],[Start Date]]&gt;=$U$14,"New","")</f>
        <v/>
      </c>
      <c r="L96" s="15" t="str">
        <f>IF(AND(ClientDB[[#This Row],[Start Year]]&lt;2016,ClientDB[[#This Row],[Events]]&gt;=6),"Gift","")</f>
        <v/>
      </c>
      <c r="M9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96" s="15">
        <v>2</v>
      </c>
      <c r="O96" s="32">
        <f>ClientDB[[#This Row],[Days]]*IF(ClientDB[[#This Row],[Days]]&gt;1,$V$8,$V$7)</f>
        <v>600</v>
      </c>
      <c r="P9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96" s="15" t="s">
        <v>900</v>
      </c>
      <c r="R96" s="15" t="str">
        <f>INDEX(seat_table,MATCH(ClientDB[[#This Row],[Country Code]],seat_country_code,0),MATCH(ClientDB[[#This Row],[Meal]],meal,0))</f>
        <v>A</v>
      </c>
    </row>
    <row r="97" spans="1:18" x14ac:dyDescent="0.25">
      <c r="A97" s="10">
        <v>17367</v>
      </c>
      <c r="B97" t="s">
        <v>195</v>
      </c>
      <c r="C97" t="s">
        <v>196</v>
      </c>
      <c r="D97" s="18">
        <v>42112</v>
      </c>
      <c r="E97" s="10">
        <f>YEAR(ClientDB[[#This Row],[Start Date]])</f>
        <v>2015</v>
      </c>
      <c r="F97" t="s">
        <v>802</v>
      </c>
      <c r="G97" t="str">
        <f>VLOOKUP(ClientDB[[#This Row],[Org Code]],organization_table[],2)</f>
        <v>Colot</v>
      </c>
      <c r="H97" s="10" t="s">
        <v>78</v>
      </c>
      <c r="I97" s="10" t="str">
        <f>INDEX(Country,MATCH(ClientDB[[#This Row],[Country Code]],Country_Codes,0),1)</f>
        <v>Sweden</v>
      </c>
      <c r="J97" s="15">
        <v>26</v>
      </c>
      <c r="K97" s="15" t="str">
        <f>IF(ClientDB[[#This Row],[Start Date]]&gt;=$U$14,"New","")</f>
        <v/>
      </c>
      <c r="L97" s="15" t="str">
        <f>IF(AND(ClientDB[[#This Row],[Start Year]]&lt;2016,ClientDB[[#This Row],[Events]]&gt;=6),"Gift","")</f>
        <v>Gift</v>
      </c>
      <c r="M9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97" s="15">
        <v>1</v>
      </c>
      <c r="O97" s="32">
        <f>ClientDB[[#This Row],[Days]]*IF(ClientDB[[#This Row],[Days]]&gt;1,$V$8,$V$7)</f>
        <v>350</v>
      </c>
      <c r="P9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97" s="15" t="s">
        <v>902</v>
      </c>
      <c r="R97" s="15" t="str">
        <f>INDEX(seat_table,MATCH(ClientDB[[#This Row],[Country Code]],seat_country_code,0),MATCH(ClientDB[[#This Row],[Meal]],meal,0))</f>
        <v>C</v>
      </c>
    </row>
    <row r="98" spans="1:18" x14ac:dyDescent="0.25">
      <c r="A98" s="10">
        <v>17422</v>
      </c>
      <c r="B98" t="s">
        <v>723</v>
      </c>
      <c r="C98" t="s">
        <v>724</v>
      </c>
      <c r="D98" s="18">
        <v>42185</v>
      </c>
      <c r="E98" s="10">
        <f>YEAR(ClientDB[[#This Row],[Start Date]])</f>
        <v>2015</v>
      </c>
      <c r="F98" t="s">
        <v>797</v>
      </c>
      <c r="G98" t="str">
        <f>VLOOKUP(ClientDB[[#This Row],[Org Code]],organization_table[],2)</f>
        <v>ASET PLC</v>
      </c>
      <c r="H98" s="10" t="s">
        <v>311</v>
      </c>
      <c r="I98" s="10" t="str">
        <f>INDEX(Country,MATCH(ClientDB[[#This Row],[Country Code]],Country_Codes,0),1)</f>
        <v>France</v>
      </c>
      <c r="J98" s="15">
        <v>11</v>
      </c>
      <c r="K98" s="15" t="str">
        <f>IF(ClientDB[[#This Row],[Start Date]]&gt;=$U$14,"New","")</f>
        <v/>
      </c>
      <c r="L98" s="15" t="str">
        <f>IF(AND(ClientDB[[#This Row],[Start Year]]&lt;2016,ClientDB[[#This Row],[Events]]&gt;=6),"Gift","")</f>
        <v>Gift</v>
      </c>
      <c r="M9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98" s="15">
        <v>2</v>
      </c>
      <c r="O98" s="32">
        <f>ClientDB[[#This Row],[Days]]*IF(ClientDB[[#This Row],[Days]]&gt;1,$V$8,$V$7)</f>
        <v>600</v>
      </c>
      <c r="P9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98" s="15" t="s">
        <v>901</v>
      </c>
      <c r="R98" s="15" t="str">
        <f>INDEX(seat_table,MATCH(ClientDB[[#This Row],[Country Code]],seat_country_code,0),MATCH(ClientDB[[#This Row],[Meal]],meal,0))</f>
        <v>D</v>
      </c>
    </row>
    <row r="99" spans="1:18" x14ac:dyDescent="0.25">
      <c r="A99" s="10">
        <v>17464</v>
      </c>
      <c r="B99" t="s">
        <v>432</v>
      </c>
      <c r="C99" t="s">
        <v>433</v>
      </c>
      <c r="D99" s="18">
        <v>43477</v>
      </c>
      <c r="E99" s="10">
        <f>YEAR(ClientDB[[#This Row],[Start Date]])</f>
        <v>2019</v>
      </c>
      <c r="F99" t="s">
        <v>812</v>
      </c>
      <c r="G99" t="str">
        <f>VLOOKUP(ClientDB[[#This Row],[Org Code]],organization_table[],2)</f>
        <v>Fzig Fibre</v>
      </c>
      <c r="H99" s="10" t="s">
        <v>34</v>
      </c>
      <c r="I99" s="10" t="str">
        <f>INDEX(Country,MATCH(ClientDB[[#This Row],[Country Code]],Country_Codes,0),1)</f>
        <v>United States</v>
      </c>
      <c r="J99" s="15">
        <v>11</v>
      </c>
      <c r="K99" s="15" t="str">
        <f>IF(ClientDB[[#This Row],[Start Date]]&gt;=$U$14,"New","")</f>
        <v/>
      </c>
      <c r="L99" s="15" t="str">
        <f>IF(AND(ClientDB[[#This Row],[Start Year]]&lt;2016,ClientDB[[#This Row],[Events]]&gt;=6),"Gift","")</f>
        <v/>
      </c>
      <c r="M9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99" s="15">
        <v>3</v>
      </c>
      <c r="O99" s="32">
        <f>ClientDB[[#This Row],[Days]]*IF(ClientDB[[#This Row],[Days]]&gt;1,$V$8,$V$7)</f>
        <v>900</v>
      </c>
      <c r="P9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99" s="15" t="s">
        <v>901</v>
      </c>
      <c r="R99" s="15" t="str">
        <f>INDEX(seat_table,MATCH(ClientDB[[#This Row],[Country Code]],seat_country_code,0),MATCH(ClientDB[[#This Row],[Meal]],meal,0))</f>
        <v>G</v>
      </c>
    </row>
    <row r="100" spans="1:18" x14ac:dyDescent="0.25">
      <c r="A100" s="10">
        <v>17546</v>
      </c>
      <c r="B100" t="s">
        <v>581</v>
      </c>
      <c r="C100" t="s">
        <v>582</v>
      </c>
      <c r="D100" s="18">
        <v>43315</v>
      </c>
      <c r="E100" s="10">
        <f>YEAR(ClientDB[[#This Row],[Start Date]])</f>
        <v>2018</v>
      </c>
      <c r="F100" t="s">
        <v>834</v>
      </c>
      <c r="G100" t="str">
        <f>VLOOKUP(ClientDB[[#This Row],[Org Code]],organization_table[],2)</f>
        <v>Verisize</v>
      </c>
      <c r="H100" s="10" t="s">
        <v>38</v>
      </c>
      <c r="I100" s="10" t="str">
        <f>INDEX(Country,MATCH(ClientDB[[#This Row],[Country Code]],Country_Codes,0),1)</f>
        <v>Czech Republic</v>
      </c>
      <c r="J100" s="15">
        <v>3</v>
      </c>
      <c r="K100" s="15" t="str">
        <f>IF(ClientDB[[#This Row],[Start Date]]&gt;=$U$14,"New","")</f>
        <v/>
      </c>
      <c r="L100" s="15" t="str">
        <f>IF(AND(ClientDB[[#This Row],[Start Year]]&lt;2016,ClientDB[[#This Row],[Events]]&gt;=6),"Gift","")</f>
        <v/>
      </c>
      <c r="M10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00" s="15">
        <v>3</v>
      </c>
      <c r="O100" s="32">
        <f>ClientDB[[#This Row],[Days]]*IF(ClientDB[[#This Row],[Days]]&gt;1,$V$8,$V$7)</f>
        <v>900</v>
      </c>
      <c r="P10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00" s="15" t="s">
        <v>900</v>
      </c>
      <c r="R100" s="15" t="str">
        <f>INDEX(seat_table,MATCH(ClientDB[[#This Row],[Country Code]],seat_country_code,0),MATCH(ClientDB[[#This Row],[Meal]],meal,0))</f>
        <v>A</v>
      </c>
    </row>
    <row r="101" spans="1:18" x14ac:dyDescent="0.25">
      <c r="A101" s="10">
        <v>17637</v>
      </c>
      <c r="B101" t="s">
        <v>583</v>
      </c>
      <c r="C101" t="s">
        <v>584</v>
      </c>
      <c r="D101" s="18">
        <v>42655</v>
      </c>
      <c r="E101" s="10">
        <f>YEAR(ClientDB[[#This Row],[Start Date]])</f>
        <v>2016</v>
      </c>
      <c r="F101" t="s">
        <v>832</v>
      </c>
      <c r="G101" t="str">
        <f>VLOOKUP(ClientDB[[#This Row],[Org Code]],organization_table[],2)</f>
        <v>TQ Processes</v>
      </c>
      <c r="H101" s="10" t="s">
        <v>155</v>
      </c>
      <c r="I101" s="10" t="str">
        <f>INDEX(Country,MATCH(ClientDB[[#This Row],[Country Code]],Country_Codes,0),1)</f>
        <v>United Arab Emirates</v>
      </c>
      <c r="J101" s="15">
        <v>6</v>
      </c>
      <c r="K101" s="15" t="str">
        <f>IF(ClientDB[[#This Row],[Start Date]]&gt;=$U$14,"New","")</f>
        <v/>
      </c>
      <c r="L101" s="15" t="str">
        <f>IF(AND(ClientDB[[#This Row],[Start Year]]&lt;2016,ClientDB[[#This Row],[Events]]&gt;=6),"Gift","")</f>
        <v/>
      </c>
      <c r="M10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01" s="15">
        <v>1</v>
      </c>
      <c r="O101" s="32">
        <f>ClientDB[[#This Row],[Days]]*IF(ClientDB[[#This Row],[Days]]&gt;1,$V$8,$V$7)</f>
        <v>350</v>
      </c>
      <c r="P10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01" s="15" t="s">
        <v>900</v>
      </c>
      <c r="R101" s="15" t="str">
        <f>INDEX(seat_table,MATCH(ClientDB[[#This Row],[Country Code]],seat_country_code,0),MATCH(ClientDB[[#This Row],[Meal]],meal,0))</f>
        <v>A</v>
      </c>
    </row>
    <row r="102" spans="1:18" x14ac:dyDescent="0.25">
      <c r="A102" s="10">
        <v>17721</v>
      </c>
      <c r="B102" t="s">
        <v>266</v>
      </c>
      <c r="C102" t="s">
        <v>267</v>
      </c>
      <c r="D102" s="18">
        <v>42436</v>
      </c>
      <c r="E102" s="10">
        <f>YEAR(ClientDB[[#This Row],[Start Date]])</f>
        <v>2016</v>
      </c>
      <c r="F102" t="s">
        <v>797</v>
      </c>
      <c r="G102" t="str">
        <f>VLOOKUP(ClientDB[[#This Row],[Org Code]],organization_table[],2)</f>
        <v>ASET PLC</v>
      </c>
      <c r="H102" s="10" t="s">
        <v>26</v>
      </c>
      <c r="I102" s="10" t="str">
        <f>INDEX(Country,MATCH(ClientDB[[#This Row],[Country Code]],Country_Codes,0),1)</f>
        <v>Ukraine</v>
      </c>
      <c r="J102" s="15">
        <v>29</v>
      </c>
      <c r="K102" s="15" t="str">
        <f>IF(ClientDB[[#This Row],[Start Date]]&gt;=$U$14,"New","")</f>
        <v/>
      </c>
      <c r="L102" s="15" t="str">
        <f>IF(AND(ClientDB[[#This Row],[Start Year]]&lt;2016,ClientDB[[#This Row],[Events]]&gt;=6),"Gift","")</f>
        <v/>
      </c>
      <c r="M10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102" s="15">
        <v>2</v>
      </c>
      <c r="O102" s="32">
        <f>ClientDB[[#This Row],[Days]]*IF(ClientDB[[#This Row],[Days]]&gt;1,$V$8,$V$7)</f>
        <v>600</v>
      </c>
      <c r="P10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02" s="15" t="s">
        <v>902</v>
      </c>
      <c r="R102" s="15" t="str">
        <f>INDEX(seat_table,MATCH(ClientDB[[#This Row],[Country Code]],seat_country_code,0),MATCH(ClientDB[[#This Row],[Meal]],meal,0))</f>
        <v>C</v>
      </c>
    </row>
    <row r="103" spans="1:18" x14ac:dyDescent="0.25">
      <c r="A103" s="10">
        <v>17721</v>
      </c>
      <c r="B103" t="s">
        <v>749</v>
      </c>
      <c r="C103" t="s">
        <v>750</v>
      </c>
      <c r="D103" s="18">
        <v>42299</v>
      </c>
      <c r="E103" s="10">
        <f>YEAR(ClientDB[[#This Row],[Start Date]])</f>
        <v>2015</v>
      </c>
      <c r="F103" t="s">
        <v>827</v>
      </c>
      <c r="G103" t="str">
        <f>VLOOKUP(ClientDB[[#This Row],[Org Code]],organization_table[],2)</f>
        <v>Ripple Com</v>
      </c>
      <c r="H103" s="10" t="s">
        <v>15</v>
      </c>
      <c r="I103" s="10" t="str">
        <f>INDEX(Country,MATCH(ClientDB[[#This Row],[Country Code]],Country_Codes,0),1)</f>
        <v>United Kingdom</v>
      </c>
      <c r="J103" s="15">
        <v>5</v>
      </c>
      <c r="K103" s="15" t="str">
        <f>IF(ClientDB[[#This Row],[Start Date]]&gt;=$U$14,"New","")</f>
        <v/>
      </c>
      <c r="L103" s="15" t="str">
        <f>IF(AND(ClientDB[[#This Row],[Start Year]]&lt;2016,ClientDB[[#This Row],[Events]]&gt;=6),"Gift","")</f>
        <v/>
      </c>
      <c r="M10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03" s="15">
        <v>3</v>
      </c>
      <c r="O103" s="32">
        <f>ClientDB[[#This Row],[Days]]*IF(ClientDB[[#This Row],[Days]]&gt;1,$V$8,$V$7)</f>
        <v>900</v>
      </c>
      <c r="P10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03" s="15" t="s">
        <v>900</v>
      </c>
      <c r="R103" s="15" t="str">
        <f>INDEX(seat_table,MATCH(ClientDB[[#This Row],[Country Code]],seat_country_code,0),MATCH(ClientDB[[#This Row],[Meal]],meal,0))</f>
        <v>A</v>
      </c>
    </row>
    <row r="104" spans="1:18" x14ac:dyDescent="0.25">
      <c r="A104" s="10">
        <v>17769</v>
      </c>
      <c r="B104" t="s">
        <v>701</v>
      </c>
      <c r="C104" t="s">
        <v>702</v>
      </c>
      <c r="D104" s="18">
        <v>42540</v>
      </c>
      <c r="E104" s="10">
        <f>YEAR(ClientDB[[#This Row],[Start Date]])</f>
        <v>2016</v>
      </c>
      <c r="F104" t="s">
        <v>800</v>
      </c>
      <c r="G104" t="str">
        <f>VLOOKUP(ClientDB[[#This Row],[Org Code]],organization_table[],2)</f>
        <v>Colot</v>
      </c>
      <c r="H104" s="10" t="s">
        <v>386</v>
      </c>
      <c r="I104" s="10" t="str">
        <f>INDEX(Country,MATCH(ClientDB[[#This Row],[Country Code]],Country_Codes,0),1)</f>
        <v>Belgium</v>
      </c>
      <c r="J104" s="15">
        <v>15</v>
      </c>
      <c r="K104" s="15" t="str">
        <f>IF(ClientDB[[#This Row],[Start Date]]&gt;=$U$14,"New","")</f>
        <v/>
      </c>
      <c r="L104" s="15" t="str">
        <f>IF(AND(ClientDB[[#This Row],[Start Year]]&lt;2016,ClientDB[[#This Row],[Events]]&gt;=6),"Gift","")</f>
        <v/>
      </c>
      <c r="M10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04" s="15">
        <v>3</v>
      </c>
      <c r="O104" s="32">
        <f>ClientDB[[#This Row],[Days]]*IF(ClientDB[[#This Row],[Days]]&gt;1,$V$8,$V$7)</f>
        <v>900</v>
      </c>
      <c r="P10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04" s="15" t="s">
        <v>901</v>
      </c>
      <c r="R104" s="15" t="str">
        <f>INDEX(seat_table,MATCH(ClientDB[[#This Row],[Country Code]],seat_country_code,0),MATCH(ClientDB[[#This Row],[Meal]],meal,0))</f>
        <v>D</v>
      </c>
    </row>
    <row r="105" spans="1:18" x14ac:dyDescent="0.25">
      <c r="A105" s="10">
        <v>17805</v>
      </c>
      <c r="B105" t="s">
        <v>4</v>
      </c>
      <c r="C105" t="s">
        <v>5</v>
      </c>
      <c r="D105" s="18">
        <v>42444</v>
      </c>
      <c r="E105" s="10">
        <f>YEAR(ClientDB[[#This Row],[Start Date]])</f>
        <v>2016</v>
      </c>
      <c r="F105" t="s">
        <v>826</v>
      </c>
      <c r="G105" t="str">
        <f>VLOOKUP(ClientDB[[#This Row],[Org Code]],organization_table[],2)</f>
        <v>Ripple Com</v>
      </c>
      <c r="H105" s="10" t="s">
        <v>7</v>
      </c>
      <c r="I105" s="10" t="str">
        <f>INDEX(Country,MATCH(ClientDB[[#This Row],[Country Code]],Country_Codes,0),1)</f>
        <v>Iran</v>
      </c>
      <c r="J105" s="15">
        <v>7</v>
      </c>
      <c r="K105" s="15" t="str">
        <f>IF(ClientDB[[#This Row],[Start Date]]&gt;=$U$14,"New","")</f>
        <v/>
      </c>
      <c r="L105" s="15" t="str">
        <f>IF(AND(ClientDB[[#This Row],[Start Year]]&lt;2016,ClientDB[[#This Row],[Events]]&gt;=6),"Gift","")</f>
        <v/>
      </c>
      <c r="M10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05" s="15">
        <v>1</v>
      </c>
      <c r="O105" s="32">
        <f>ClientDB[[#This Row],[Days]]*IF(ClientDB[[#This Row],[Days]]&gt;1,$V$8,$V$7)</f>
        <v>350</v>
      </c>
      <c r="P10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05" s="15" t="s">
        <v>901</v>
      </c>
      <c r="R105" s="15" t="str">
        <f>INDEX(seat_table,MATCH(ClientDB[[#This Row],[Country Code]],seat_country_code,0),MATCH(ClientDB[[#This Row],[Meal]],meal,0))</f>
        <v>F</v>
      </c>
    </row>
    <row r="106" spans="1:18" x14ac:dyDescent="0.25">
      <c r="A106" s="10">
        <v>18104</v>
      </c>
      <c r="B106" t="s">
        <v>370</v>
      </c>
      <c r="C106" t="s">
        <v>371</v>
      </c>
      <c r="D106" s="18">
        <v>43753</v>
      </c>
      <c r="E106" s="10">
        <f>YEAR(ClientDB[[#This Row],[Start Date]])</f>
        <v>2019</v>
      </c>
      <c r="F106" t="s">
        <v>804</v>
      </c>
      <c r="G106" t="str">
        <f>VLOOKUP(ClientDB[[#This Row],[Org Code]],organization_table[],2)</f>
        <v>Cyber Data Processing</v>
      </c>
      <c r="H106" s="10" t="s">
        <v>7</v>
      </c>
      <c r="I106" s="10" t="str">
        <f>INDEX(Country,MATCH(ClientDB[[#This Row],[Country Code]],Country_Codes,0),1)</f>
        <v>Iran</v>
      </c>
      <c r="J106" s="15">
        <v>10</v>
      </c>
      <c r="K106" s="15" t="str">
        <f>IF(ClientDB[[#This Row],[Start Date]]&gt;=$U$14,"New","")</f>
        <v/>
      </c>
      <c r="L106" s="15" t="str">
        <f>IF(AND(ClientDB[[#This Row],[Start Year]]&lt;2016,ClientDB[[#This Row],[Events]]&gt;=6),"Gift","")</f>
        <v/>
      </c>
      <c r="M10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06" s="15">
        <v>1</v>
      </c>
      <c r="O106" s="32">
        <f>ClientDB[[#This Row],[Days]]*IF(ClientDB[[#This Row],[Days]]&gt;1,$V$8,$V$7)</f>
        <v>350</v>
      </c>
      <c r="P10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106" s="15" t="s">
        <v>900</v>
      </c>
      <c r="R106" s="15" t="str">
        <f>INDEX(seat_table,MATCH(ClientDB[[#This Row],[Country Code]],seat_country_code,0),MATCH(ClientDB[[#This Row],[Meal]],meal,0))</f>
        <v>A</v>
      </c>
    </row>
    <row r="107" spans="1:18" x14ac:dyDescent="0.25">
      <c r="A107" s="10">
        <v>18235</v>
      </c>
      <c r="B107" t="s">
        <v>23</v>
      </c>
      <c r="C107" t="s">
        <v>24</v>
      </c>
      <c r="D107" s="18">
        <v>43227</v>
      </c>
      <c r="E107" s="10">
        <f>YEAR(ClientDB[[#This Row],[Start Date]])</f>
        <v>2018</v>
      </c>
      <c r="F107" t="s">
        <v>837</v>
      </c>
      <c r="G107" t="str">
        <f>VLOOKUP(ClientDB[[#This Row],[Org Code]],organization_table[],2)</f>
        <v>Verisize</v>
      </c>
      <c r="H107" s="10" t="s">
        <v>26</v>
      </c>
      <c r="I107" s="10" t="str">
        <f>INDEX(Country,MATCH(ClientDB[[#This Row],[Country Code]],Country_Codes,0),1)</f>
        <v>Ukraine</v>
      </c>
      <c r="J107" s="15">
        <v>8</v>
      </c>
      <c r="K107" s="15" t="str">
        <f>IF(ClientDB[[#This Row],[Start Date]]&gt;=$U$14,"New","")</f>
        <v/>
      </c>
      <c r="L107" s="15" t="str">
        <f>IF(AND(ClientDB[[#This Row],[Start Year]]&lt;2016,ClientDB[[#This Row],[Events]]&gt;=6),"Gift","")</f>
        <v/>
      </c>
      <c r="M10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07" s="15">
        <v>2</v>
      </c>
      <c r="O107" s="32">
        <f>ClientDB[[#This Row],[Days]]*IF(ClientDB[[#This Row],[Days]]&gt;1,$V$8,$V$7)</f>
        <v>600</v>
      </c>
      <c r="P10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07" s="15" t="s">
        <v>901</v>
      </c>
      <c r="R107" s="15" t="str">
        <f>INDEX(seat_table,MATCH(ClientDB[[#This Row],[Country Code]],seat_country_code,0),MATCH(ClientDB[[#This Row],[Meal]],meal,0))</f>
        <v>G</v>
      </c>
    </row>
    <row r="108" spans="1:18" x14ac:dyDescent="0.25">
      <c r="A108" s="10">
        <v>18253</v>
      </c>
      <c r="B108" t="s">
        <v>167</v>
      </c>
      <c r="C108" t="s">
        <v>751</v>
      </c>
      <c r="D108" s="18">
        <v>42338</v>
      </c>
      <c r="E108" s="10">
        <f>YEAR(ClientDB[[#This Row],[Start Date]])</f>
        <v>2015</v>
      </c>
      <c r="F108" t="s">
        <v>832</v>
      </c>
      <c r="G108" t="str">
        <f>VLOOKUP(ClientDB[[#This Row],[Org Code]],organization_table[],2)</f>
        <v>TQ Processes</v>
      </c>
      <c r="H108" s="10" t="s">
        <v>97</v>
      </c>
      <c r="I108" s="10" t="str">
        <f>INDEX(Country,MATCH(ClientDB[[#This Row],[Country Code]],Country_Codes,0),1)</f>
        <v>Ireland</v>
      </c>
      <c r="J108" s="15">
        <v>11</v>
      </c>
      <c r="K108" s="15" t="str">
        <f>IF(ClientDB[[#This Row],[Start Date]]&gt;=$U$14,"New","")</f>
        <v/>
      </c>
      <c r="L108" s="15" t="str">
        <f>IF(AND(ClientDB[[#This Row],[Start Year]]&lt;2016,ClientDB[[#This Row],[Events]]&gt;=6),"Gift","")</f>
        <v>Gift</v>
      </c>
      <c r="M10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08" s="15">
        <v>2</v>
      </c>
      <c r="O108" s="32">
        <f>ClientDB[[#This Row],[Days]]*IF(ClientDB[[#This Row],[Days]]&gt;1,$V$8,$V$7)</f>
        <v>600</v>
      </c>
      <c r="P10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08" s="15" t="s">
        <v>900</v>
      </c>
      <c r="R108" s="15" t="str">
        <f>INDEX(seat_table,MATCH(ClientDB[[#This Row],[Country Code]],seat_country_code,0),MATCH(ClientDB[[#This Row],[Meal]],meal,0))</f>
        <v>A</v>
      </c>
    </row>
    <row r="109" spans="1:18" x14ac:dyDescent="0.25">
      <c r="A109" s="10">
        <v>18366</v>
      </c>
      <c r="B109" t="s">
        <v>229</v>
      </c>
      <c r="C109" t="s">
        <v>230</v>
      </c>
      <c r="D109" s="18">
        <v>42580</v>
      </c>
      <c r="E109" s="10">
        <f>YEAR(ClientDB[[#This Row],[Start Date]])</f>
        <v>2016</v>
      </c>
      <c r="F109" t="s">
        <v>839</v>
      </c>
      <c r="G109" t="str">
        <f>VLOOKUP(ClientDB[[#This Row],[Org Code]],organization_table[],2)</f>
        <v>Zconnect, Inc</v>
      </c>
      <c r="H109" s="10" t="s">
        <v>26</v>
      </c>
      <c r="I109" s="10" t="str">
        <f>INDEX(Country,MATCH(ClientDB[[#This Row],[Country Code]],Country_Codes,0),1)</f>
        <v>Ukraine</v>
      </c>
      <c r="J109" s="15">
        <v>5</v>
      </c>
      <c r="K109" s="15" t="str">
        <f>IF(ClientDB[[#This Row],[Start Date]]&gt;=$U$14,"New","")</f>
        <v/>
      </c>
      <c r="L109" s="15" t="str">
        <f>IF(AND(ClientDB[[#This Row],[Start Year]]&lt;2016,ClientDB[[#This Row],[Events]]&gt;=6),"Gift","")</f>
        <v/>
      </c>
      <c r="M10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09" s="15">
        <v>3</v>
      </c>
      <c r="O109" s="32">
        <f>ClientDB[[#This Row],[Days]]*IF(ClientDB[[#This Row],[Days]]&gt;1,$V$8,$V$7)</f>
        <v>900</v>
      </c>
      <c r="P10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09" s="15" t="s">
        <v>899</v>
      </c>
      <c r="R109" s="15" t="str">
        <f>INDEX(seat_table,MATCH(ClientDB[[#This Row],[Country Code]],seat_country_code,0),MATCH(ClientDB[[#This Row],[Meal]],meal,0))</f>
        <v>B</v>
      </c>
    </row>
    <row r="110" spans="1:18" x14ac:dyDescent="0.25">
      <c r="A110" s="10">
        <v>18487</v>
      </c>
      <c r="B110" t="s">
        <v>323</v>
      </c>
      <c r="C110" t="s">
        <v>508</v>
      </c>
      <c r="D110" s="18">
        <v>42515</v>
      </c>
      <c r="E110" s="10">
        <f>YEAR(ClientDB[[#This Row],[Start Date]])</f>
        <v>2016</v>
      </c>
      <c r="F110" t="s">
        <v>796</v>
      </c>
      <c r="G110" t="str">
        <f>VLOOKUP(ClientDB[[#This Row],[Org Code]],organization_table[],2)</f>
        <v>Ares</v>
      </c>
      <c r="H110" s="10" t="s">
        <v>46</v>
      </c>
      <c r="I110" s="10" t="str">
        <f>INDEX(Country,MATCH(ClientDB[[#This Row],[Country Code]],Country_Codes,0),1)</f>
        <v>Germany</v>
      </c>
      <c r="J110" s="15">
        <v>8</v>
      </c>
      <c r="K110" s="15" t="str">
        <f>IF(ClientDB[[#This Row],[Start Date]]&gt;=$U$14,"New","")</f>
        <v/>
      </c>
      <c r="L110" s="15" t="str">
        <f>IF(AND(ClientDB[[#This Row],[Start Year]]&lt;2016,ClientDB[[#This Row],[Events]]&gt;=6),"Gift","")</f>
        <v/>
      </c>
      <c r="M11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10" s="15">
        <v>1</v>
      </c>
      <c r="O110" s="32">
        <f>ClientDB[[#This Row],[Days]]*IF(ClientDB[[#This Row],[Days]]&gt;1,$V$8,$V$7)</f>
        <v>350</v>
      </c>
      <c r="P11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10" s="15" t="s">
        <v>901</v>
      </c>
      <c r="R110" s="15" t="str">
        <f>INDEX(seat_table,MATCH(ClientDB[[#This Row],[Country Code]],seat_country_code,0),MATCH(ClientDB[[#This Row],[Meal]],meal,0))</f>
        <v>D</v>
      </c>
    </row>
    <row r="111" spans="1:18" x14ac:dyDescent="0.25">
      <c r="A111" s="10">
        <v>18489</v>
      </c>
      <c r="B111" t="s">
        <v>156</v>
      </c>
      <c r="C111" t="s">
        <v>157</v>
      </c>
      <c r="D111" s="18">
        <v>43486</v>
      </c>
      <c r="E111" s="10">
        <f>YEAR(ClientDB[[#This Row],[Start Date]])</f>
        <v>2019</v>
      </c>
      <c r="F111" t="s">
        <v>796</v>
      </c>
      <c r="G111" t="str">
        <f>VLOOKUP(ClientDB[[#This Row],[Org Code]],organization_table[],2)</f>
        <v>Ares</v>
      </c>
      <c r="H111" s="10" t="s">
        <v>84</v>
      </c>
      <c r="I111" s="10" t="str">
        <f>INDEX(Country,MATCH(ClientDB[[#This Row],[Country Code]],Country_Codes,0),1)</f>
        <v>Norway</v>
      </c>
      <c r="J111" s="15">
        <v>6</v>
      </c>
      <c r="K111" s="15" t="str">
        <f>IF(ClientDB[[#This Row],[Start Date]]&gt;=$U$14,"New","")</f>
        <v/>
      </c>
      <c r="L111" s="15" t="str">
        <f>IF(AND(ClientDB[[#This Row],[Start Year]]&lt;2016,ClientDB[[#This Row],[Events]]&gt;=6),"Gift","")</f>
        <v/>
      </c>
      <c r="M11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11" s="15">
        <v>2</v>
      </c>
      <c r="O111" s="32">
        <f>ClientDB[[#This Row],[Days]]*IF(ClientDB[[#This Row],[Days]]&gt;1,$V$8,$V$7)</f>
        <v>600</v>
      </c>
      <c r="P11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11" s="15" t="s">
        <v>901</v>
      </c>
      <c r="R111" s="15" t="str">
        <f>INDEX(seat_table,MATCH(ClientDB[[#This Row],[Country Code]],seat_country_code,0),MATCH(ClientDB[[#This Row],[Meal]],meal,0))</f>
        <v>F</v>
      </c>
    </row>
    <row r="112" spans="1:18" x14ac:dyDescent="0.25">
      <c r="A112" s="10">
        <v>18528</v>
      </c>
      <c r="B112" t="s">
        <v>742</v>
      </c>
      <c r="C112" t="s">
        <v>743</v>
      </c>
      <c r="D112" s="18">
        <v>43952</v>
      </c>
      <c r="E112" s="10">
        <f>YEAR(ClientDB[[#This Row],[Start Date]])</f>
        <v>2020</v>
      </c>
      <c r="F112" t="s">
        <v>821</v>
      </c>
      <c r="G112" t="str">
        <f>VLOOKUP(ClientDB[[#This Row],[Org Code]],organization_table[],2)</f>
        <v>Parmis Technologies</v>
      </c>
      <c r="H112" s="10" t="s">
        <v>277</v>
      </c>
      <c r="I112" s="10" t="str">
        <f>INDEX(Country,MATCH(ClientDB[[#This Row],[Country Code]],Country_Codes,0),1)</f>
        <v>Saudi Arabia</v>
      </c>
      <c r="J112" s="15">
        <v>3</v>
      </c>
      <c r="K112" s="15" t="str">
        <f>IF(ClientDB[[#This Row],[Start Date]]&gt;=$U$14,"New","")</f>
        <v>New</v>
      </c>
      <c r="L112" s="15" t="str">
        <f>IF(AND(ClientDB[[#This Row],[Start Year]]&lt;2016,ClientDB[[#This Row],[Events]]&gt;=6),"Gift","")</f>
        <v/>
      </c>
      <c r="M11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12" s="15">
        <v>2</v>
      </c>
      <c r="O112" s="32">
        <f>ClientDB[[#This Row],[Days]]*IF(ClientDB[[#This Row],[Days]]&gt;1,$V$8,$V$7)</f>
        <v>600</v>
      </c>
      <c r="P11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12" s="15" t="s">
        <v>900</v>
      </c>
      <c r="R112" s="15" t="str">
        <f>INDEX(seat_table,MATCH(ClientDB[[#This Row],[Country Code]],seat_country_code,0),MATCH(ClientDB[[#This Row],[Meal]],meal,0))</f>
        <v>C</v>
      </c>
    </row>
    <row r="113" spans="1:18" x14ac:dyDescent="0.25">
      <c r="A113" s="10">
        <v>18536</v>
      </c>
      <c r="B113" t="s">
        <v>231</v>
      </c>
      <c r="C113" t="s">
        <v>232</v>
      </c>
      <c r="D113" s="18">
        <v>42602</v>
      </c>
      <c r="E113" s="10">
        <f>YEAR(ClientDB[[#This Row],[Start Date]])</f>
        <v>2016</v>
      </c>
      <c r="F113" t="s">
        <v>816</v>
      </c>
      <c r="G113" t="str">
        <f>VLOOKUP(ClientDB[[#This Row],[Org Code]],organization_table[],2)</f>
        <v>HeatProof</v>
      </c>
      <c r="H113" s="10" t="s">
        <v>54</v>
      </c>
      <c r="I113" s="10" t="str">
        <f>INDEX(Country,MATCH(ClientDB[[#This Row],[Country Code]],Country_Codes,0),1)</f>
        <v>Romania</v>
      </c>
      <c r="J113" s="15">
        <v>9</v>
      </c>
      <c r="K113" s="15" t="str">
        <f>IF(ClientDB[[#This Row],[Start Date]]&gt;=$U$14,"New","")</f>
        <v/>
      </c>
      <c r="L113" s="15" t="str">
        <f>IF(AND(ClientDB[[#This Row],[Start Year]]&lt;2016,ClientDB[[#This Row],[Events]]&gt;=6),"Gift","")</f>
        <v/>
      </c>
      <c r="M11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13" s="15">
        <v>1</v>
      </c>
      <c r="O113" s="32">
        <f>ClientDB[[#This Row],[Days]]*IF(ClientDB[[#This Row],[Days]]&gt;1,$V$8,$V$7)</f>
        <v>350</v>
      </c>
      <c r="P11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13" s="15" t="s">
        <v>901</v>
      </c>
      <c r="R113" s="15" t="str">
        <f>INDEX(seat_table,MATCH(ClientDB[[#This Row],[Country Code]],seat_country_code,0),MATCH(ClientDB[[#This Row],[Meal]],meal,0))</f>
        <v>G</v>
      </c>
    </row>
    <row r="114" spans="1:18" x14ac:dyDescent="0.25">
      <c r="A114" s="10">
        <v>18610</v>
      </c>
      <c r="B114" t="s">
        <v>350</v>
      </c>
      <c r="C114" t="s">
        <v>766</v>
      </c>
      <c r="D114" s="18">
        <v>43784</v>
      </c>
      <c r="E114" s="10">
        <f>YEAR(ClientDB[[#This Row],[Start Date]])</f>
        <v>2019</v>
      </c>
      <c r="F114" t="s">
        <v>804</v>
      </c>
      <c r="G114" t="str">
        <f>VLOOKUP(ClientDB[[#This Row],[Org Code]],organization_table[],2)</f>
        <v>Cyber Data Processing</v>
      </c>
      <c r="H114" s="10" t="s">
        <v>15</v>
      </c>
      <c r="I114" s="10" t="str">
        <f>INDEX(Country,MATCH(ClientDB[[#This Row],[Country Code]],Country_Codes,0),1)</f>
        <v>United Kingdom</v>
      </c>
      <c r="J114" s="15">
        <v>8</v>
      </c>
      <c r="K114" s="15" t="str">
        <f>IF(ClientDB[[#This Row],[Start Date]]&gt;=$U$14,"New","")</f>
        <v/>
      </c>
      <c r="L114" s="15" t="str">
        <f>IF(AND(ClientDB[[#This Row],[Start Year]]&lt;2016,ClientDB[[#This Row],[Events]]&gt;=6),"Gift","")</f>
        <v/>
      </c>
      <c r="M11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14" s="15">
        <v>3</v>
      </c>
      <c r="O114" s="32">
        <f>ClientDB[[#This Row],[Days]]*IF(ClientDB[[#This Row],[Days]]&gt;1,$V$8,$V$7)</f>
        <v>900</v>
      </c>
      <c r="P11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14" s="15" t="s">
        <v>899</v>
      </c>
      <c r="R114" s="15" t="str">
        <f>INDEX(seat_table,MATCH(ClientDB[[#This Row],[Country Code]],seat_country_code,0),MATCH(ClientDB[[#This Row],[Meal]],meal,0))</f>
        <v>A</v>
      </c>
    </row>
    <row r="115" spans="1:18" x14ac:dyDescent="0.25">
      <c r="A115" s="10">
        <v>18895</v>
      </c>
      <c r="B115" t="s">
        <v>242</v>
      </c>
      <c r="C115" t="s">
        <v>243</v>
      </c>
      <c r="D115" s="18">
        <v>43188</v>
      </c>
      <c r="E115" s="10">
        <f>YEAR(ClientDB[[#This Row],[Start Date]])</f>
        <v>2018</v>
      </c>
      <c r="F115" t="s">
        <v>798</v>
      </c>
      <c r="G115" t="str">
        <f>VLOOKUP(ClientDB[[#This Row],[Org Code]],organization_table[],2)</f>
        <v>Axell Group</v>
      </c>
      <c r="H115" s="10" t="s">
        <v>146</v>
      </c>
      <c r="I115" s="10" t="str">
        <f>INDEX(Country,MATCH(ClientDB[[#This Row],[Country Code]],Country_Codes,0),1)</f>
        <v>Russia</v>
      </c>
      <c r="J115" s="15">
        <v>12</v>
      </c>
      <c r="K115" s="15" t="str">
        <f>IF(ClientDB[[#This Row],[Start Date]]&gt;=$U$14,"New","")</f>
        <v/>
      </c>
      <c r="L115" s="15" t="str">
        <f>IF(AND(ClientDB[[#This Row],[Start Year]]&lt;2016,ClientDB[[#This Row],[Events]]&gt;=6),"Gift","")</f>
        <v/>
      </c>
      <c r="M11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15" s="15">
        <v>3</v>
      </c>
      <c r="O115" s="32">
        <f>ClientDB[[#This Row],[Days]]*IF(ClientDB[[#This Row],[Days]]&gt;1,$V$8,$V$7)</f>
        <v>900</v>
      </c>
      <c r="P11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15" s="15" t="s">
        <v>901</v>
      </c>
      <c r="R115" s="15" t="str">
        <f>INDEX(seat_table,MATCH(ClientDB[[#This Row],[Country Code]],seat_country_code,0),MATCH(ClientDB[[#This Row],[Meal]],meal,0))</f>
        <v>G</v>
      </c>
    </row>
    <row r="116" spans="1:18" x14ac:dyDescent="0.25">
      <c r="A116" s="10">
        <v>19009</v>
      </c>
      <c r="B116" t="s">
        <v>768</v>
      </c>
      <c r="C116" t="s">
        <v>769</v>
      </c>
      <c r="D116" s="18">
        <v>43038</v>
      </c>
      <c r="E116" s="10">
        <f>YEAR(ClientDB[[#This Row],[Start Date]])</f>
        <v>2017</v>
      </c>
      <c r="F116" t="s">
        <v>824</v>
      </c>
      <c r="G116" t="str">
        <f>VLOOKUP(ClientDB[[#This Row],[Org Code]],organization_table[],2)</f>
        <v>Pink Cloud Networks</v>
      </c>
      <c r="H116" s="10" t="s">
        <v>59</v>
      </c>
      <c r="I116" s="10" t="str">
        <f>INDEX(Country,MATCH(ClientDB[[#This Row],[Country Code]],Country_Codes,0),1)</f>
        <v>Netherlands</v>
      </c>
      <c r="J116" s="15">
        <v>3</v>
      </c>
      <c r="K116" s="15" t="str">
        <f>IF(ClientDB[[#This Row],[Start Date]]&gt;=$U$14,"New","")</f>
        <v/>
      </c>
      <c r="L116" s="15" t="str">
        <f>IF(AND(ClientDB[[#This Row],[Start Year]]&lt;2016,ClientDB[[#This Row],[Events]]&gt;=6),"Gift","")</f>
        <v/>
      </c>
      <c r="M11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16" s="15">
        <v>1</v>
      </c>
      <c r="O116" s="32">
        <f>ClientDB[[#This Row],[Days]]*IF(ClientDB[[#This Row],[Days]]&gt;1,$V$8,$V$7)</f>
        <v>350</v>
      </c>
      <c r="P11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16" s="15" t="s">
        <v>901</v>
      </c>
      <c r="R116" s="15" t="str">
        <f>INDEX(seat_table,MATCH(ClientDB[[#This Row],[Country Code]],seat_country_code,0),MATCH(ClientDB[[#This Row],[Meal]],meal,0))</f>
        <v>F</v>
      </c>
    </row>
    <row r="117" spans="1:18" x14ac:dyDescent="0.25">
      <c r="A117" s="10">
        <v>19381</v>
      </c>
      <c r="B117" t="s">
        <v>497</v>
      </c>
      <c r="C117" t="s">
        <v>498</v>
      </c>
      <c r="D117" s="18">
        <v>42915</v>
      </c>
      <c r="E117" s="10">
        <f>YEAR(ClientDB[[#This Row],[Start Date]])</f>
        <v>2017</v>
      </c>
      <c r="F117" t="s">
        <v>835</v>
      </c>
      <c r="G117" t="str">
        <f>VLOOKUP(ClientDB[[#This Row],[Org Code]],organization_table[],2)</f>
        <v>WWT</v>
      </c>
      <c r="H117" s="10" t="s">
        <v>46</v>
      </c>
      <c r="I117" s="10" t="str">
        <f>INDEX(Country,MATCH(ClientDB[[#This Row],[Country Code]],Country_Codes,0),1)</f>
        <v>Germany</v>
      </c>
      <c r="J117" s="15">
        <v>6</v>
      </c>
      <c r="K117" s="15" t="str">
        <f>IF(ClientDB[[#This Row],[Start Date]]&gt;=$U$14,"New","")</f>
        <v/>
      </c>
      <c r="L117" s="15" t="str">
        <f>IF(AND(ClientDB[[#This Row],[Start Year]]&lt;2016,ClientDB[[#This Row],[Events]]&gt;=6),"Gift","")</f>
        <v/>
      </c>
      <c r="M11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17" s="15">
        <v>3</v>
      </c>
      <c r="O117" s="32">
        <f>ClientDB[[#This Row],[Days]]*IF(ClientDB[[#This Row],[Days]]&gt;1,$V$8,$V$7)</f>
        <v>900</v>
      </c>
      <c r="P11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17" s="15" t="s">
        <v>899</v>
      </c>
      <c r="R117" s="15" t="str">
        <f>INDEX(seat_table,MATCH(ClientDB[[#This Row],[Country Code]],seat_country_code,0),MATCH(ClientDB[[#This Row],[Meal]],meal,0))</f>
        <v>A</v>
      </c>
    </row>
    <row r="118" spans="1:18" x14ac:dyDescent="0.25">
      <c r="A118" s="10">
        <v>19467</v>
      </c>
      <c r="B118" t="s">
        <v>721</v>
      </c>
      <c r="C118" t="s">
        <v>722</v>
      </c>
      <c r="D118" s="18">
        <v>42388</v>
      </c>
      <c r="E118" s="10">
        <f>YEAR(ClientDB[[#This Row],[Start Date]])</f>
        <v>2016</v>
      </c>
      <c r="F118" t="s">
        <v>827</v>
      </c>
      <c r="G118" t="str">
        <f>VLOOKUP(ClientDB[[#This Row],[Org Code]],organization_table[],2)</f>
        <v>Ripple Com</v>
      </c>
      <c r="H118" s="10" t="s">
        <v>15</v>
      </c>
      <c r="I118" s="10" t="str">
        <f>INDEX(Country,MATCH(ClientDB[[#This Row],[Country Code]],Country_Codes,0),1)</f>
        <v>United Kingdom</v>
      </c>
      <c r="J118" s="15">
        <v>13</v>
      </c>
      <c r="K118" s="15" t="str">
        <f>IF(ClientDB[[#This Row],[Start Date]]&gt;=$U$14,"New","")</f>
        <v/>
      </c>
      <c r="L118" s="15" t="str">
        <f>IF(AND(ClientDB[[#This Row],[Start Year]]&lt;2016,ClientDB[[#This Row],[Events]]&gt;=6),"Gift","")</f>
        <v/>
      </c>
      <c r="M11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18" s="15">
        <v>1</v>
      </c>
      <c r="O118" s="32">
        <f>ClientDB[[#This Row],[Days]]*IF(ClientDB[[#This Row],[Days]]&gt;1,$V$8,$V$7)</f>
        <v>350</v>
      </c>
      <c r="P11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118" s="15" t="s">
        <v>901</v>
      </c>
      <c r="R118" s="15" t="str">
        <f>INDEX(seat_table,MATCH(ClientDB[[#This Row],[Country Code]],seat_country_code,0),MATCH(ClientDB[[#This Row],[Meal]],meal,0))</f>
        <v>E</v>
      </c>
    </row>
    <row r="119" spans="1:18" x14ac:dyDescent="0.25">
      <c r="A119" s="10">
        <v>19488</v>
      </c>
      <c r="B119" t="s">
        <v>81</v>
      </c>
      <c r="C119" t="s">
        <v>82</v>
      </c>
      <c r="D119" s="18">
        <v>42327</v>
      </c>
      <c r="E119" s="10">
        <f>YEAR(ClientDB[[#This Row],[Start Date]])</f>
        <v>2015</v>
      </c>
      <c r="F119" t="s">
        <v>828</v>
      </c>
      <c r="G119" t="str">
        <f>VLOOKUP(ClientDB[[#This Row],[Org Code]],organization_table[],2)</f>
        <v>Steps IT Training</v>
      </c>
      <c r="H119" s="10" t="s">
        <v>84</v>
      </c>
      <c r="I119" s="10" t="str">
        <f>INDEX(Country,MATCH(ClientDB[[#This Row],[Country Code]],Country_Codes,0),1)</f>
        <v>Norway</v>
      </c>
      <c r="J119" s="15">
        <v>21</v>
      </c>
      <c r="K119" s="15" t="str">
        <f>IF(ClientDB[[#This Row],[Start Date]]&gt;=$U$14,"New","")</f>
        <v/>
      </c>
      <c r="L119" s="15" t="str">
        <f>IF(AND(ClientDB[[#This Row],[Start Year]]&lt;2016,ClientDB[[#This Row],[Events]]&gt;=6),"Gift","")</f>
        <v>Gift</v>
      </c>
      <c r="M11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119" s="15">
        <v>2</v>
      </c>
      <c r="O119" s="32">
        <f>ClientDB[[#This Row],[Days]]*IF(ClientDB[[#This Row],[Days]]&gt;1,$V$8,$V$7)</f>
        <v>600</v>
      </c>
      <c r="P11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19" s="15" t="s">
        <v>901</v>
      </c>
      <c r="R119" s="15" t="str">
        <f>INDEX(seat_table,MATCH(ClientDB[[#This Row],[Country Code]],seat_country_code,0),MATCH(ClientDB[[#This Row],[Meal]],meal,0))</f>
        <v>F</v>
      </c>
    </row>
    <row r="120" spans="1:18" x14ac:dyDescent="0.25">
      <c r="A120" s="10">
        <v>19639</v>
      </c>
      <c r="B120" t="s">
        <v>135</v>
      </c>
      <c r="C120" t="s">
        <v>577</v>
      </c>
      <c r="D120" s="18">
        <v>42786</v>
      </c>
      <c r="E120" s="10">
        <f>YEAR(ClientDB[[#This Row],[Start Date]])</f>
        <v>2017</v>
      </c>
      <c r="F120" t="s">
        <v>815</v>
      </c>
      <c r="G120" t="str">
        <f>VLOOKUP(ClientDB[[#This Row],[Org Code]],organization_table[],2)</f>
        <v>Intelligence Systems</v>
      </c>
      <c r="H120" s="10" t="s">
        <v>578</v>
      </c>
      <c r="I120" s="10" t="str">
        <f>INDEX(Country,MATCH(ClientDB[[#This Row],[Country Code]],Country_Codes,0),1)</f>
        <v>Canada</v>
      </c>
      <c r="J120" s="15">
        <v>10</v>
      </c>
      <c r="K120" s="15" t="str">
        <f>IF(ClientDB[[#This Row],[Start Date]]&gt;=$U$14,"New","")</f>
        <v/>
      </c>
      <c r="L120" s="15" t="str">
        <f>IF(AND(ClientDB[[#This Row],[Start Year]]&lt;2016,ClientDB[[#This Row],[Events]]&gt;=6),"Gift","")</f>
        <v/>
      </c>
      <c r="M12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20" s="15">
        <v>1</v>
      </c>
      <c r="O120" s="32">
        <f>ClientDB[[#This Row],[Days]]*IF(ClientDB[[#This Row],[Days]]&gt;1,$V$8,$V$7)</f>
        <v>350</v>
      </c>
      <c r="P12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120" s="15" t="s">
        <v>902</v>
      </c>
      <c r="R120" s="15" t="str">
        <f>INDEX(seat_table,MATCH(ClientDB[[#This Row],[Country Code]],seat_country_code,0),MATCH(ClientDB[[#This Row],[Meal]],meal,0))</f>
        <v>B</v>
      </c>
    </row>
    <row r="121" spans="1:18" x14ac:dyDescent="0.25">
      <c r="A121" s="10">
        <v>19766</v>
      </c>
      <c r="B121" t="s">
        <v>216</v>
      </c>
      <c r="C121" t="s">
        <v>217</v>
      </c>
      <c r="D121" s="18">
        <v>43445</v>
      </c>
      <c r="E121" s="10">
        <f>YEAR(ClientDB[[#This Row],[Start Date]])</f>
        <v>2018</v>
      </c>
      <c r="F121" t="s">
        <v>839</v>
      </c>
      <c r="G121" t="str">
        <f>VLOOKUP(ClientDB[[#This Row],[Org Code]],organization_table[],2)</f>
        <v>Zconnect, Inc</v>
      </c>
      <c r="H121" s="10" t="s">
        <v>218</v>
      </c>
      <c r="I121" s="10" t="str">
        <f>INDEX(Country,MATCH(ClientDB[[#This Row],[Country Code]],Country_Codes,0),1)</f>
        <v>Estonia</v>
      </c>
      <c r="J121" s="15">
        <v>5</v>
      </c>
      <c r="K121" s="15" t="str">
        <f>IF(ClientDB[[#This Row],[Start Date]]&gt;=$U$14,"New","")</f>
        <v/>
      </c>
      <c r="L121" s="15" t="str">
        <f>IF(AND(ClientDB[[#This Row],[Start Year]]&lt;2016,ClientDB[[#This Row],[Events]]&gt;=6),"Gift","")</f>
        <v/>
      </c>
      <c r="M12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21" s="15">
        <v>3</v>
      </c>
      <c r="O121" s="32">
        <f>ClientDB[[#This Row],[Days]]*IF(ClientDB[[#This Row],[Days]]&gt;1,$V$8,$V$7)</f>
        <v>900</v>
      </c>
      <c r="P12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21" s="15" t="s">
        <v>901</v>
      </c>
      <c r="R121" s="15" t="str">
        <f>INDEX(seat_table,MATCH(ClientDB[[#This Row],[Country Code]],seat_country_code,0),MATCH(ClientDB[[#This Row],[Meal]],meal,0))</f>
        <v>D</v>
      </c>
    </row>
    <row r="122" spans="1:18" x14ac:dyDescent="0.25">
      <c r="A122" s="10">
        <v>20093</v>
      </c>
      <c r="B122" t="s">
        <v>557</v>
      </c>
      <c r="C122" t="s">
        <v>558</v>
      </c>
      <c r="D122" s="18">
        <v>42403</v>
      </c>
      <c r="E122" s="10">
        <f>YEAR(ClientDB[[#This Row],[Start Date]])</f>
        <v>2016</v>
      </c>
      <c r="F122" t="s">
        <v>827</v>
      </c>
      <c r="G122" t="str">
        <f>VLOOKUP(ClientDB[[#This Row],[Org Code]],organization_table[],2)</f>
        <v>Ripple Com</v>
      </c>
      <c r="H122" s="10" t="s">
        <v>15</v>
      </c>
      <c r="I122" s="10" t="str">
        <f>INDEX(Country,MATCH(ClientDB[[#This Row],[Country Code]],Country_Codes,0),1)</f>
        <v>United Kingdom</v>
      </c>
      <c r="J122" s="15">
        <v>28</v>
      </c>
      <c r="K122" s="15" t="str">
        <f>IF(ClientDB[[#This Row],[Start Date]]&gt;=$U$14,"New","")</f>
        <v/>
      </c>
      <c r="L122" s="15" t="str">
        <f>IF(AND(ClientDB[[#This Row],[Start Year]]&lt;2016,ClientDB[[#This Row],[Events]]&gt;=6),"Gift","")</f>
        <v/>
      </c>
      <c r="M12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122" s="15">
        <v>3</v>
      </c>
      <c r="O122" s="32">
        <f>ClientDB[[#This Row],[Days]]*IF(ClientDB[[#This Row],[Days]]&gt;1,$V$8,$V$7)</f>
        <v>900</v>
      </c>
      <c r="P12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22" s="15" t="s">
        <v>899</v>
      </c>
      <c r="R122" s="15" t="str">
        <f>INDEX(seat_table,MATCH(ClientDB[[#This Row],[Country Code]],seat_country_code,0),MATCH(ClientDB[[#This Row],[Meal]],meal,0))</f>
        <v>A</v>
      </c>
    </row>
    <row r="123" spans="1:18" x14ac:dyDescent="0.25">
      <c r="A123" s="10">
        <v>20210</v>
      </c>
      <c r="B123" t="s">
        <v>468</v>
      </c>
      <c r="C123" t="s">
        <v>469</v>
      </c>
      <c r="D123" s="18">
        <v>43467</v>
      </c>
      <c r="E123" s="10">
        <f>YEAR(ClientDB[[#This Row],[Start Date]])</f>
        <v>2019</v>
      </c>
      <c r="F123" t="s">
        <v>827</v>
      </c>
      <c r="G123" t="str">
        <f>VLOOKUP(ClientDB[[#This Row],[Org Code]],organization_table[],2)</f>
        <v>Ripple Com</v>
      </c>
      <c r="H123" s="10" t="s">
        <v>34</v>
      </c>
      <c r="I123" s="10" t="str">
        <f>INDEX(Country,MATCH(ClientDB[[#This Row],[Country Code]],Country_Codes,0),1)</f>
        <v>United States</v>
      </c>
      <c r="J123" s="15">
        <v>13</v>
      </c>
      <c r="K123" s="15" t="str">
        <f>IF(ClientDB[[#This Row],[Start Date]]&gt;=$U$14,"New","")</f>
        <v/>
      </c>
      <c r="L123" s="15" t="str">
        <f>IF(AND(ClientDB[[#This Row],[Start Year]]&lt;2016,ClientDB[[#This Row],[Events]]&gt;=6),"Gift","")</f>
        <v/>
      </c>
      <c r="M12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23" s="15">
        <v>3</v>
      </c>
      <c r="O123" s="32">
        <f>ClientDB[[#This Row],[Days]]*IF(ClientDB[[#This Row],[Days]]&gt;1,$V$8,$V$7)</f>
        <v>900</v>
      </c>
      <c r="P12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23" s="15" t="s">
        <v>901</v>
      </c>
      <c r="R123" s="15" t="str">
        <f>INDEX(seat_table,MATCH(ClientDB[[#This Row],[Country Code]],seat_country_code,0),MATCH(ClientDB[[#This Row],[Meal]],meal,0))</f>
        <v>G</v>
      </c>
    </row>
    <row r="124" spans="1:18" x14ac:dyDescent="0.25">
      <c r="A124" s="10">
        <v>20262</v>
      </c>
      <c r="B124" t="s">
        <v>253</v>
      </c>
      <c r="C124" t="s">
        <v>254</v>
      </c>
      <c r="D124" s="18">
        <v>42359</v>
      </c>
      <c r="E124" s="10">
        <f>YEAR(ClientDB[[#This Row],[Start Date]])</f>
        <v>2015</v>
      </c>
      <c r="F124" t="s">
        <v>827</v>
      </c>
      <c r="G124" t="str">
        <f>VLOOKUP(ClientDB[[#This Row],[Org Code]],organization_table[],2)</f>
        <v>Ripple Com</v>
      </c>
      <c r="H124" s="10" t="s">
        <v>15</v>
      </c>
      <c r="I124" s="10" t="str">
        <f>INDEX(Country,MATCH(ClientDB[[#This Row],[Country Code]],Country_Codes,0),1)</f>
        <v>United Kingdom</v>
      </c>
      <c r="J124" s="15">
        <v>5</v>
      </c>
      <c r="K124" s="15" t="str">
        <f>IF(ClientDB[[#This Row],[Start Date]]&gt;=$U$14,"New","")</f>
        <v/>
      </c>
      <c r="L124" s="15" t="str">
        <f>IF(AND(ClientDB[[#This Row],[Start Year]]&lt;2016,ClientDB[[#This Row],[Events]]&gt;=6),"Gift","")</f>
        <v/>
      </c>
      <c r="M12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24" s="15">
        <v>2</v>
      </c>
      <c r="O124" s="32">
        <f>ClientDB[[#This Row],[Days]]*IF(ClientDB[[#This Row],[Days]]&gt;1,$V$8,$V$7)</f>
        <v>600</v>
      </c>
      <c r="P12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24" s="15" t="s">
        <v>900</v>
      </c>
      <c r="R124" s="15" t="str">
        <f>INDEX(seat_table,MATCH(ClientDB[[#This Row],[Country Code]],seat_country_code,0),MATCH(ClientDB[[#This Row],[Meal]],meal,0))</f>
        <v>A</v>
      </c>
    </row>
    <row r="125" spans="1:18" x14ac:dyDescent="0.25">
      <c r="A125" s="10">
        <v>20326</v>
      </c>
      <c r="B125" t="s">
        <v>275</v>
      </c>
      <c r="C125" t="s">
        <v>276</v>
      </c>
      <c r="D125" s="18">
        <v>42859</v>
      </c>
      <c r="E125" s="10">
        <f>YEAR(ClientDB[[#This Row],[Start Date]])</f>
        <v>2017</v>
      </c>
      <c r="F125" t="s">
        <v>822</v>
      </c>
      <c r="G125" t="str">
        <f>VLOOKUP(ClientDB[[#This Row],[Org Code]],organization_table[],2)</f>
        <v>PicSure</v>
      </c>
      <c r="H125" s="10" t="s">
        <v>277</v>
      </c>
      <c r="I125" s="10" t="str">
        <f>INDEX(Country,MATCH(ClientDB[[#This Row],[Country Code]],Country_Codes,0),1)</f>
        <v>Saudi Arabia</v>
      </c>
      <c r="J125" s="15">
        <v>9</v>
      </c>
      <c r="K125" s="15" t="str">
        <f>IF(ClientDB[[#This Row],[Start Date]]&gt;=$U$14,"New","")</f>
        <v/>
      </c>
      <c r="L125" s="15" t="str">
        <f>IF(AND(ClientDB[[#This Row],[Start Year]]&lt;2016,ClientDB[[#This Row],[Events]]&gt;=6),"Gift","")</f>
        <v/>
      </c>
      <c r="M12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25" s="15">
        <v>1</v>
      </c>
      <c r="O125" s="32">
        <f>ClientDB[[#This Row],[Days]]*IF(ClientDB[[#This Row],[Days]]&gt;1,$V$8,$V$7)</f>
        <v>350</v>
      </c>
      <c r="P12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25" s="15" t="s">
        <v>902</v>
      </c>
      <c r="R125" s="15" t="str">
        <f>INDEX(seat_table,MATCH(ClientDB[[#This Row],[Country Code]],seat_country_code,0),MATCH(ClientDB[[#This Row],[Meal]],meal,0))</f>
        <v>C</v>
      </c>
    </row>
    <row r="126" spans="1:18" x14ac:dyDescent="0.25">
      <c r="A126" s="10">
        <v>20467</v>
      </c>
      <c r="B126" t="s">
        <v>296</v>
      </c>
      <c r="C126" t="s">
        <v>420</v>
      </c>
      <c r="D126" s="18">
        <v>42522</v>
      </c>
      <c r="E126" s="10">
        <f>YEAR(ClientDB[[#This Row],[Start Date]])</f>
        <v>2016</v>
      </c>
      <c r="F126" t="s">
        <v>811</v>
      </c>
      <c r="G126" t="str">
        <f>VLOOKUP(ClientDB[[#This Row],[Org Code]],organization_table[],2)</f>
        <v>Ebony Telecoms</v>
      </c>
      <c r="H126" s="10" t="s">
        <v>363</v>
      </c>
      <c r="I126" s="10" t="str">
        <f>INDEX(Country,MATCH(ClientDB[[#This Row],[Country Code]],Country_Codes,0),1)</f>
        <v>Hong Kong</v>
      </c>
      <c r="J126" s="15">
        <v>2</v>
      </c>
      <c r="K126" s="15" t="str">
        <f>IF(ClientDB[[#This Row],[Start Date]]&gt;=$U$14,"New","")</f>
        <v/>
      </c>
      <c r="L126" s="15" t="str">
        <f>IF(AND(ClientDB[[#This Row],[Start Year]]&lt;2016,ClientDB[[#This Row],[Events]]&gt;=6),"Gift","")</f>
        <v/>
      </c>
      <c r="M12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26" s="15">
        <v>2</v>
      </c>
      <c r="O126" s="32">
        <f>ClientDB[[#This Row],[Days]]*IF(ClientDB[[#This Row],[Days]]&gt;1,$V$8,$V$7)</f>
        <v>600</v>
      </c>
      <c r="P12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26" s="15" t="s">
        <v>902</v>
      </c>
      <c r="R126" s="15" t="str">
        <f>INDEX(seat_table,MATCH(ClientDB[[#This Row],[Country Code]],seat_country_code,0),MATCH(ClientDB[[#This Row],[Meal]],meal,0))</f>
        <v>C</v>
      </c>
    </row>
    <row r="127" spans="1:18" x14ac:dyDescent="0.25">
      <c r="A127" s="10">
        <v>20546</v>
      </c>
      <c r="B127" t="s">
        <v>625</v>
      </c>
      <c r="C127" t="s">
        <v>626</v>
      </c>
      <c r="D127" s="18">
        <v>42499</v>
      </c>
      <c r="E127" s="10">
        <f>YEAR(ClientDB[[#This Row],[Start Date]])</f>
        <v>2016</v>
      </c>
      <c r="F127" t="s">
        <v>814</v>
      </c>
      <c r="G127" t="str">
        <f>VLOOKUP(ClientDB[[#This Row],[Org Code]],organization_table[],2)</f>
        <v>IPI Bucharest</v>
      </c>
      <c r="H127" s="10" t="s">
        <v>7</v>
      </c>
      <c r="I127" s="10" t="str">
        <f>INDEX(Country,MATCH(ClientDB[[#This Row],[Country Code]],Country_Codes,0),1)</f>
        <v>Iran</v>
      </c>
      <c r="J127" s="15">
        <v>8</v>
      </c>
      <c r="K127" s="15" t="str">
        <f>IF(ClientDB[[#This Row],[Start Date]]&gt;=$U$14,"New","")</f>
        <v/>
      </c>
      <c r="L127" s="15" t="str">
        <f>IF(AND(ClientDB[[#This Row],[Start Year]]&lt;2016,ClientDB[[#This Row],[Events]]&gt;=6),"Gift","")</f>
        <v/>
      </c>
      <c r="M12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27" s="15">
        <v>1</v>
      </c>
      <c r="O127" s="32">
        <f>ClientDB[[#This Row],[Days]]*IF(ClientDB[[#This Row],[Days]]&gt;1,$V$8,$V$7)</f>
        <v>350</v>
      </c>
      <c r="P12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27" s="15" t="s">
        <v>899</v>
      </c>
      <c r="R127" s="15" t="str">
        <f>INDEX(seat_table,MATCH(ClientDB[[#This Row],[Country Code]],seat_country_code,0),MATCH(ClientDB[[#This Row],[Meal]],meal,0))</f>
        <v>A</v>
      </c>
    </row>
    <row r="128" spans="1:18" x14ac:dyDescent="0.25">
      <c r="A128" s="10">
        <v>20580</v>
      </c>
      <c r="B128" t="s">
        <v>438</v>
      </c>
      <c r="C128" t="s">
        <v>439</v>
      </c>
      <c r="D128" s="18">
        <v>42761</v>
      </c>
      <c r="E128" s="10">
        <f>YEAR(ClientDB[[#This Row],[Start Date]])</f>
        <v>2017</v>
      </c>
      <c r="F128" t="s">
        <v>827</v>
      </c>
      <c r="G128" t="str">
        <f>VLOOKUP(ClientDB[[#This Row],[Org Code]],organization_table[],2)</f>
        <v>Ripple Com</v>
      </c>
      <c r="H128" s="10" t="s">
        <v>15</v>
      </c>
      <c r="I128" s="10" t="str">
        <f>INDEX(Country,MATCH(ClientDB[[#This Row],[Country Code]],Country_Codes,0),1)</f>
        <v>United Kingdom</v>
      </c>
      <c r="J128" s="15">
        <v>12</v>
      </c>
      <c r="K128" s="15" t="str">
        <f>IF(ClientDB[[#This Row],[Start Date]]&gt;=$U$14,"New","")</f>
        <v/>
      </c>
      <c r="L128" s="15" t="str">
        <f>IF(AND(ClientDB[[#This Row],[Start Year]]&lt;2016,ClientDB[[#This Row],[Events]]&gt;=6),"Gift","")</f>
        <v/>
      </c>
      <c r="M12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28" s="15">
        <v>2</v>
      </c>
      <c r="O128" s="32">
        <f>ClientDB[[#This Row],[Days]]*IF(ClientDB[[#This Row],[Days]]&gt;1,$V$8,$V$7)</f>
        <v>600</v>
      </c>
      <c r="P12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28" s="15" t="s">
        <v>901</v>
      </c>
      <c r="R128" s="15" t="str">
        <f>INDEX(seat_table,MATCH(ClientDB[[#This Row],[Country Code]],seat_country_code,0),MATCH(ClientDB[[#This Row],[Meal]],meal,0))</f>
        <v>E</v>
      </c>
    </row>
    <row r="129" spans="1:18" x14ac:dyDescent="0.25">
      <c r="A129" s="10">
        <v>20596</v>
      </c>
      <c r="B129" t="s">
        <v>641</v>
      </c>
      <c r="C129" t="s">
        <v>642</v>
      </c>
      <c r="D129" s="18">
        <v>42647</v>
      </c>
      <c r="E129" s="10">
        <f>YEAR(ClientDB[[#This Row],[Start Date]])</f>
        <v>2016</v>
      </c>
      <c r="F129" t="s">
        <v>815</v>
      </c>
      <c r="G129" t="str">
        <f>VLOOKUP(ClientDB[[#This Row],[Org Code]],organization_table[],2)</f>
        <v>Intelligence Systems</v>
      </c>
      <c r="H129" s="10" t="s">
        <v>643</v>
      </c>
      <c r="I129" s="10" t="str">
        <f>INDEX(Country,MATCH(ClientDB[[#This Row],[Country Code]],Country_Codes,0),1)</f>
        <v>Turkey</v>
      </c>
      <c r="J129" s="15">
        <v>20</v>
      </c>
      <c r="K129" s="15" t="str">
        <f>IF(ClientDB[[#This Row],[Start Date]]&gt;=$U$14,"New","")</f>
        <v/>
      </c>
      <c r="L129" s="15" t="str">
        <f>IF(AND(ClientDB[[#This Row],[Start Year]]&lt;2016,ClientDB[[#This Row],[Events]]&gt;=6),"Gift","")</f>
        <v/>
      </c>
      <c r="M12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129" s="15">
        <v>3</v>
      </c>
      <c r="O129" s="32">
        <f>ClientDB[[#This Row],[Days]]*IF(ClientDB[[#This Row],[Days]]&gt;1,$V$8,$V$7)</f>
        <v>900</v>
      </c>
      <c r="P12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29" s="15" t="s">
        <v>899</v>
      </c>
      <c r="R129" s="15" t="str">
        <f>INDEX(seat_table,MATCH(ClientDB[[#This Row],[Country Code]],seat_country_code,0),MATCH(ClientDB[[#This Row],[Meal]],meal,0))</f>
        <v>B</v>
      </c>
    </row>
    <row r="130" spans="1:18" x14ac:dyDescent="0.25">
      <c r="A130" s="10">
        <v>20616</v>
      </c>
      <c r="B130" t="s">
        <v>204</v>
      </c>
      <c r="C130" t="s">
        <v>205</v>
      </c>
      <c r="D130" s="18">
        <v>43375</v>
      </c>
      <c r="E130" s="10">
        <f>YEAR(ClientDB[[#This Row],[Start Date]])</f>
        <v>2018</v>
      </c>
      <c r="F130" t="s">
        <v>808</v>
      </c>
      <c r="G130" t="str">
        <f>VLOOKUP(ClientDB[[#This Row],[Org Code]],organization_table[],2)</f>
        <v>Ebony Telecoms</v>
      </c>
      <c r="H130" s="10" t="s">
        <v>121</v>
      </c>
      <c r="I130" s="10" t="str">
        <f>INDEX(Country,MATCH(ClientDB[[#This Row],[Country Code]],Country_Codes,0),1)</f>
        <v>Portugal</v>
      </c>
      <c r="J130" s="15">
        <v>2</v>
      </c>
      <c r="K130" s="15" t="str">
        <f>IF(ClientDB[[#This Row],[Start Date]]&gt;=$U$14,"New","")</f>
        <v/>
      </c>
      <c r="L130" s="15" t="str">
        <f>IF(AND(ClientDB[[#This Row],[Start Year]]&lt;2016,ClientDB[[#This Row],[Events]]&gt;=6),"Gift","")</f>
        <v/>
      </c>
      <c r="M13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30" s="15">
        <v>1</v>
      </c>
      <c r="O130" s="32">
        <f>ClientDB[[#This Row],[Days]]*IF(ClientDB[[#This Row],[Days]]&gt;1,$V$8,$V$7)</f>
        <v>350</v>
      </c>
      <c r="P13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30" s="15" t="s">
        <v>901</v>
      </c>
      <c r="R130" s="15" t="str">
        <f>INDEX(seat_table,MATCH(ClientDB[[#This Row],[Country Code]],seat_country_code,0),MATCH(ClientDB[[#This Row],[Meal]],meal,0))</f>
        <v>G</v>
      </c>
    </row>
    <row r="131" spans="1:18" x14ac:dyDescent="0.25">
      <c r="A131" s="10">
        <v>20626</v>
      </c>
      <c r="B131" t="s">
        <v>636</v>
      </c>
      <c r="C131" t="s">
        <v>637</v>
      </c>
      <c r="D131" s="18">
        <v>42591</v>
      </c>
      <c r="E131" s="10">
        <f>YEAR(ClientDB[[#This Row],[Start Date]])</f>
        <v>2016</v>
      </c>
      <c r="F131" t="s">
        <v>809</v>
      </c>
      <c r="G131" t="str">
        <f>VLOOKUP(ClientDB[[#This Row],[Org Code]],organization_table[],2)</f>
        <v>Epsilon Tech</v>
      </c>
      <c r="H131" s="10" t="s">
        <v>262</v>
      </c>
      <c r="I131" s="10" t="str">
        <f>INDEX(Country,MATCH(ClientDB[[#This Row],[Country Code]],Country_Codes,0),1)</f>
        <v>Poland</v>
      </c>
      <c r="J131" s="15">
        <v>7</v>
      </c>
      <c r="K131" s="15" t="str">
        <f>IF(ClientDB[[#This Row],[Start Date]]&gt;=$U$14,"New","")</f>
        <v/>
      </c>
      <c r="L131" s="15" t="str">
        <f>IF(AND(ClientDB[[#This Row],[Start Year]]&lt;2016,ClientDB[[#This Row],[Events]]&gt;=6),"Gift","")</f>
        <v/>
      </c>
      <c r="M13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31" s="15">
        <v>1</v>
      </c>
      <c r="O131" s="32">
        <f>ClientDB[[#This Row],[Days]]*IF(ClientDB[[#This Row],[Days]]&gt;1,$V$8,$V$7)</f>
        <v>350</v>
      </c>
      <c r="P13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31" s="15" t="s">
        <v>901</v>
      </c>
      <c r="R131" s="15" t="str">
        <f>INDEX(seat_table,MATCH(ClientDB[[#This Row],[Country Code]],seat_country_code,0),MATCH(ClientDB[[#This Row],[Meal]],meal,0))</f>
        <v>F</v>
      </c>
    </row>
    <row r="132" spans="1:18" x14ac:dyDescent="0.25">
      <c r="A132" s="10">
        <v>20636</v>
      </c>
      <c r="B132" t="s">
        <v>172</v>
      </c>
      <c r="C132" t="s">
        <v>173</v>
      </c>
      <c r="D132" s="18">
        <v>42773</v>
      </c>
      <c r="E132" s="10">
        <f>YEAR(ClientDB[[#This Row],[Start Date]])</f>
        <v>2017</v>
      </c>
      <c r="F132" t="s">
        <v>831</v>
      </c>
      <c r="G132" t="str">
        <f>VLOOKUP(ClientDB[[#This Row],[Org Code]],organization_table[],2)</f>
        <v>TatSan</v>
      </c>
      <c r="H132" s="10" t="s">
        <v>7</v>
      </c>
      <c r="I132" s="10" t="str">
        <f>INDEX(Country,MATCH(ClientDB[[#This Row],[Country Code]],Country_Codes,0),1)</f>
        <v>Iran</v>
      </c>
      <c r="J132" s="15">
        <v>1</v>
      </c>
      <c r="K132" s="15" t="str">
        <f>IF(ClientDB[[#This Row],[Start Date]]&gt;=$U$14,"New","")</f>
        <v/>
      </c>
      <c r="L132" s="15" t="str">
        <f>IF(AND(ClientDB[[#This Row],[Start Year]]&lt;2016,ClientDB[[#This Row],[Events]]&gt;=6),"Gift","")</f>
        <v/>
      </c>
      <c r="M13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32" s="15">
        <v>3</v>
      </c>
      <c r="O132" s="32">
        <f>ClientDB[[#This Row],[Days]]*IF(ClientDB[[#This Row],[Days]]&gt;1,$V$8,$V$7)</f>
        <v>900</v>
      </c>
      <c r="P13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32" s="15" t="s">
        <v>901</v>
      </c>
      <c r="R132" s="15" t="str">
        <f>INDEX(seat_table,MATCH(ClientDB[[#This Row],[Country Code]],seat_country_code,0),MATCH(ClientDB[[#This Row],[Meal]],meal,0))</f>
        <v>F</v>
      </c>
    </row>
    <row r="133" spans="1:18" x14ac:dyDescent="0.25">
      <c r="A133" s="10">
        <v>20752</v>
      </c>
      <c r="B133" t="s">
        <v>387</v>
      </c>
      <c r="C133" t="s">
        <v>388</v>
      </c>
      <c r="D133" s="18">
        <v>42204</v>
      </c>
      <c r="E133" s="10">
        <f>YEAR(ClientDB[[#This Row],[Start Date]])</f>
        <v>2015</v>
      </c>
      <c r="F133" t="s">
        <v>816</v>
      </c>
      <c r="G133" t="str">
        <f>VLOOKUP(ClientDB[[#This Row],[Org Code]],organization_table[],2)</f>
        <v>HeatProof</v>
      </c>
      <c r="H133" s="10" t="s">
        <v>59</v>
      </c>
      <c r="I133" s="10" t="str">
        <f>INDEX(Country,MATCH(ClientDB[[#This Row],[Country Code]],Country_Codes,0),1)</f>
        <v>Netherlands</v>
      </c>
      <c r="J133" s="15">
        <v>11</v>
      </c>
      <c r="K133" s="15" t="str">
        <f>IF(ClientDB[[#This Row],[Start Date]]&gt;=$U$14,"New","")</f>
        <v/>
      </c>
      <c r="L133" s="15" t="str">
        <f>IF(AND(ClientDB[[#This Row],[Start Year]]&lt;2016,ClientDB[[#This Row],[Events]]&gt;=6),"Gift","")</f>
        <v>Gift</v>
      </c>
      <c r="M13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33" s="15">
        <v>3</v>
      </c>
      <c r="O133" s="32">
        <f>ClientDB[[#This Row],[Days]]*IF(ClientDB[[#This Row],[Days]]&gt;1,$V$8,$V$7)</f>
        <v>900</v>
      </c>
      <c r="P13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33" s="15" t="s">
        <v>899</v>
      </c>
      <c r="R133" s="15" t="str">
        <f>INDEX(seat_table,MATCH(ClientDB[[#This Row],[Country Code]],seat_country_code,0),MATCH(ClientDB[[#This Row],[Meal]],meal,0))</f>
        <v>B</v>
      </c>
    </row>
    <row r="134" spans="1:18" x14ac:dyDescent="0.25">
      <c r="A134" s="10">
        <v>20767</v>
      </c>
      <c r="B134" t="s">
        <v>250</v>
      </c>
      <c r="C134" t="s">
        <v>251</v>
      </c>
      <c r="D134" s="18">
        <v>42395</v>
      </c>
      <c r="E134" s="10">
        <f>YEAR(ClientDB[[#This Row],[Start Date]])</f>
        <v>2016</v>
      </c>
      <c r="F134" t="s">
        <v>838</v>
      </c>
      <c r="G134" t="str">
        <f>VLOOKUP(ClientDB[[#This Row],[Org Code]],organization_table[],2)</f>
        <v>xLAN Internet Exchange</v>
      </c>
      <c r="H134" s="10" t="s">
        <v>252</v>
      </c>
      <c r="I134" s="10" t="str">
        <f>INDEX(Country,MATCH(ClientDB[[#This Row],[Country Code]],Country_Codes,0),1)</f>
        <v>Palestinian Territories</v>
      </c>
      <c r="J134" s="15">
        <v>13</v>
      </c>
      <c r="K134" s="15" t="str">
        <f>IF(ClientDB[[#This Row],[Start Date]]&gt;=$U$14,"New","")</f>
        <v/>
      </c>
      <c r="L134" s="15" t="str">
        <f>IF(AND(ClientDB[[#This Row],[Start Year]]&lt;2016,ClientDB[[#This Row],[Events]]&gt;=6),"Gift","")</f>
        <v/>
      </c>
      <c r="M13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34" s="15">
        <v>1</v>
      </c>
      <c r="O134" s="32">
        <f>ClientDB[[#This Row],[Days]]*IF(ClientDB[[#This Row],[Days]]&gt;1,$V$8,$V$7)</f>
        <v>350</v>
      </c>
      <c r="P13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134" s="15" t="s">
        <v>899</v>
      </c>
      <c r="R134" s="15" t="str">
        <f>INDEX(seat_table,MATCH(ClientDB[[#This Row],[Country Code]],seat_country_code,0),MATCH(ClientDB[[#This Row],[Meal]],meal,0))</f>
        <v>B</v>
      </c>
    </row>
    <row r="135" spans="1:18" x14ac:dyDescent="0.25">
      <c r="A135" s="10">
        <v>21000</v>
      </c>
      <c r="B135" t="s">
        <v>319</v>
      </c>
      <c r="C135" t="s">
        <v>320</v>
      </c>
      <c r="D135" s="18">
        <v>43762</v>
      </c>
      <c r="E135" s="10">
        <f>YEAR(ClientDB[[#This Row],[Start Date]])</f>
        <v>2019</v>
      </c>
      <c r="F135" t="s">
        <v>828</v>
      </c>
      <c r="G135" t="str">
        <f>VLOOKUP(ClientDB[[#This Row],[Org Code]],organization_table[],2)</f>
        <v>Steps IT Training</v>
      </c>
      <c r="H135" s="10" t="s">
        <v>34</v>
      </c>
      <c r="I135" s="10" t="str">
        <f>INDEX(Country,MATCH(ClientDB[[#This Row],[Country Code]],Country_Codes,0),1)</f>
        <v>United States</v>
      </c>
      <c r="J135" s="15">
        <v>25</v>
      </c>
      <c r="K135" s="15" t="str">
        <f>IF(ClientDB[[#This Row],[Start Date]]&gt;=$U$14,"New","")</f>
        <v/>
      </c>
      <c r="L135" s="15" t="str">
        <f>IF(AND(ClientDB[[#This Row],[Start Year]]&lt;2016,ClientDB[[#This Row],[Events]]&gt;=6),"Gift","")</f>
        <v/>
      </c>
      <c r="M13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135" s="15">
        <v>3</v>
      </c>
      <c r="O135" s="32">
        <f>ClientDB[[#This Row],[Days]]*IF(ClientDB[[#This Row],[Days]]&gt;1,$V$8,$V$7)</f>
        <v>900</v>
      </c>
      <c r="P13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35" s="15" t="s">
        <v>900</v>
      </c>
      <c r="R135" s="15" t="str">
        <f>INDEX(seat_table,MATCH(ClientDB[[#This Row],[Country Code]],seat_country_code,0),MATCH(ClientDB[[#This Row],[Meal]],meal,0))</f>
        <v>F</v>
      </c>
    </row>
    <row r="136" spans="1:18" x14ac:dyDescent="0.25">
      <c r="A136" s="10">
        <v>21037</v>
      </c>
      <c r="B136" t="s">
        <v>227</v>
      </c>
      <c r="C136" t="s">
        <v>228</v>
      </c>
      <c r="D136" s="18">
        <v>42768</v>
      </c>
      <c r="E136" s="10">
        <f>YEAR(ClientDB[[#This Row],[Start Date]])</f>
        <v>2017</v>
      </c>
      <c r="F136" t="s">
        <v>827</v>
      </c>
      <c r="G136" t="str">
        <f>VLOOKUP(ClientDB[[#This Row],[Org Code]],organization_table[],2)</f>
        <v>Ripple Com</v>
      </c>
      <c r="H136" s="10" t="s">
        <v>26</v>
      </c>
      <c r="I136" s="10" t="str">
        <f>INDEX(Country,MATCH(ClientDB[[#This Row],[Country Code]],Country_Codes,0),1)</f>
        <v>Ukraine</v>
      </c>
      <c r="J136" s="15">
        <v>12</v>
      </c>
      <c r="K136" s="15" t="str">
        <f>IF(ClientDB[[#This Row],[Start Date]]&gt;=$U$14,"New","")</f>
        <v/>
      </c>
      <c r="L136" s="15" t="str">
        <f>IF(AND(ClientDB[[#This Row],[Start Year]]&lt;2016,ClientDB[[#This Row],[Events]]&gt;=6),"Gift","")</f>
        <v/>
      </c>
      <c r="M13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36" s="15">
        <v>3</v>
      </c>
      <c r="O136" s="32">
        <f>ClientDB[[#This Row],[Days]]*IF(ClientDB[[#This Row],[Days]]&gt;1,$V$8,$V$7)</f>
        <v>900</v>
      </c>
      <c r="P13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36" s="15" t="s">
        <v>902</v>
      </c>
      <c r="R136" s="15" t="str">
        <f>INDEX(seat_table,MATCH(ClientDB[[#This Row],[Country Code]],seat_country_code,0),MATCH(ClientDB[[#This Row],[Meal]],meal,0))</f>
        <v>C</v>
      </c>
    </row>
    <row r="137" spans="1:18" x14ac:dyDescent="0.25">
      <c r="A137" s="10">
        <v>21129</v>
      </c>
      <c r="B137" t="s">
        <v>184</v>
      </c>
      <c r="C137" t="s">
        <v>185</v>
      </c>
      <c r="D137" s="18">
        <v>42501</v>
      </c>
      <c r="E137" s="10">
        <f>YEAR(ClientDB[[#This Row],[Start Date]])</f>
        <v>2016</v>
      </c>
      <c r="F137" t="s">
        <v>807</v>
      </c>
      <c r="G137" t="str">
        <f>VLOOKUP(ClientDB[[#This Row],[Org Code]],organization_table[],2)</f>
        <v>Duet</v>
      </c>
      <c r="H137" s="10" t="s">
        <v>186</v>
      </c>
      <c r="I137" s="10" t="str">
        <f>INDEX(Country,MATCH(ClientDB[[#This Row],[Country Code]],Country_Codes,0),1)</f>
        <v>Slovenia</v>
      </c>
      <c r="J137" s="15">
        <v>7</v>
      </c>
      <c r="K137" s="15" t="str">
        <f>IF(ClientDB[[#This Row],[Start Date]]&gt;=$U$14,"New","")</f>
        <v/>
      </c>
      <c r="L137" s="15" t="str">
        <f>IF(AND(ClientDB[[#This Row],[Start Year]]&lt;2016,ClientDB[[#This Row],[Events]]&gt;=6),"Gift","")</f>
        <v/>
      </c>
      <c r="M13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37" s="15">
        <v>1</v>
      </c>
      <c r="O137" s="32">
        <f>ClientDB[[#This Row],[Days]]*IF(ClientDB[[#This Row],[Days]]&gt;1,$V$8,$V$7)</f>
        <v>350</v>
      </c>
      <c r="P13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37" s="15" t="s">
        <v>900</v>
      </c>
      <c r="R137" s="15" t="str">
        <f>INDEX(seat_table,MATCH(ClientDB[[#This Row],[Country Code]],seat_country_code,0),MATCH(ClientDB[[#This Row],[Meal]],meal,0))</f>
        <v>C</v>
      </c>
    </row>
    <row r="138" spans="1:18" x14ac:dyDescent="0.25">
      <c r="A138" s="10">
        <v>21245</v>
      </c>
      <c r="B138" t="s">
        <v>303</v>
      </c>
      <c r="C138" t="s">
        <v>304</v>
      </c>
      <c r="D138" s="18">
        <v>43351</v>
      </c>
      <c r="E138" s="10">
        <f>YEAR(ClientDB[[#This Row],[Start Date]])</f>
        <v>2018</v>
      </c>
      <c r="F138" t="s">
        <v>834</v>
      </c>
      <c r="G138" t="str">
        <f>VLOOKUP(ClientDB[[#This Row],[Org Code]],organization_table[],2)</f>
        <v>Verisize</v>
      </c>
      <c r="H138" s="10" t="s">
        <v>50</v>
      </c>
      <c r="I138" s="10" t="str">
        <f>INDEX(Country,MATCH(ClientDB[[#This Row],[Country Code]],Country_Codes,0),1)</f>
        <v>Finland</v>
      </c>
      <c r="J138" s="15">
        <v>8</v>
      </c>
      <c r="K138" s="15" t="str">
        <f>IF(ClientDB[[#This Row],[Start Date]]&gt;=$U$14,"New","")</f>
        <v/>
      </c>
      <c r="L138" s="15" t="str">
        <f>IF(AND(ClientDB[[#This Row],[Start Year]]&lt;2016,ClientDB[[#This Row],[Events]]&gt;=6),"Gift","")</f>
        <v/>
      </c>
      <c r="M13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38" s="15">
        <v>3</v>
      </c>
      <c r="O138" s="32">
        <f>ClientDB[[#This Row],[Days]]*IF(ClientDB[[#This Row],[Days]]&gt;1,$V$8,$V$7)</f>
        <v>900</v>
      </c>
      <c r="P13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38" s="15" t="s">
        <v>900</v>
      </c>
      <c r="R138" s="15" t="str">
        <f>INDEX(seat_table,MATCH(ClientDB[[#This Row],[Country Code]],seat_country_code,0),MATCH(ClientDB[[#This Row],[Meal]],meal,0))</f>
        <v>A</v>
      </c>
    </row>
    <row r="139" spans="1:18" x14ac:dyDescent="0.25">
      <c r="A139" s="10">
        <v>21379</v>
      </c>
      <c r="B139" t="s">
        <v>214</v>
      </c>
      <c r="C139" t="s">
        <v>215</v>
      </c>
      <c r="D139" s="18">
        <v>43104</v>
      </c>
      <c r="E139" s="10">
        <f>YEAR(ClientDB[[#This Row],[Start Date]])</f>
        <v>2018</v>
      </c>
      <c r="F139" t="s">
        <v>827</v>
      </c>
      <c r="G139" t="str">
        <f>VLOOKUP(ClientDB[[#This Row],[Org Code]],organization_table[],2)</f>
        <v>Ripple Com</v>
      </c>
      <c r="H139" s="10" t="s">
        <v>15</v>
      </c>
      <c r="I139" s="10" t="str">
        <f>INDEX(Country,MATCH(ClientDB[[#This Row],[Country Code]],Country_Codes,0),1)</f>
        <v>United Kingdom</v>
      </c>
      <c r="J139" s="15">
        <v>14</v>
      </c>
      <c r="K139" s="15" t="str">
        <f>IF(ClientDB[[#This Row],[Start Date]]&gt;=$U$14,"New","")</f>
        <v/>
      </c>
      <c r="L139" s="15" t="str">
        <f>IF(AND(ClientDB[[#This Row],[Start Year]]&lt;2016,ClientDB[[#This Row],[Events]]&gt;=6),"Gift","")</f>
        <v/>
      </c>
      <c r="M13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39" s="15">
        <v>3</v>
      </c>
      <c r="O139" s="32">
        <f>ClientDB[[#This Row],[Days]]*IF(ClientDB[[#This Row],[Days]]&gt;1,$V$8,$V$7)</f>
        <v>900</v>
      </c>
      <c r="P13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39" s="15" t="s">
        <v>901</v>
      </c>
      <c r="R139" s="15" t="str">
        <f>INDEX(seat_table,MATCH(ClientDB[[#This Row],[Country Code]],seat_country_code,0),MATCH(ClientDB[[#This Row],[Meal]],meal,0))</f>
        <v>E</v>
      </c>
    </row>
    <row r="140" spans="1:18" x14ac:dyDescent="0.25">
      <c r="A140" s="10">
        <v>21397</v>
      </c>
      <c r="B140" t="s">
        <v>512</v>
      </c>
      <c r="C140" t="s">
        <v>513</v>
      </c>
      <c r="D140" s="18">
        <v>42931</v>
      </c>
      <c r="E140" s="10">
        <f>YEAR(ClientDB[[#This Row],[Start Date]])</f>
        <v>2017</v>
      </c>
      <c r="F140" t="s">
        <v>822</v>
      </c>
      <c r="G140" t="str">
        <f>VLOOKUP(ClientDB[[#This Row],[Org Code]],organization_table[],2)</f>
        <v>PicSure</v>
      </c>
      <c r="H140" s="10" t="s">
        <v>143</v>
      </c>
      <c r="I140" s="10" t="str">
        <f>INDEX(Country,MATCH(ClientDB[[#This Row],[Country Code]],Country_Codes,0),1)</f>
        <v>Oman</v>
      </c>
      <c r="J140" s="15">
        <v>8</v>
      </c>
      <c r="K140" s="15" t="str">
        <f>IF(ClientDB[[#This Row],[Start Date]]&gt;=$U$14,"New","")</f>
        <v/>
      </c>
      <c r="L140" s="15" t="str">
        <f>IF(AND(ClientDB[[#This Row],[Start Year]]&lt;2016,ClientDB[[#This Row],[Events]]&gt;=6),"Gift","")</f>
        <v/>
      </c>
      <c r="M14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40" s="15">
        <v>1</v>
      </c>
      <c r="O140" s="32">
        <f>ClientDB[[#This Row],[Days]]*IF(ClientDB[[#This Row],[Days]]&gt;1,$V$8,$V$7)</f>
        <v>350</v>
      </c>
      <c r="P14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40" s="15" t="s">
        <v>902</v>
      </c>
      <c r="R140" s="15" t="str">
        <f>INDEX(seat_table,MATCH(ClientDB[[#This Row],[Country Code]],seat_country_code,0),MATCH(ClientDB[[#This Row],[Meal]],meal,0))</f>
        <v>C</v>
      </c>
    </row>
    <row r="141" spans="1:18" x14ac:dyDescent="0.25">
      <c r="A141" s="10">
        <v>21652</v>
      </c>
      <c r="B141" t="s">
        <v>616</v>
      </c>
      <c r="C141" t="s">
        <v>709</v>
      </c>
      <c r="D141" s="18">
        <v>42805</v>
      </c>
      <c r="E141" s="10">
        <f>YEAR(ClientDB[[#This Row],[Start Date]])</f>
        <v>2017</v>
      </c>
      <c r="F141" t="s">
        <v>827</v>
      </c>
      <c r="G141" t="str">
        <f>VLOOKUP(ClientDB[[#This Row],[Org Code]],organization_table[],2)</f>
        <v>Ripple Com</v>
      </c>
      <c r="H141" s="10" t="s">
        <v>7</v>
      </c>
      <c r="I141" s="10" t="str">
        <f>INDEX(Country,MATCH(ClientDB[[#This Row],[Country Code]],Country_Codes,0),1)</f>
        <v>Iran</v>
      </c>
      <c r="J141" s="15">
        <v>22</v>
      </c>
      <c r="K141" s="15" t="str">
        <f>IF(ClientDB[[#This Row],[Start Date]]&gt;=$U$14,"New","")</f>
        <v/>
      </c>
      <c r="L141" s="15" t="str">
        <f>IF(AND(ClientDB[[#This Row],[Start Year]]&lt;2016,ClientDB[[#This Row],[Events]]&gt;=6),"Gift","")</f>
        <v/>
      </c>
      <c r="M14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141" s="15">
        <v>3</v>
      </c>
      <c r="O141" s="32">
        <f>ClientDB[[#This Row],[Days]]*IF(ClientDB[[#This Row],[Days]]&gt;1,$V$8,$V$7)</f>
        <v>900</v>
      </c>
      <c r="P14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41" s="15" t="s">
        <v>900</v>
      </c>
      <c r="R141" s="15" t="str">
        <f>INDEX(seat_table,MATCH(ClientDB[[#This Row],[Country Code]],seat_country_code,0),MATCH(ClientDB[[#This Row],[Meal]],meal,0))</f>
        <v>A</v>
      </c>
    </row>
    <row r="142" spans="1:18" x14ac:dyDescent="0.25">
      <c r="A142" s="10">
        <v>21701</v>
      </c>
      <c r="B142" t="s">
        <v>546</v>
      </c>
      <c r="C142" t="s">
        <v>547</v>
      </c>
      <c r="D142" s="18">
        <v>42650</v>
      </c>
      <c r="E142" s="10">
        <f>YEAR(ClientDB[[#This Row],[Start Date]])</f>
        <v>2016</v>
      </c>
      <c r="F142" t="s">
        <v>835</v>
      </c>
      <c r="G142" t="str">
        <f>VLOOKUP(ClientDB[[#This Row],[Org Code]],organization_table[],2)</f>
        <v>WWT</v>
      </c>
      <c r="H142" s="10" t="s">
        <v>274</v>
      </c>
      <c r="I142" s="10" t="str">
        <f>INDEX(Country,MATCH(ClientDB[[#This Row],[Country Code]],Country_Codes,0),1)</f>
        <v>Spain</v>
      </c>
      <c r="J142" s="15">
        <v>4</v>
      </c>
      <c r="K142" s="15" t="str">
        <f>IF(ClientDB[[#This Row],[Start Date]]&gt;=$U$14,"New","")</f>
        <v/>
      </c>
      <c r="L142" s="15" t="str">
        <f>IF(AND(ClientDB[[#This Row],[Start Year]]&lt;2016,ClientDB[[#This Row],[Events]]&gt;=6),"Gift","")</f>
        <v/>
      </c>
      <c r="M14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42" s="15">
        <v>1</v>
      </c>
      <c r="O142" s="32">
        <f>ClientDB[[#This Row],[Days]]*IF(ClientDB[[#This Row],[Days]]&gt;1,$V$8,$V$7)</f>
        <v>350</v>
      </c>
      <c r="P14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42" s="15" t="s">
        <v>900</v>
      </c>
      <c r="R142" s="15" t="str">
        <f>INDEX(seat_table,MATCH(ClientDB[[#This Row],[Country Code]],seat_country_code,0),MATCH(ClientDB[[#This Row],[Meal]],meal,0))</f>
        <v>A</v>
      </c>
    </row>
    <row r="143" spans="1:18" x14ac:dyDescent="0.25">
      <c r="A143" s="10">
        <v>21746</v>
      </c>
      <c r="B143" t="s">
        <v>520</v>
      </c>
      <c r="C143" t="s">
        <v>521</v>
      </c>
      <c r="D143" s="18">
        <v>42691</v>
      </c>
      <c r="E143" s="10">
        <f>YEAR(ClientDB[[#This Row],[Start Date]])</f>
        <v>2016</v>
      </c>
      <c r="F143" t="s">
        <v>837</v>
      </c>
      <c r="G143" t="str">
        <f>VLOOKUP(ClientDB[[#This Row],[Org Code]],organization_table[],2)</f>
        <v>Verisize</v>
      </c>
      <c r="H143" s="10" t="s">
        <v>15</v>
      </c>
      <c r="I143" s="10" t="str">
        <f>INDEX(Country,MATCH(ClientDB[[#This Row],[Country Code]],Country_Codes,0),1)</f>
        <v>United Kingdom</v>
      </c>
      <c r="J143" s="15">
        <v>15</v>
      </c>
      <c r="K143" s="15" t="str">
        <f>IF(ClientDB[[#This Row],[Start Date]]&gt;=$U$14,"New","")</f>
        <v/>
      </c>
      <c r="L143" s="15" t="str">
        <f>IF(AND(ClientDB[[#This Row],[Start Year]]&lt;2016,ClientDB[[#This Row],[Events]]&gt;=6),"Gift","")</f>
        <v/>
      </c>
      <c r="M14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43" s="15">
        <v>2</v>
      </c>
      <c r="O143" s="32">
        <f>ClientDB[[#This Row],[Days]]*IF(ClientDB[[#This Row],[Days]]&gt;1,$V$8,$V$7)</f>
        <v>600</v>
      </c>
      <c r="P14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43" s="15" t="s">
        <v>900</v>
      </c>
      <c r="R143" s="15" t="str">
        <f>INDEX(seat_table,MATCH(ClientDB[[#This Row],[Country Code]],seat_country_code,0),MATCH(ClientDB[[#This Row],[Meal]],meal,0))</f>
        <v>A</v>
      </c>
    </row>
    <row r="144" spans="1:18" x14ac:dyDescent="0.25">
      <c r="A144" s="10">
        <v>21994</v>
      </c>
      <c r="B144" t="s">
        <v>161</v>
      </c>
      <c r="C144" t="s">
        <v>162</v>
      </c>
      <c r="D144" s="18">
        <v>42688</v>
      </c>
      <c r="E144" s="10">
        <f>YEAR(ClientDB[[#This Row],[Start Date]])</f>
        <v>2016</v>
      </c>
      <c r="F144" t="s">
        <v>809</v>
      </c>
      <c r="G144" t="str">
        <f>VLOOKUP(ClientDB[[#This Row],[Org Code]],organization_table[],2)</f>
        <v>Epsilon Tech</v>
      </c>
      <c r="H144" s="10" t="s">
        <v>163</v>
      </c>
      <c r="I144" s="10" t="str">
        <f>INDEX(Country,MATCH(ClientDB[[#This Row],[Country Code]],Country_Codes,0),1)</f>
        <v>Jordan</v>
      </c>
      <c r="J144" s="15">
        <v>13</v>
      </c>
      <c r="K144" s="15" t="str">
        <f>IF(ClientDB[[#This Row],[Start Date]]&gt;=$U$14,"New","")</f>
        <v/>
      </c>
      <c r="L144" s="15" t="str">
        <f>IF(AND(ClientDB[[#This Row],[Start Year]]&lt;2016,ClientDB[[#This Row],[Events]]&gt;=6),"Gift","")</f>
        <v/>
      </c>
      <c r="M14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44" s="15">
        <v>3</v>
      </c>
      <c r="O144" s="32">
        <f>ClientDB[[#This Row],[Days]]*IF(ClientDB[[#This Row],[Days]]&gt;1,$V$8,$V$7)</f>
        <v>900</v>
      </c>
      <c r="P14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44" s="15" t="s">
        <v>901</v>
      </c>
      <c r="R144" s="15" t="str">
        <f>INDEX(seat_table,MATCH(ClientDB[[#This Row],[Country Code]],seat_country_code,0),MATCH(ClientDB[[#This Row],[Meal]],meal,0))</f>
        <v>F</v>
      </c>
    </row>
    <row r="145" spans="1:18" x14ac:dyDescent="0.25">
      <c r="A145" s="10">
        <v>22054</v>
      </c>
      <c r="B145" t="s">
        <v>747</v>
      </c>
      <c r="C145" t="s">
        <v>748</v>
      </c>
      <c r="D145" s="18">
        <v>43586</v>
      </c>
      <c r="E145" s="10">
        <f>YEAR(ClientDB[[#This Row],[Start Date]])</f>
        <v>2019</v>
      </c>
      <c r="F145" t="s">
        <v>827</v>
      </c>
      <c r="G145" t="str">
        <f>VLOOKUP(ClientDB[[#This Row],[Org Code]],organization_table[],2)</f>
        <v>Ripple Com</v>
      </c>
      <c r="H145" s="10" t="s">
        <v>15</v>
      </c>
      <c r="I145" s="10" t="str">
        <f>INDEX(Country,MATCH(ClientDB[[#This Row],[Country Code]],Country_Codes,0),1)</f>
        <v>United Kingdom</v>
      </c>
      <c r="J145" s="15">
        <v>3</v>
      </c>
      <c r="K145" s="15" t="str">
        <f>IF(ClientDB[[#This Row],[Start Date]]&gt;=$U$14,"New","")</f>
        <v/>
      </c>
      <c r="L145" s="15" t="str">
        <f>IF(AND(ClientDB[[#This Row],[Start Year]]&lt;2016,ClientDB[[#This Row],[Events]]&gt;=6),"Gift","")</f>
        <v/>
      </c>
      <c r="M14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45" s="15">
        <v>2</v>
      </c>
      <c r="O145" s="32">
        <f>ClientDB[[#This Row],[Days]]*IF(ClientDB[[#This Row],[Days]]&gt;1,$V$8,$V$7)</f>
        <v>600</v>
      </c>
      <c r="P14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45" s="15" t="s">
        <v>901</v>
      </c>
      <c r="R145" s="15" t="str">
        <f>INDEX(seat_table,MATCH(ClientDB[[#This Row],[Country Code]],seat_country_code,0),MATCH(ClientDB[[#This Row],[Meal]],meal,0))</f>
        <v>E</v>
      </c>
    </row>
    <row r="146" spans="1:18" x14ac:dyDescent="0.25">
      <c r="A146" s="10">
        <v>22216</v>
      </c>
      <c r="B146" t="s">
        <v>612</v>
      </c>
      <c r="C146" t="s">
        <v>613</v>
      </c>
      <c r="D146" s="18">
        <v>42876</v>
      </c>
      <c r="E146" s="10">
        <f>YEAR(ClientDB[[#This Row],[Start Date]])</f>
        <v>2017</v>
      </c>
      <c r="F146" t="s">
        <v>825</v>
      </c>
      <c r="G146" t="str">
        <f>VLOOKUP(ClientDB[[#This Row],[Org Code]],organization_table[],2)</f>
        <v>Qinisar</v>
      </c>
      <c r="H146" s="10" t="s">
        <v>46</v>
      </c>
      <c r="I146" s="10" t="str">
        <f>INDEX(Country,MATCH(ClientDB[[#This Row],[Country Code]],Country_Codes,0),1)</f>
        <v>Germany</v>
      </c>
      <c r="J146" s="15">
        <v>24</v>
      </c>
      <c r="K146" s="15" t="str">
        <f>IF(ClientDB[[#This Row],[Start Date]]&gt;=$U$14,"New","")</f>
        <v/>
      </c>
      <c r="L146" s="15" t="str">
        <f>IF(AND(ClientDB[[#This Row],[Start Year]]&lt;2016,ClientDB[[#This Row],[Events]]&gt;=6),"Gift","")</f>
        <v/>
      </c>
      <c r="M14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146" s="15">
        <v>3</v>
      </c>
      <c r="O146" s="32">
        <f>ClientDB[[#This Row],[Days]]*IF(ClientDB[[#This Row],[Days]]&gt;1,$V$8,$V$7)</f>
        <v>900</v>
      </c>
      <c r="P14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46" s="15" t="s">
        <v>901</v>
      </c>
      <c r="R146" s="15" t="str">
        <f>INDEX(seat_table,MATCH(ClientDB[[#This Row],[Country Code]],seat_country_code,0),MATCH(ClientDB[[#This Row],[Meal]],meal,0))</f>
        <v>D</v>
      </c>
    </row>
    <row r="147" spans="1:18" x14ac:dyDescent="0.25">
      <c r="A147" s="10">
        <v>22256</v>
      </c>
      <c r="B147" t="s">
        <v>561</v>
      </c>
      <c r="C147" t="s">
        <v>562</v>
      </c>
      <c r="D147" s="18">
        <v>43089</v>
      </c>
      <c r="E147" s="10">
        <f>YEAR(ClientDB[[#This Row],[Start Date]])</f>
        <v>2017</v>
      </c>
      <c r="F147" t="s">
        <v>827</v>
      </c>
      <c r="G147" t="str">
        <f>VLOOKUP(ClientDB[[#This Row],[Org Code]],organization_table[],2)</f>
        <v>Ripple Com</v>
      </c>
      <c r="H147" s="10" t="s">
        <v>15</v>
      </c>
      <c r="I147" s="10" t="str">
        <f>INDEX(Country,MATCH(ClientDB[[#This Row],[Country Code]],Country_Codes,0),1)</f>
        <v>United Kingdom</v>
      </c>
      <c r="J147" s="15">
        <v>12</v>
      </c>
      <c r="K147" s="15" t="str">
        <f>IF(ClientDB[[#This Row],[Start Date]]&gt;=$U$14,"New","")</f>
        <v/>
      </c>
      <c r="L147" s="15" t="str">
        <f>IF(AND(ClientDB[[#This Row],[Start Year]]&lt;2016,ClientDB[[#This Row],[Events]]&gt;=6),"Gift","")</f>
        <v/>
      </c>
      <c r="M14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47" s="15">
        <v>2</v>
      </c>
      <c r="O147" s="32">
        <f>ClientDB[[#This Row],[Days]]*IF(ClientDB[[#This Row],[Days]]&gt;1,$V$8,$V$7)</f>
        <v>600</v>
      </c>
      <c r="P14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47" s="15" t="s">
        <v>902</v>
      </c>
      <c r="R147" s="15" t="str">
        <f>INDEX(seat_table,MATCH(ClientDB[[#This Row],[Country Code]],seat_country_code,0),MATCH(ClientDB[[#This Row],[Meal]],meal,0))</f>
        <v>B</v>
      </c>
    </row>
    <row r="148" spans="1:18" x14ac:dyDescent="0.25">
      <c r="A148" s="10">
        <v>22270</v>
      </c>
      <c r="B148" t="s">
        <v>691</v>
      </c>
      <c r="C148" t="s">
        <v>692</v>
      </c>
      <c r="D148" s="18">
        <v>44034</v>
      </c>
      <c r="E148" s="10">
        <f>YEAR(ClientDB[[#This Row],[Start Date]])</f>
        <v>2020</v>
      </c>
      <c r="F148" t="s">
        <v>830</v>
      </c>
      <c r="G148" t="str">
        <f>VLOOKUP(ClientDB[[#This Row],[Org Code]],organization_table[],2)</f>
        <v>Steps IT Training</v>
      </c>
      <c r="H148" s="10" t="s">
        <v>15</v>
      </c>
      <c r="I148" s="10" t="str">
        <f>INDEX(Country,MATCH(ClientDB[[#This Row],[Country Code]],Country_Codes,0),1)</f>
        <v>United Kingdom</v>
      </c>
      <c r="J148" s="15">
        <v>1</v>
      </c>
      <c r="K148" s="15" t="str">
        <f>IF(ClientDB[[#This Row],[Start Date]]&gt;=$U$14,"New","")</f>
        <v>New</v>
      </c>
      <c r="L148" s="15" t="str">
        <f>IF(AND(ClientDB[[#This Row],[Start Year]]&lt;2016,ClientDB[[#This Row],[Events]]&gt;=6),"Gift","")</f>
        <v/>
      </c>
      <c r="M14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48" s="15">
        <v>3</v>
      </c>
      <c r="O148" s="32">
        <f>ClientDB[[#This Row],[Days]]*IF(ClientDB[[#This Row],[Days]]&gt;1,$V$8,$V$7)</f>
        <v>900</v>
      </c>
      <c r="P14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48" s="15" t="s">
        <v>900</v>
      </c>
      <c r="R148" s="15" t="str">
        <f>INDEX(seat_table,MATCH(ClientDB[[#This Row],[Country Code]],seat_country_code,0),MATCH(ClientDB[[#This Row],[Meal]],meal,0))</f>
        <v>A</v>
      </c>
    </row>
    <row r="149" spans="1:18" x14ac:dyDescent="0.25">
      <c r="A149" s="10">
        <v>22329</v>
      </c>
      <c r="B149" t="s">
        <v>140</v>
      </c>
      <c r="C149" t="s">
        <v>141</v>
      </c>
      <c r="D149" s="18">
        <v>42637</v>
      </c>
      <c r="E149" s="10">
        <f>YEAR(ClientDB[[#This Row],[Start Date]])</f>
        <v>2016</v>
      </c>
      <c r="F149" t="s">
        <v>833</v>
      </c>
      <c r="G149" t="str">
        <f>VLOOKUP(ClientDB[[#This Row],[Org Code]],organization_table[],2)</f>
        <v>UON</v>
      </c>
      <c r="H149" s="10" t="s">
        <v>143</v>
      </c>
      <c r="I149" s="10" t="str">
        <f>INDEX(Country,MATCH(ClientDB[[#This Row],[Country Code]],Country_Codes,0),1)</f>
        <v>Oman</v>
      </c>
      <c r="J149" s="15">
        <v>19</v>
      </c>
      <c r="K149" s="15" t="str">
        <f>IF(ClientDB[[#This Row],[Start Date]]&gt;=$U$14,"New","")</f>
        <v/>
      </c>
      <c r="L149" s="15" t="str">
        <f>IF(AND(ClientDB[[#This Row],[Start Year]]&lt;2016,ClientDB[[#This Row],[Events]]&gt;=6),"Gift","")</f>
        <v/>
      </c>
      <c r="M14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49" s="15">
        <v>2</v>
      </c>
      <c r="O149" s="32">
        <f>ClientDB[[#This Row],[Days]]*IF(ClientDB[[#This Row],[Days]]&gt;1,$V$8,$V$7)</f>
        <v>600</v>
      </c>
      <c r="P14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49" s="15" t="s">
        <v>901</v>
      </c>
      <c r="R149" s="15" t="str">
        <f>INDEX(seat_table,MATCH(ClientDB[[#This Row],[Country Code]],seat_country_code,0),MATCH(ClientDB[[#This Row],[Meal]],meal,0))</f>
        <v>F</v>
      </c>
    </row>
    <row r="150" spans="1:18" x14ac:dyDescent="0.25">
      <c r="A150" s="10">
        <v>22347</v>
      </c>
      <c r="B150" t="s">
        <v>686</v>
      </c>
      <c r="C150" t="s">
        <v>687</v>
      </c>
      <c r="D150" s="18">
        <v>42359</v>
      </c>
      <c r="E150" s="10">
        <f>YEAR(ClientDB[[#This Row],[Start Date]])</f>
        <v>2015</v>
      </c>
      <c r="F150" t="s">
        <v>802</v>
      </c>
      <c r="G150" t="str">
        <f>VLOOKUP(ClientDB[[#This Row],[Org Code]],organization_table[],2)</f>
        <v>Colot</v>
      </c>
      <c r="H150" s="10" t="s">
        <v>78</v>
      </c>
      <c r="I150" s="10" t="str">
        <f>INDEX(Country,MATCH(ClientDB[[#This Row],[Country Code]],Country_Codes,0),1)</f>
        <v>Sweden</v>
      </c>
      <c r="J150" s="15">
        <v>5</v>
      </c>
      <c r="K150" s="15" t="str">
        <f>IF(ClientDB[[#This Row],[Start Date]]&gt;=$U$14,"New","")</f>
        <v/>
      </c>
      <c r="L150" s="15" t="str">
        <f>IF(AND(ClientDB[[#This Row],[Start Year]]&lt;2016,ClientDB[[#This Row],[Events]]&gt;=6),"Gift","")</f>
        <v/>
      </c>
      <c r="M15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50" s="15">
        <v>3</v>
      </c>
      <c r="O150" s="32">
        <f>ClientDB[[#This Row],[Days]]*IF(ClientDB[[#This Row],[Days]]&gt;1,$V$8,$V$7)</f>
        <v>900</v>
      </c>
      <c r="P15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50" s="15" t="s">
        <v>901</v>
      </c>
      <c r="R150" s="15" t="str">
        <f>INDEX(seat_table,MATCH(ClientDB[[#This Row],[Country Code]],seat_country_code,0),MATCH(ClientDB[[#This Row],[Meal]],meal,0))</f>
        <v>G</v>
      </c>
    </row>
    <row r="151" spans="1:18" x14ac:dyDescent="0.25">
      <c r="A151" s="10">
        <v>22368</v>
      </c>
      <c r="B151" t="s">
        <v>167</v>
      </c>
      <c r="C151" t="s">
        <v>168</v>
      </c>
      <c r="D151" s="18">
        <v>42758</v>
      </c>
      <c r="E151" s="10">
        <f>YEAR(ClientDB[[#This Row],[Start Date]])</f>
        <v>2017</v>
      </c>
      <c r="F151" t="s">
        <v>827</v>
      </c>
      <c r="G151" t="str">
        <f>VLOOKUP(ClientDB[[#This Row],[Org Code]],organization_table[],2)</f>
        <v>Ripple Com</v>
      </c>
      <c r="H151" s="10" t="s">
        <v>15</v>
      </c>
      <c r="I151" s="10" t="str">
        <f>INDEX(Country,MATCH(ClientDB[[#This Row],[Country Code]],Country_Codes,0),1)</f>
        <v>United Kingdom</v>
      </c>
      <c r="J151" s="15">
        <v>2</v>
      </c>
      <c r="K151" s="15" t="str">
        <f>IF(ClientDB[[#This Row],[Start Date]]&gt;=$U$14,"New","")</f>
        <v/>
      </c>
      <c r="L151" s="15" t="str">
        <f>IF(AND(ClientDB[[#This Row],[Start Year]]&lt;2016,ClientDB[[#This Row],[Events]]&gt;=6),"Gift","")</f>
        <v/>
      </c>
      <c r="M15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51" s="15">
        <v>3</v>
      </c>
      <c r="O151" s="32">
        <f>ClientDB[[#This Row],[Days]]*IF(ClientDB[[#This Row],[Days]]&gt;1,$V$8,$V$7)</f>
        <v>900</v>
      </c>
      <c r="P15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51" s="15" t="s">
        <v>901</v>
      </c>
      <c r="R151" s="15" t="str">
        <f>INDEX(seat_table,MATCH(ClientDB[[#This Row],[Country Code]],seat_country_code,0),MATCH(ClientDB[[#This Row],[Meal]],meal,0))</f>
        <v>E</v>
      </c>
    </row>
    <row r="152" spans="1:18" x14ac:dyDescent="0.25">
      <c r="A152" s="10">
        <v>22459</v>
      </c>
      <c r="B152" t="s">
        <v>595</v>
      </c>
      <c r="C152" t="s">
        <v>596</v>
      </c>
      <c r="D152" s="18">
        <v>43415</v>
      </c>
      <c r="E152" s="10">
        <f>YEAR(ClientDB[[#This Row],[Start Date]])</f>
        <v>2018</v>
      </c>
      <c r="F152" t="s">
        <v>836</v>
      </c>
      <c r="G152" t="str">
        <f>VLOOKUP(ClientDB[[#This Row],[Org Code]],organization_table[],2)</f>
        <v>Wiz Labs</v>
      </c>
      <c r="H152" s="10" t="s">
        <v>274</v>
      </c>
      <c r="I152" s="10" t="str">
        <f>INDEX(Country,MATCH(ClientDB[[#This Row],[Country Code]],Country_Codes,0),1)</f>
        <v>Spain</v>
      </c>
      <c r="J152" s="15">
        <v>4</v>
      </c>
      <c r="K152" s="15" t="str">
        <f>IF(ClientDB[[#This Row],[Start Date]]&gt;=$U$14,"New","")</f>
        <v/>
      </c>
      <c r="L152" s="15" t="str">
        <f>IF(AND(ClientDB[[#This Row],[Start Year]]&lt;2016,ClientDB[[#This Row],[Events]]&gt;=6),"Gift","")</f>
        <v/>
      </c>
      <c r="M15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52" s="15">
        <v>3</v>
      </c>
      <c r="O152" s="32">
        <f>ClientDB[[#This Row],[Days]]*IF(ClientDB[[#This Row],[Days]]&gt;1,$V$8,$V$7)</f>
        <v>900</v>
      </c>
      <c r="P15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52" s="15" t="s">
        <v>901</v>
      </c>
      <c r="R152" s="15" t="str">
        <f>INDEX(seat_table,MATCH(ClientDB[[#This Row],[Country Code]],seat_country_code,0),MATCH(ClientDB[[#This Row],[Meal]],meal,0))</f>
        <v>D</v>
      </c>
    </row>
    <row r="153" spans="1:18" x14ac:dyDescent="0.25">
      <c r="A153" s="10">
        <v>22475</v>
      </c>
      <c r="B153" t="s">
        <v>170</v>
      </c>
      <c r="C153" t="s">
        <v>171</v>
      </c>
      <c r="D153" s="18">
        <v>43485</v>
      </c>
      <c r="E153" s="10">
        <f>YEAR(ClientDB[[#This Row],[Start Date]])</f>
        <v>2019</v>
      </c>
      <c r="F153" t="s">
        <v>837</v>
      </c>
      <c r="G153" t="str">
        <f>VLOOKUP(ClientDB[[#This Row],[Org Code]],organization_table[],2)</f>
        <v>Verisize</v>
      </c>
      <c r="H153" s="10" t="s">
        <v>155</v>
      </c>
      <c r="I153" s="10" t="str">
        <f>INDEX(Country,MATCH(ClientDB[[#This Row],[Country Code]],Country_Codes,0),1)</f>
        <v>United Arab Emirates</v>
      </c>
      <c r="J153" s="15">
        <v>33</v>
      </c>
      <c r="K153" s="15" t="str">
        <f>IF(ClientDB[[#This Row],[Start Date]]&gt;=$U$14,"New","")</f>
        <v/>
      </c>
      <c r="L153" s="15" t="str">
        <f>IF(AND(ClientDB[[#This Row],[Start Year]]&lt;2016,ClientDB[[#This Row],[Events]]&gt;=6),"Gift","")</f>
        <v/>
      </c>
      <c r="M15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Platinum</v>
      </c>
      <c r="N153" s="15">
        <v>2</v>
      </c>
      <c r="O153" s="32">
        <f>ClientDB[[#This Row],[Days]]*IF(ClientDB[[#This Row],[Days]]&gt;1,$V$8,$V$7)</f>
        <v>600</v>
      </c>
      <c r="P15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53" s="15" t="s">
        <v>901</v>
      </c>
      <c r="R153" s="15" t="str">
        <f>INDEX(seat_table,MATCH(ClientDB[[#This Row],[Country Code]],seat_country_code,0),MATCH(ClientDB[[#This Row],[Meal]],meal,0))</f>
        <v>D</v>
      </c>
    </row>
    <row r="154" spans="1:18" x14ac:dyDescent="0.25">
      <c r="A154" s="10">
        <v>22740</v>
      </c>
      <c r="B154" t="s">
        <v>135</v>
      </c>
      <c r="C154" t="s">
        <v>136</v>
      </c>
      <c r="D154" s="18">
        <v>43935</v>
      </c>
      <c r="E154" s="10">
        <f>YEAR(ClientDB[[#This Row],[Start Date]])</f>
        <v>2020</v>
      </c>
      <c r="F154" t="s">
        <v>819</v>
      </c>
      <c r="G154" t="str">
        <f>VLOOKUP(ClientDB[[#This Row],[Org Code]],organization_table[],2)</f>
        <v>NetaAssist</v>
      </c>
      <c r="H154" s="10" t="s">
        <v>15</v>
      </c>
      <c r="I154" s="10" t="str">
        <f>INDEX(Country,MATCH(ClientDB[[#This Row],[Country Code]],Country_Codes,0),1)</f>
        <v>United Kingdom</v>
      </c>
      <c r="J154" s="15">
        <v>2</v>
      </c>
      <c r="K154" s="15" t="str">
        <f>IF(ClientDB[[#This Row],[Start Date]]&gt;=$U$14,"New","")</f>
        <v>New</v>
      </c>
      <c r="L154" s="15" t="str">
        <f>IF(AND(ClientDB[[#This Row],[Start Year]]&lt;2016,ClientDB[[#This Row],[Events]]&gt;=6),"Gift","")</f>
        <v/>
      </c>
      <c r="M15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54" s="15">
        <v>3</v>
      </c>
      <c r="O154" s="32">
        <f>ClientDB[[#This Row],[Days]]*IF(ClientDB[[#This Row],[Days]]&gt;1,$V$8,$V$7)</f>
        <v>900</v>
      </c>
      <c r="P15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54" s="15" t="s">
        <v>899</v>
      </c>
      <c r="R154" s="15" t="str">
        <f>INDEX(seat_table,MATCH(ClientDB[[#This Row],[Country Code]],seat_country_code,0),MATCH(ClientDB[[#This Row],[Meal]],meal,0))</f>
        <v>A</v>
      </c>
    </row>
    <row r="155" spans="1:18" x14ac:dyDescent="0.25">
      <c r="A155" s="10">
        <v>23011</v>
      </c>
      <c r="B155" t="s">
        <v>767</v>
      </c>
      <c r="C155" t="s">
        <v>411</v>
      </c>
      <c r="D155" s="18">
        <v>43085</v>
      </c>
      <c r="E155" s="10">
        <f>YEAR(ClientDB[[#This Row],[Start Date]])</f>
        <v>2017</v>
      </c>
      <c r="F155" t="s">
        <v>827</v>
      </c>
      <c r="G155" t="str">
        <f>VLOOKUP(ClientDB[[#This Row],[Org Code]],organization_table[],2)</f>
        <v>Ripple Com</v>
      </c>
      <c r="H155" s="10" t="s">
        <v>15</v>
      </c>
      <c r="I155" s="10" t="str">
        <f>INDEX(Country,MATCH(ClientDB[[#This Row],[Country Code]],Country_Codes,0),1)</f>
        <v>United Kingdom</v>
      </c>
      <c r="J155" s="15">
        <v>8</v>
      </c>
      <c r="K155" s="15" t="str">
        <f>IF(ClientDB[[#This Row],[Start Date]]&gt;=$U$14,"New","")</f>
        <v/>
      </c>
      <c r="L155" s="15" t="str">
        <f>IF(AND(ClientDB[[#This Row],[Start Year]]&lt;2016,ClientDB[[#This Row],[Events]]&gt;=6),"Gift","")</f>
        <v/>
      </c>
      <c r="M15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55" s="15">
        <v>2</v>
      </c>
      <c r="O155" s="32">
        <f>ClientDB[[#This Row],[Days]]*IF(ClientDB[[#This Row],[Days]]&gt;1,$V$8,$V$7)</f>
        <v>600</v>
      </c>
      <c r="P15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55" s="15" t="s">
        <v>901</v>
      </c>
      <c r="R155" s="15" t="str">
        <f>INDEX(seat_table,MATCH(ClientDB[[#This Row],[Country Code]],seat_country_code,0),MATCH(ClientDB[[#This Row],[Meal]],meal,0))</f>
        <v>E</v>
      </c>
    </row>
    <row r="156" spans="1:18" x14ac:dyDescent="0.25">
      <c r="A156" s="10">
        <v>23052</v>
      </c>
      <c r="B156" t="s">
        <v>730</v>
      </c>
      <c r="C156" t="s">
        <v>731</v>
      </c>
      <c r="D156" s="18">
        <v>43712</v>
      </c>
      <c r="E156" s="10">
        <f>YEAR(ClientDB[[#This Row],[Start Date]])</f>
        <v>2019</v>
      </c>
      <c r="F156" t="s">
        <v>819</v>
      </c>
      <c r="G156" t="str">
        <f>VLOOKUP(ClientDB[[#This Row],[Org Code]],organization_table[],2)</f>
        <v>NetaAssist</v>
      </c>
      <c r="H156" s="10" t="s">
        <v>34</v>
      </c>
      <c r="I156" s="10" t="str">
        <f>INDEX(Country,MATCH(ClientDB[[#This Row],[Country Code]],Country_Codes,0),1)</f>
        <v>United States</v>
      </c>
      <c r="J156" s="15">
        <v>13</v>
      </c>
      <c r="K156" s="15" t="str">
        <f>IF(ClientDB[[#This Row],[Start Date]]&gt;=$U$14,"New","")</f>
        <v/>
      </c>
      <c r="L156" s="15" t="str">
        <f>IF(AND(ClientDB[[#This Row],[Start Year]]&lt;2016,ClientDB[[#This Row],[Events]]&gt;=6),"Gift","")</f>
        <v/>
      </c>
      <c r="M15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56" s="15">
        <v>1</v>
      </c>
      <c r="O156" s="32">
        <f>ClientDB[[#This Row],[Days]]*IF(ClientDB[[#This Row],[Days]]&gt;1,$V$8,$V$7)</f>
        <v>350</v>
      </c>
      <c r="P15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156" s="15" t="s">
        <v>901</v>
      </c>
      <c r="R156" s="15" t="str">
        <f>INDEX(seat_table,MATCH(ClientDB[[#This Row],[Country Code]],seat_country_code,0),MATCH(ClientDB[[#This Row],[Meal]],meal,0))</f>
        <v>G</v>
      </c>
    </row>
    <row r="157" spans="1:18" x14ac:dyDescent="0.25">
      <c r="A157" s="10">
        <v>23238</v>
      </c>
      <c r="B157" t="s">
        <v>559</v>
      </c>
      <c r="C157" t="s">
        <v>560</v>
      </c>
      <c r="D157" s="18">
        <v>43963</v>
      </c>
      <c r="E157" s="10">
        <f>YEAR(ClientDB[[#This Row],[Start Date]])</f>
        <v>2020</v>
      </c>
      <c r="F157" t="s">
        <v>800</v>
      </c>
      <c r="G157" t="str">
        <f>VLOOKUP(ClientDB[[#This Row],[Org Code]],organization_table[],2)</f>
        <v>Colot</v>
      </c>
      <c r="H157" s="10" t="s">
        <v>155</v>
      </c>
      <c r="I157" s="10" t="str">
        <f>INDEX(Country,MATCH(ClientDB[[#This Row],[Country Code]],Country_Codes,0),1)</f>
        <v>United Arab Emirates</v>
      </c>
      <c r="J157" s="15">
        <v>3</v>
      </c>
      <c r="K157" s="15" t="str">
        <f>IF(ClientDB[[#This Row],[Start Date]]&gt;=$U$14,"New","")</f>
        <v>New</v>
      </c>
      <c r="L157" s="15" t="str">
        <f>IF(AND(ClientDB[[#This Row],[Start Year]]&lt;2016,ClientDB[[#This Row],[Events]]&gt;=6),"Gift","")</f>
        <v/>
      </c>
      <c r="M15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57" s="15">
        <v>1</v>
      </c>
      <c r="O157" s="32">
        <f>ClientDB[[#This Row],[Days]]*IF(ClientDB[[#This Row],[Days]]&gt;1,$V$8,$V$7)</f>
        <v>350</v>
      </c>
      <c r="P15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57" s="15" t="s">
        <v>899</v>
      </c>
      <c r="R157" s="15" t="str">
        <f>INDEX(seat_table,MATCH(ClientDB[[#This Row],[Country Code]],seat_country_code,0),MATCH(ClientDB[[#This Row],[Meal]],meal,0))</f>
        <v>A</v>
      </c>
    </row>
    <row r="158" spans="1:18" x14ac:dyDescent="0.25">
      <c r="A158" s="10">
        <v>23254</v>
      </c>
      <c r="B158" t="s">
        <v>424</v>
      </c>
      <c r="C158" t="s">
        <v>425</v>
      </c>
      <c r="D158" s="18">
        <v>43298</v>
      </c>
      <c r="E158" s="10">
        <f>YEAR(ClientDB[[#This Row],[Start Date]])</f>
        <v>2018</v>
      </c>
      <c r="F158" t="s">
        <v>827</v>
      </c>
      <c r="G158" t="str">
        <f>VLOOKUP(ClientDB[[#This Row],[Org Code]],organization_table[],2)</f>
        <v>Ripple Com</v>
      </c>
      <c r="H158" s="10" t="s">
        <v>59</v>
      </c>
      <c r="I158" s="10" t="str">
        <f>INDEX(Country,MATCH(ClientDB[[#This Row],[Country Code]],Country_Codes,0),1)</f>
        <v>Netherlands</v>
      </c>
      <c r="J158" s="15">
        <v>7</v>
      </c>
      <c r="K158" s="15" t="str">
        <f>IF(ClientDB[[#This Row],[Start Date]]&gt;=$U$14,"New","")</f>
        <v/>
      </c>
      <c r="L158" s="15" t="str">
        <f>IF(AND(ClientDB[[#This Row],[Start Year]]&lt;2016,ClientDB[[#This Row],[Events]]&gt;=6),"Gift","")</f>
        <v/>
      </c>
      <c r="M15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58" s="15">
        <v>1</v>
      </c>
      <c r="O158" s="32">
        <f>ClientDB[[#This Row],[Days]]*IF(ClientDB[[#This Row],[Days]]&gt;1,$V$8,$V$7)</f>
        <v>350</v>
      </c>
      <c r="P15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58" s="15" t="s">
        <v>901</v>
      </c>
      <c r="R158" s="15" t="str">
        <f>INDEX(seat_table,MATCH(ClientDB[[#This Row],[Country Code]],seat_country_code,0),MATCH(ClientDB[[#This Row],[Meal]],meal,0))</f>
        <v>F</v>
      </c>
    </row>
    <row r="159" spans="1:18" x14ac:dyDescent="0.25">
      <c r="A159" s="10">
        <v>23268</v>
      </c>
      <c r="B159" t="s">
        <v>115</v>
      </c>
      <c r="C159" t="s">
        <v>116</v>
      </c>
      <c r="D159" s="18">
        <v>42172</v>
      </c>
      <c r="E159" s="10">
        <f>YEAR(ClientDB[[#This Row],[Start Date]])</f>
        <v>2015</v>
      </c>
      <c r="F159" t="s">
        <v>810</v>
      </c>
      <c r="G159" t="str">
        <f>VLOOKUP(ClientDB[[#This Row],[Org Code]],organization_table[],2)</f>
        <v>Euro-M</v>
      </c>
      <c r="H159" s="10" t="s">
        <v>15</v>
      </c>
      <c r="I159" s="10" t="str">
        <f>INDEX(Country,MATCH(ClientDB[[#This Row],[Country Code]],Country_Codes,0),1)</f>
        <v>United Kingdom</v>
      </c>
      <c r="J159" s="15">
        <v>14</v>
      </c>
      <c r="K159" s="15" t="str">
        <f>IF(ClientDB[[#This Row],[Start Date]]&gt;=$U$14,"New","")</f>
        <v/>
      </c>
      <c r="L159" s="15" t="str">
        <f>IF(AND(ClientDB[[#This Row],[Start Year]]&lt;2016,ClientDB[[#This Row],[Events]]&gt;=6),"Gift","")</f>
        <v>Gift</v>
      </c>
      <c r="M15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59" s="15">
        <v>1</v>
      </c>
      <c r="O159" s="32">
        <f>ClientDB[[#This Row],[Days]]*IF(ClientDB[[#This Row],[Days]]&gt;1,$V$8,$V$7)</f>
        <v>350</v>
      </c>
      <c r="P15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159" s="15" t="s">
        <v>901</v>
      </c>
      <c r="R159" s="15" t="str">
        <f>INDEX(seat_table,MATCH(ClientDB[[#This Row],[Country Code]],seat_country_code,0),MATCH(ClientDB[[#This Row],[Meal]],meal,0))</f>
        <v>E</v>
      </c>
    </row>
    <row r="160" spans="1:18" x14ac:dyDescent="0.25">
      <c r="A160" s="10">
        <v>23449</v>
      </c>
      <c r="B160" t="s">
        <v>703</v>
      </c>
      <c r="C160" t="s">
        <v>458</v>
      </c>
      <c r="D160" s="18">
        <v>43910</v>
      </c>
      <c r="E160" s="10">
        <f>YEAR(ClientDB[[#This Row],[Start Date]])</f>
        <v>2020</v>
      </c>
      <c r="F160" t="s">
        <v>827</v>
      </c>
      <c r="G160" t="str">
        <f>VLOOKUP(ClientDB[[#This Row],[Org Code]],organization_table[],2)</f>
        <v>Ripple Com</v>
      </c>
      <c r="H160" s="10" t="s">
        <v>277</v>
      </c>
      <c r="I160" s="10" t="str">
        <f>INDEX(Country,MATCH(ClientDB[[#This Row],[Country Code]],Country_Codes,0),1)</f>
        <v>Saudi Arabia</v>
      </c>
      <c r="J160" s="15">
        <v>7</v>
      </c>
      <c r="K160" s="15" t="str">
        <f>IF(ClientDB[[#This Row],[Start Date]]&gt;=$U$14,"New","")</f>
        <v>New</v>
      </c>
      <c r="L160" s="15" t="str">
        <f>IF(AND(ClientDB[[#This Row],[Start Year]]&lt;2016,ClientDB[[#This Row],[Events]]&gt;=6),"Gift","")</f>
        <v/>
      </c>
      <c r="M16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0" s="15">
        <v>2</v>
      </c>
      <c r="O160" s="32">
        <f>ClientDB[[#This Row],[Days]]*IF(ClientDB[[#This Row],[Days]]&gt;1,$V$8,$V$7)</f>
        <v>600</v>
      </c>
      <c r="P16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60" s="15" t="s">
        <v>901</v>
      </c>
      <c r="R160" s="15" t="str">
        <f>INDEX(seat_table,MATCH(ClientDB[[#This Row],[Country Code]],seat_country_code,0),MATCH(ClientDB[[#This Row],[Meal]],meal,0))</f>
        <v>G</v>
      </c>
    </row>
    <row r="161" spans="1:18" x14ac:dyDescent="0.25">
      <c r="A161" s="10">
        <v>23623</v>
      </c>
      <c r="B161" t="s">
        <v>263</v>
      </c>
      <c r="C161" t="s">
        <v>393</v>
      </c>
      <c r="D161" s="18">
        <v>43990</v>
      </c>
      <c r="E161" s="10">
        <f>YEAR(ClientDB[[#This Row],[Start Date]])</f>
        <v>2020</v>
      </c>
      <c r="F161" t="s">
        <v>818</v>
      </c>
      <c r="G161" t="str">
        <f>VLOOKUP(ClientDB[[#This Row],[Org Code]],organization_table[],2)</f>
        <v>Mojbal</v>
      </c>
      <c r="H161" s="10" t="s">
        <v>46</v>
      </c>
      <c r="I161" s="10" t="str">
        <f>INDEX(Country,MATCH(ClientDB[[#This Row],[Country Code]],Country_Codes,0),1)</f>
        <v>Germany</v>
      </c>
      <c r="J161" s="15">
        <v>2</v>
      </c>
      <c r="K161" s="15" t="str">
        <f>IF(ClientDB[[#This Row],[Start Date]]&gt;=$U$14,"New","")</f>
        <v>New</v>
      </c>
      <c r="L161" s="15" t="str">
        <f>IF(AND(ClientDB[[#This Row],[Start Year]]&lt;2016,ClientDB[[#This Row],[Events]]&gt;=6),"Gift","")</f>
        <v/>
      </c>
      <c r="M16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1" s="15">
        <v>2</v>
      </c>
      <c r="O161" s="32">
        <f>ClientDB[[#This Row],[Days]]*IF(ClientDB[[#This Row],[Days]]&gt;1,$V$8,$V$7)</f>
        <v>600</v>
      </c>
      <c r="P16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61" s="15" t="s">
        <v>899</v>
      </c>
      <c r="R161" s="15" t="str">
        <f>INDEX(seat_table,MATCH(ClientDB[[#This Row],[Country Code]],seat_country_code,0),MATCH(ClientDB[[#This Row],[Meal]],meal,0))</f>
        <v>A</v>
      </c>
    </row>
    <row r="162" spans="1:18" x14ac:dyDescent="0.25">
      <c r="A162" s="10">
        <v>23689</v>
      </c>
      <c r="B162" t="s">
        <v>287</v>
      </c>
      <c r="C162" t="s">
        <v>288</v>
      </c>
      <c r="D162" s="18">
        <v>43920</v>
      </c>
      <c r="E162" s="10">
        <f>YEAR(ClientDB[[#This Row],[Start Date]])</f>
        <v>2020</v>
      </c>
      <c r="F162" t="s">
        <v>838</v>
      </c>
      <c r="G162" t="str">
        <f>VLOOKUP(ClientDB[[#This Row],[Org Code]],organization_table[],2)</f>
        <v>xLAN Internet Exchange</v>
      </c>
      <c r="H162" s="10" t="s">
        <v>54</v>
      </c>
      <c r="I162" s="10" t="str">
        <f>INDEX(Country,MATCH(ClientDB[[#This Row],[Country Code]],Country_Codes,0),1)</f>
        <v>Romania</v>
      </c>
      <c r="J162" s="15">
        <v>2</v>
      </c>
      <c r="K162" s="15" t="str">
        <f>IF(ClientDB[[#This Row],[Start Date]]&gt;=$U$14,"New","")</f>
        <v>New</v>
      </c>
      <c r="L162" s="15" t="str">
        <f>IF(AND(ClientDB[[#This Row],[Start Year]]&lt;2016,ClientDB[[#This Row],[Events]]&gt;=6),"Gift","")</f>
        <v/>
      </c>
      <c r="M16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2" s="15">
        <v>2</v>
      </c>
      <c r="O162" s="32">
        <f>ClientDB[[#This Row],[Days]]*IF(ClientDB[[#This Row],[Days]]&gt;1,$V$8,$V$7)</f>
        <v>600</v>
      </c>
      <c r="P16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62" s="15" t="s">
        <v>901</v>
      </c>
      <c r="R162" s="15" t="str">
        <f>INDEX(seat_table,MATCH(ClientDB[[#This Row],[Country Code]],seat_country_code,0),MATCH(ClientDB[[#This Row],[Meal]],meal,0))</f>
        <v>G</v>
      </c>
    </row>
    <row r="163" spans="1:18" x14ac:dyDescent="0.25">
      <c r="A163" s="10">
        <v>23830</v>
      </c>
      <c r="B163" t="s">
        <v>355</v>
      </c>
      <c r="C163" t="s">
        <v>356</v>
      </c>
      <c r="D163" s="18">
        <v>43950</v>
      </c>
      <c r="E163" s="10">
        <f>YEAR(ClientDB[[#This Row],[Start Date]])</f>
        <v>2020</v>
      </c>
      <c r="F163" t="s">
        <v>825</v>
      </c>
      <c r="G163" t="str">
        <f>VLOOKUP(ClientDB[[#This Row],[Org Code]],organization_table[],2)</f>
        <v>Qinisar</v>
      </c>
      <c r="H163" s="10" t="s">
        <v>26</v>
      </c>
      <c r="I163" s="10" t="str">
        <f>INDEX(Country,MATCH(ClientDB[[#This Row],[Country Code]],Country_Codes,0),1)</f>
        <v>Ukraine</v>
      </c>
      <c r="J163" s="15">
        <v>3</v>
      </c>
      <c r="K163" s="15" t="str">
        <f>IF(ClientDB[[#This Row],[Start Date]]&gt;=$U$14,"New","")</f>
        <v>New</v>
      </c>
      <c r="L163" s="15" t="str">
        <f>IF(AND(ClientDB[[#This Row],[Start Year]]&lt;2016,ClientDB[[#This Row],[Events]]&gt;=6),"Gift","")</f>
        <v/>
      </c>
      <c r="M16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3" s="15">
        <v>3</v>
      </c>
      <c r="O163" s="32">
        <f>ClientDB[[#This Row],[Days]]*IF(ClientDB[[#This Row],[Days]]&gt;1,$V$8,$V$7)</f>
        <v>900</v>
      </c>
      <c r="P16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63" s="15" t="s">
        <v>901</v>
      </c>
      <c r="R163" s="15" t="str">
        <f>INDEX(seat_table,MATCH(ClientDB[[#This Row],[Country Code]],seat_country_code,0),MATCH(ClientDB[[#This Row],[Meal]],meal,0))</f>
        <v>G</v>
      </c>
    </row>
    <row r="164" spans="1:18" x14ac:dyDescent="0.25">
      <c r="A164" s="10">
        <v>24004</v>
      </c>
      <c r="B164" t="s">
        <v>374</v>
      </c>
      <c r="C164" t="s">
        <v>375</v>
      </c>
      <c r="D164" s="18">
        <v>44061</v>
      </c>
      <c r="E164" s="10">
        <f>YEAR(ClientDB[[#This Row],[Start Date]])</f>
        <v>2020</v>
      </c>
      <c r="F164" t="s">
        <v>802</v>
      </c>
      <c r="G164" t="str">
        <f>VLOOKUP(ClientDB[[#This Row],[Org Code]],organization_table[],2)</f>
        <v>Colot</v>
      </c>
      <c r="H164" s="10" t="s">
        <v>59</v>
      </c>
      <c r="I164" s="10" t="str">
        <f>INDEX(Country,MATCH(ClientDB[[#This Row],[Country Code]],Country_Codes,0),1)</f>
        <v>Netherlands</v>
      </c>
      <c r="J164" s="15">
        <v>1</v>
      </c>
      <c r="K164" s="15" t="str">
        <f>IF(ClientDB[[#This Row],[Start Date]]&gt;=$U$14,"New","")</f>
        <v>New</v>
      </c>
      <c r="L164" s="15" t="str">
        <f>IF(AND(ClientDB[[#This Row],[Start Year]]&lt;2016,ClientDB[[#This Row],[Events]]&gt;=6),"Gift","")</f>
        <v/>
      </c>
      <c r="M16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4" s="15">
        <v>2</v>
      </c>
      <c r="O164" s="32">
        <f>ClientDB[[#This Row],[Days]]*IF(ClientDB[[#This Row],[Days]]&gt;1,$V$8,$V$7)</f>
        <v>600</v>
      </c>
      <c r="P16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64" s="15" t="s">
        <v>899</v>
      </c>
      <c r="R164" s="15" t="str">
        <f>INDEX(seat_table,MATCH(ClientDB[[#This Row],[Country Code]],seat_country_code,0),MATCH(ClientDB[[#This Row],[Meal]],meal,0))</f>
        <v>B</v>
      </c>
    </row>
    <row r="165" spans="1:18" x14ac:dyDescent="0.25">
      <c r="A165" s="10">
        <v>24144</v>
      </c>
      <c r="B165" t="s">
        <v>740</v>
      </c>
      <c r="C165" t="s">
        <v>741</v>
      </c>
      <c r="D165" s="18">
        <v>43223</v>
      </c>
      <c r="E165" s="10">
        <f>YEAR(ClientDB[[#This Row],[Start Date]])</f>
        <v>2018</v>
      </c>
      <c r="F165" t="s">
        <v>808</v>
      </c>
      <c r="G165" t="str">
        <f>VLOOKUP(ClientDB[[#This Row],[Org Code]],organization_table[],2)</f>
        <v>Ebony Telecoms</v>
      </c>
      <c r="H165" s="10" t="s">
        <v>121</v>
      </c>
      <c r="I165" s="10" t="str">
        <f>INDEX(Country,MATCH(ClientDB[[#This Row],[Country Code]],Country_Codes,0),1)</f>
        <v>Portugal</v>
      </c>
      <c r="J165" s="15">
        <v>6</v>
      </c>
      <c r="K165" s="15" t="str">
        <f>IF(ClientDB[[#This Row],[Start Date]]&gt;=$U$14,"New","")</f>
        <v/>
      </c>
      <c r="L165" s="15" t="str">
        <f>IF(AND(ClientDB[[#This Row],[Start Year]]&lt;2016,ClientDB[[#This Row],[Events]]&gt;=6),"Gift","")</f>
        <v/>
      </c>
      <c r="M16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5" s="15">
        <v>2</v>
      </c>
      <c r="O165" s="32">
        <f>ClientDB[[#This Row],[Days]]*IF(ClientDB[[#This Row],[Days]]&gt;1,$V$8,$V$7)</f>
        <v>600</v>
      </c>
      <c r="P16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65" s="15" t="s">
        <v>901</v>
      </c>
      <c r="R165" s="15" t="str">
        <f>INDEX(seat_table,MATCH(ClientDB[[#This Row],[Country Code]],seat_country_code,0),MATCH(ClientDB[[#This Row],[Meal]],meal,0))</f>
        <v>G</v>
      </c>
    </row>
    <row r="166" spans="1:18" x14ac:dyDescent="0.25">
      <c r="A166" s="10">
        <v>24205</v>
      </c>
      <c r="B166" t="s">
        <v>246</v>
      </c>
      <c r="C166" t="s">
        <v>247</v>
      </c>
      <c r="D166" s="18">
        <v>43177</v>
      </c>
      <c r="E166" s="10">
        <f>YEAR(ClientDB[[#This Row],[Start Date]])</f>
        <v>2018</v>
      </c>
      <c r="F166" t="s">
        <v>800</v>
      </c>
      <c r="G166" t="str">
        <f>VLOOKUP(ClientDB[[#This Row],[Org Code]],organization_table[],2)</f>
        <v>Colot</v>
      </c>
      <c r="H166" s="10" t="s">
        <v>63</v>
      </c>
      <c r="I166" s="10" t="str">
        <f>INDEX(Country,MATCH(ClientDB[[#This Row],[Country Code]],Country_Codes,0),1)</f>
        <v>Armenia</v>
      </c>
      <c r="J166" s="15">
        <v>1</v>
      </c>
      <c r="K166" s="15" t="str">
        <f>IF(ClientDB[[#This Row],[Start Date]]&gt;=$U$14,"New","")</f>
        <v/>
      </c>
      <c r="L166" s="15" t="str">
        <f>IF(AND(ClientDB[[#This Row],[Start Year]]&lt;2016,ClientDB[[#This Row],[Events]]&gt;=6),"Gift","")</f>
        <v/>
      </c>
      <c r="M16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6" s="15">
        <v>2</v>
      </c>
      <c r="O166" s="32">
        <f>ClientDB[[#This Row],[Days]]*IF(ClientDB[[#This Row],[Days]]&gt;1,$V$8,$V$7)</f>
        <v>600</v>
      </c>
      <c r="P16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66" s="15" t="s">
        <v>900</v>
      </c>
      <c r="R166" s="15" t="str">
        <f>INDEX(seat_table,MATCH(ClientDB[[#This Row],[Country Code]],seat_country_code,0),MATCH(ClientDB[[#This Row],[Meal]],meal,0))</f>
        <v>A</v>
      </c>
    </row>
    <row r="167" spans="1:18" x14ac:dyDescent="0.25">
      <c r="A167" s="10">
        <v>24276</v>
      </c>
      <c r="B167" t="s">
        <v>436</v>
      </c>
      <c r="C167" t="s">
        <v>437</v>
      </c>
      <c r="D167" s="18">
        <v>43426</v>
      </c>
      <c r="E167" s="10">
        <f>YEAR(ClientDB[[#This Row],[Start Date]])</f>
        <v>2018</v>
      </c>
      <c r="F167" t="s">
        <v>836</v>
      </c>
      <c r="G167" t="str">
        <f>VLOOKUP(ClientDB[[#This Row],[Org Code]],organization_table[],2)</f>
        <v>Wiz Labs</v>
      </c>
      <c r="H167" s="10" t="s">
        <v>59</v>
      </c>
      <c r="I167" s="10" t="str">
        <f>INDEX(Country,MATCH(ClientDB[[#This Row],[Country Code]],Country_Codes,0),1)</f>
        <v>Netherlands</v>
      </c>
      <c r="J167" s="15">
        <v>5</v>
      </c>
      <c r="K167" s="15" t="str">
        <f>IF(ClientDB[[#This Row],[Start Date]]&gt;=$U$14,"New","")</f>
        <v/>
      </c>
      <c r="L167" s="15" t="str">
        <f>IF(AND(ClientDB[[#This Row],[Start Year]]&lt;2016,ClientDB[[#This Row],[Events]]&gt;=6),"Gift","")</f>
        <v/>
      </c>
      <c r="M16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7" s="15">
        <v>2</v>
      </c>
      <c r="O167" s="32">
        <f>ClientDB[[#This Row],[Days]]*IF(ClientDB[[#This Row],[Days]]&gt;1,$V$8,$V$7)</f>
        <v>600</v>
      </c>
      <c r="P16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67" s="15" t="s">
        <v>902</v>
      </c>
      <c r="R167" s="15" t="str">
        <f>INDEX(seat_table,MATCH(ClientDB[[#This Row],[Country Code]],seat_country_code,0),MATCH(ClientDB[[#This Row],[Meal]],meal,0))</f>
        <v>C</v>
      </c>
    </row>
    <row r="168" spans="1:18" x14ac:dyDescent="0.25">
      <c r="A168" s="10">
        <v>24292</v>
      </c>
      <c r="B168" t="s">
        <v>715</v>
      </c>
      <c r="C168" t="s">
        <v>716</v>
      </c>
      <c r="D168" s="18">
        <v>42806</v>
      </c>
      <c r="E168" s="10">
        <f>YEAR(ClientDB[[#This Row],[Start Date]])</f>
        <v>2017</v>
      </c>
      <c r="F168" t="s">
        <v>810</v>
      </c>
      <c r="G168" t="str">
        <f>VLOOKUP(ClientDB[[#This Row],[Org Code]],organization_table[],2)</f>
        <v>Euro-M</v>
      </c>
      <c r="H168" s="10" t="s">
        <v>7</v>
      </c>
      <c r="I168" s="10" t="str">
        <f>INDEX(Country,MATCH(ClientDB[[#This Row],[Country Code]],Country_Codes,0),1)</f>
        <v>Iran</v>
      </c>
      <c r="J168" s="15">
        <v>3</v>
      </c>
      <c r="K168" s="15" t="str">
        <f>IF(ClientDB[[#This Row],[Start Date]]&gt;=$U$14,"New","")</f>
        <v/>
      </c>
      <c r="L168" s="15" t="str">
        <f>IF(AND(ClientDB[[#This Row],[Start Year]]&lt;2016,ClientDB[[#This Row],[Events]]&gt;=6),"Gift","")</f>
        <v/>
      </c>
      <c r="M16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8" s="15">
        <v>3</v>
      </c>
      <c r="O168" s="32">
        <f>ClientDB[[#This Row],[Days]]*IF(ClientDB[[#This Row],[Days]]&gt;1,$V$8,$V$7)</f>
        <v>900</v>
      </c>
      <c r="P16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68" s="15" t="s">
        <v>899</v>
      </c>
      <c r="R168" s="15" t="str">
        <f>INDEX(seat_table,MATCH(ClientDB[[#This Row],[Country Code]],seat_country_code,0),MATCH(ClientDB[[#This Row],[Meal]],meal,0))</f>
        <v>A</v>
      </c>
    </row>
    <row r="169" spans="1:18" x14ac:dyDescent="0.25">
      <c r="A169" s="10">
        <v>24317</v>
      </c>
      <c r="B169" t="s">
        <v>397</v>
      </c>
      <c r="C169" t="s">
        <v>398</v>
      </c>
      <c r="D169" s="18">
        <v>42831</v>
      </c>
      <c r="E169" s="10">
        <f>YEAR(ClientDB[[#This Row],[Start Date]])</f>
        <v>2017</v>
      </c>
      <c r="F169" t="s">
        <v>816</v>
      </c>
      <c r="G169" t="str">
        <f>VLOOKUP(ClientDB[[#This Row],[Org Code]],organization_table[],2)</f>
        <v>HeatProof</v>
      </c>
      <c r="H169" s="10" t="s">
        <v>59</v>
      </c>
      <c r="I169" s="10" t="str">
        <f>INDEX(Country,MATCH(ClientDB[[#This Row],[Country Code]],Country_Codes,0),1)</f>
        <v>Netherlands</v>
      </c>
      <c r="J169" s="15">
        <v>6</v>
      </c>
      <c r="K169" s="15" t="str">
        <f>IF(ClientDB[[#This Row],[Start Date]]&gt;=$U$14,"New","")</f>
        <v/>
      </c>
      <c r="L169" s="15" t="str">
        <f>IF(AND(ClientDB[[#This Row],[Start Year]]&lt;2016,ClientDB[[#This Row],[Events]]&gt;=6),"Gift","")</f>
        <v/>
      </c>
      <c r="M16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69" s="15">
        <v>1</v>
      </c>
      <c r="O169" s="32">
        <f>ClientDB[[#This Row],[Days]]*IF(ClientDB[[#This Row],[Days]]&gt;1,$V$8,$V$7)</f>
        <v>350</v>
      </c>
      <c r="P16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69" s="15" t="s">
        <v>901</v>
      </c>
      <c r="R169" s="15" t="str">
        <f>INDEX(seat_table,MATCH(ClientDB[[#This Row],[Country Code]],seat_country_code,0),MATCH(ClientDB[[#This Row],[Meal]],meal,0))</f>
        <v>F</v>
      </c>
    </row>
    <row r="170" spans="1:18" x14ac:dyDescent="0.25">
      <c r="A170" s="10">
        <v>24350</v>
      </c>
      <c r="B170" t="s">
        <v>394</v>
      </c>
      <c r="C170" t="s">
        <v>395</v>
      </c>
      <c r="D170" s="18">
        <v>43676</v>
      </c>
      <c r="E170" s="10">
        <f>YEAR(ClientDB[[#This Row],[Start Date]])</f>
        <v>2019</v>
      </c>
      <c r="F170" t="s">
        <v>798</v>
      </c>
      <c r="G170" t="str">
        <f>VLOOKUP(ClientDB[[#This Row],[Org Code]],organization_table[],2)</f>
        <v>Axell Group</v>
      </c>
      <c r="H170" s="10" t="s">
        <v>396</v>
      </c>
      <c r="I170" s="10" t="str">
        <f>INDEX(Country,MATCH(ClientDB[[#This Row],[Country Code]],Country_Codes,0),1)</f>
        <v>Lithuania</v>
      </c>
      <c r="J170" s="15">
        <v>3</v>
      </c>
      <c r="K170" s="15" t="str">
        <f>IF(ClientDB[[#This Row],[Start Date]]&gt;=$U$14,"New","")</f>
        <v/>
      </c>
      <c r="L170" s="15" t="str">
        <f>IF(AND(ClientDB[[#This Row],[Start Year]]&lt;2016,ClientDB[[#This Row],[Events]]&gt;=6),"Gift","")</f>
        <v/>
      </c>
      <c r="M17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0" s="15">
        <v>3</v>
      </c>
      <c r="O170" s="32">
        <f>ClientDB[[#This Row],[Days]]*IF(ClientDB[[#This Row],[Days]]&gt;1,$V$8,$V$7)</f>
        <v>900</v>
      </c>
      <c r="P17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70" s="15" t="s">
        <v>900</v>
      </c>
      <c r="R170" s="15" t="str">
        <f>INDEX(seat_table,MATCH(ClientDB[[#This Row],[Country Code]],seat_country_code,0),MATCH(ClientDB[[#This Row],[Meal]],meal,0))</f>
        <v>C</v>
      </c>
    </row>
    <row r="171" spans="1:18" x14ac:dyDescent="0.25">
      <c r="A171" s="10">
        <v>24398</v>
      </c>
      <c r="B171" t="s">
        <v>725</v>
      </c>
      <c r="C171" t="s">
        <v>726</v>
      </c>
      <c r="D171" s="18">
        <v>42323</v>
      </c>
      <c r="E171" s="10">
        <f>YEAR(ClientDB[[#This Row],[Start Date]])</f>
        <v>2015</v>
      </c>
      <c r="F171" t="s">
        <v>818</v>
      </c>
      <c r="G171" t="str">
        <f>VLOOKUP(ClientDB[[#This Row],[Org Code]],organization_table[],2)</f>
        <v>Mojbal</v>
      </c>
      <c r="H171" s="10" t="s">
        <v>7</v>
      </c>
      <c r="I171" s="10" t="str">
        <f>INDEX(Country,MATCH(ClientDB[[#This Row],[Country Code]],Country_Codes,0),1)</f>
        <v>Iran</v>
      </c>
      <c r="J171" s="15">
        <v>7</v>
      </c>
      <c r="K171" s="15" t="str">
        <f>IF(ClientDB[[#This Row],[Start Date]]&gt;=$U$14,"New","")</f>
        <v/>
      </c>
      <c r="L171" s="15" t="str">
        <f>IF(AND(ClientDB[[#This Row],[Start Year]]&lt;2016,ClientDB[[#This Row],[Events]]&gt;=6),"Gift","")</f>
        <v>Gift</v>
      </c>
      <c r="M17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1" s="15">
        <v>3</v>
      </c>
      <c r="O171" s="32">
        <f>ClientDB[[#This Row],[Days]]*IF(ClientDB[[#This Row],[Days]]&gt;1,$V$8,$V$7)</f>
        <v>900</v>
      </c>
      <c r="P17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71" s="15" t="s">
        <v>901</v>
      </c>
      <c r="R171" s="15" t="str">
        <f>INDEX(seat_table,MATCH(ClientDB[[#This Row],[Country Code]],seat_country_code,0),MATCH(ClientDB[[#This Row],[Meal]],meal,0))</f>
        <v>F</v>
      </c>
    </row>
    <row r="172" spans="1:18" x14ac:dyDescent="0.25">
      <c r="A172" s="10">
        <v>24600</v>
      </c>
      <c r="B172" t="s">
        <v>401</v>
      </c>
      <c r="C172" t="s">
        <v>402</v>
      </c>
      <c r="D172" s="18">
        <v>42831</v>
      </c>
      <c r="E172" s="10">
        <f>YEAR(ClientDB[[#This Row],[Start Date]])</f>
        <v>2017</v>
      </c>
      <c r="F172" t="s">
        <v>837</v>
      </c>
      <c r="G172" t="str">
        <f>VLOOKUP(ClientDB[[#This Row],[Org Code]],organization_table[],2)</f>
        <v>Verisize</v>
      </c>
      <c r="H172" s="10" t="s">
        <v>26</v>
      </c>
      <c r="I172" s="10" t="str">
        <f>INDEX(Country,MATCH(ClientDB[[#This Row],[Country Code]],Country_Codes,0),1)</f>
        <v>Ukraine</v>
      </c>
      <c r="J172" s="15">
        <v>3</v>
      </c>
      <c r="K172" s="15" t="str">
        <f>IF(ClientDB[[#This Row],[Start Date]]&gt;=$U$14,"New","")</f>
        <v/>
      </c>
      <c r="L172" s="15" t="str">
        <f>IF(AND(ClientDB[[#This Row],[Start Year]]&lt;2016,ClientDB[[#This Row],[Events]]&gt;=6),"Gift","")</f>
        <v/>
      </c>
      <c r="M17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2" s="15">
        <v>2</v>
      </c>
      <c r="O172" s="32">
        <f>ClientDB[[#This Row],[Days]]*IF(ClientDB[[#This Row],[Days]]&gt;1,$V$8,$V$7)</f>
        <v>600</v>
      </c>
      <c r="P17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72" s="15" t="s">
        <v>900</v>
      </c>
      <c r="R172" s="15" t="str">
        <f>INDEX(seat_table,MATCH(ClientDB[[#This Row],[Country Code]],seat_country_code,0),MATCH(ClientDB[[#This Row],[Meal]],meal,0))</f>
        <v>C</v>
      </c>
    </row>
    <row r="173" spans="1:18" x14ac:dyDescent="0.25">
      <c r="A173" s="10">
        <v>24841</v>
      </c>
      <c r="B173" t="s">
        <v>607</v>
      </c>
      <c r="C173" t="s">
        <v>608</v>
      </c>
      <c r="D173" s="18">
        <v>42415</v>
      </c>
      <c r="E173" s="10">
        <f>YEAR(ClientDB[[#This Row],[Start Date]])</f>
        <v>2016</v>
      </c>
      <c r="F173" t="s">
        <v>826</v>
      </c>
      <c r="G173" t="str">
        <f>VLOOKUP(ClientDB[[#This Row],[Org Code]],organization_table[],2)</f>
        <v>Ripple Com</v>
      </c>
      <c r="H173" s="10" t="s">
        <v>311</v>
      </c>
      <c r="I173" s="10" t="str">
        <f>INDEX(Country,MATCH(ClientDB[[#This Row],[Country Code]],Country_Codes,0),1)</f>
        <v>France</v>
      </c>
      <c r="J173" s="15">
        <v>7</v>
      </c>
      <c r="K173" s="15" t="str">
        <f>IF(ClientDB[[#This Row],[Start Date]]&gt;=$U$14,"New","")</f>
        <v/>
      </c>
      <c r="L173" s="15" t="str">
        <f>IF(AND(ClientDB[[#This Row],[Start Year]]&lt;2016,ClientDB[[#This Row],[Events]]&gt;=6),"Gift","")</f>
        <v/>
      </c>
      <c r="M17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3" s="15">
        <v>1</v>
      </c>
      <c r="O173" s="32">
        <f>ClientDB[[#This Row],[Days]]*IF(ClientDB[[#This Row],[Days]]&gt;1,$V$8,$V$7)</f>
        <v>350</v>
      </c>
      <c r="P17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73" s="15" t="s">
        <v>900</v>
      </c>
      <c r="R173" s="15" t="str">
        <f>INDEX(seat_table,MATCH(ClientDB[[#This Row],[Country Code]],seat_country_code,0),MATCH(ClientDB[[#This Row],[Meal]],meal,0))</f>
        <v>A</v>
      </c>
    </row>
    <row r="174" spans="1:18" x14ac:dyDescent="0.25">
      <c r="A174" s="10">
        <v>24884</v>
      </c>
      <c r="B174" t="s">
        <v>152</v>
      </c>
      <c r="C174" t="s">
        <v>153</v>
      </c>
      <c r="D174" s="18">
        <v>42703</v>
      </c>
      <c r="E174" s="10">
        <f>YEAR(ClientDB[[#This Row],[Start Date]])</f>
        <v>2016</v>
      </c>
      <c r="F174" t="s">
        <v>800</v>
      </c>
      <c r="G174" t="str">
        <f>VLOOKUP(ClientDB[[#This Row],[Org Code]],organization_table[],2)</f>
        <v>Colot</v>
      </c>
      <c r="H174" s="10" t="s">
        <v>155</v>
      </c>
      <c r="I174" s="10" t="str">
        <f>INDEX(Country,MATCH(ClientDB[[#This Row],[Country Code]],Country_Codes,0),1)</f>
        <v>United Arab Emirates</v>
      </c>
      <c r="J174" s="15">
        <v>15</v>
      </c>
      <c r="K174" s="15" t="str">
        <f>IF(ClientDB[[#This Row],[Start Date]]&gt;=$U$14,"New","")</f>
        <v/>
      </c>
      <c r="L174" s="15" t="str">
        <f>IF(AND(ClientDB[[#This Row],[Start Year]]&lt;2016,ClientDB[[#This Row],[Events]]&gt;=6),"Gift","")</f>
        <v/>
      </c>
      <c r="M17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74" s="15">
        <v>1</v>
      </c>
      <c r="O174" s="32">
        <f>ClientDB[[#This Row],[Days]]*IF(ClientDB[[#This Row],[Days]]&gt;1,$V$8,$V$7)</f>
        <v>350</v>
      </c>
      <c r="P17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174" s="15" t="s">
        <v>899</v>
      </c>
      <c r="R174" s="15" t="str">
        <f>INDEX(seat_table,MATCH(ClientDB[[#This Row],[Country Code]],seat_country_code,0),MATCH(ClientDB[[#This Row],[Meal]],meal,0))</f>
        <v>A</v>
      </c>
    </row>
    <row r="175" spans="1:18" x14ac:dyDescent="0.25">
      <c r="A175" s="10">
        <v>24998</v>
      </c>
      <c r="B175" t="s">
        <v>566</v>
      </c>
      <c r="C175" t="s">
        <v>567</v>
      </c>
      <c r="D175" s="18">
        <v>43017</v>
      </c>
      <c r="E175" s="10">
        <f>YEAR(ClientDB[[#This Row],[Start Date]])</f>
        <v>2017</v>
      </c>
      <c r="F175" t="s">
        <v>808</v>
      </c>
      <c r="G175" t="str">
        <f>VLOOKUP(ClientDB[[#This Row],[Org Code]],organization_table[],2)</f>
        <v>Ebony Telecoms</v>
      </c>
      <c r="H175" s="10" t="s">
        <v>121</v>
      </c>
      <c r="I175" s="10" t="str">
        <f>INDEX(Country,MATCH(ClientDB[[#This Row],[Country Code]],Country_Codes,0),1)</f>
        <v>Portugal</v>
      </c>
      <c r="J175" s="15">
        <v>6</v>
      </c>
      <c r="K175" s="15" t="str">
        <f>IF(ClientDB[[#This Row],[Start Date]]&gt;=$U$14,"New","")</f>
        <v/>
      </c>
      <c r="L175" s="15" t="str">
        <f>IF(AND(ClientDB[[#This Row],[Start Year]]&lt;2016,ClientDB[[#This Row],[Events]]&gt;=6),"Gift","")</f>
        <v/>
      </c>
      <c r="M17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5" s="15">
        <v>1</v>
      </c>
      <c r="O175" s="32">
        <f>ClientDB[[#This Row],[Days]]*IF(ClientDB[[#This Row],[Days]]&gt;1,$V$8,$V$7)</f>
        <v>350</v>
      </c>
      <c r="P17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75" s="15" t="s">
        <v>900</v>
      </c>
      <c r="R175" s="15" t="str">
        <f>INDEX(seat_table,MATCH(ClientDB[[#This Row],[Country Code]],seat_country_code,0),MATCH(ClientDB[[#This Row],[Meal]],meal,0))</f>
        <v>C</v>
      </c>
    </row>
    <row r="176" spans="1:18" x14ac:dyDescent="0.25">
      <c r="A176" s="10">
        <v>25034</v>
      </c>
      <c r="B176" t="s">
        <v>389</v>
      </c>
      <c r="C176" t="s">
        <v>682</v>
      </c>
      <c r="D176" s="18">
        <v>42154</v>
      </c>
      <c r="E176" s="10">
        <f>YEAR(ClientDB[[#This Row],[Start Date]])</f>
        <v>2015</v>
      </c>
      <c r="F176" t="s">
        <v>811</v>
      </c>
      <c r="G176" t="str">
        <f>VLOOKUP(ClientDB[[#This Row],[Org Code]],organization_table[],2)</f>
        <v>Ebony Telecoms</v>
      </c>
      <c r="H176" s="10" t="s">
        <v>15</v>
      </c>
      <c r="I176" s="10" t="str">
        <f>INDEX(Country,MATCH(ClientDB[[#This Row],[Country Code]],Country_Codes,0),1)</f>
        <v>United Kingdom</v>
      </c>
      <c r="J176" s="15">
        <v>3</v>
      </c>
      <c r="K176" s="15" t="str">
        <f>IF(ClientDB[[#This Row],[Start Date]]&gt;=$U$14,"New","")</f>
        <v/>
      </c>
      <c r="L176" s="15" t="str">
        <f>IF(AND(ClientDB[[#This Row],[Start Year]]&lt;2016,ClientDB[[#This Row],[Events]]&gt;=6),"Gift","")</f>
        <v/>
      </c>
      <c r="M17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6" s="15">
        <v>3</v>
      </c>
      <c r="O176" s="32">
        <f>ClientDB[[#This Row],[Days]]*IF(ClientDB[[#This Row],[Days]]&gt;1,$V$8,$V$7)</f>
        <v>900</v>
      </c>
      <c r="P17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76" s="15" t="s">
        <v>902</v>
      </c>
      <c r="R176" s="15" t="str">
        <f>INDEX(seat_table,MATCH(ClientDB[[#This Row],[Country Code]],seat_country_code,0),MATCH(ClientDB[[#This Row],[Meal]],meal,0))</f>
        <v>B</v>
      </c>
    </row>
    <row r="177" spans="1:18" x14ac:dyDescent="0.25">
      <c r="A177" s="10">
        <v>25049</v>
      </c>
      <c r="B177" t="s">
        <v>572</v>
      </c>
      <c r="C177" t="s">
        <v>573</v>
      </c>
      <c r="D177" s="18">
        <v>42320</v>
      </c>
      <c r="E177" s="10">
        <f>YEAR(ClientDB[[#This Row],[Start Date]])</f>
        <v>2015</v>
      </c>
      <c r="F177" t="s">
        <v>821</v>
      </c>
      <c r="G177" t="str">
        <f>VLOOKUP(ClientDB[[#This Row],[Org Code]],organization_table[],2)</f>
        <v>Parmis Technologies</v>
      </c>
      <c r="H177" s="10" t="s">
        <v>7</v>
      </c>
      <c r="I177" s="10" t="str">
        <f>INDEX(Country,MATCH(ClientDB[[#This Row],[Country Code]],Country_Codes,0),1)</f>
        <v>Iran</v>
      </c>
      <c r="J177" s="15">
        <v>9</v>
      </c>
      <c r="K177" s="15" t="str">
        <f>IF(ClientDB[[#This Row],[Start Date]]&gt;=$U$14,"New","")</f>
        <v/>
      </c>
      <c r="L177" s="15" t="str">
        <f>IF(AND(ClientDB[[#This Row],[Start Year]]&lt;2016,ClientDB[[#This Row],[Events]]&gt;=6),"Gift","")</f>
        <v>Gift</v>
      </c>
      <c r="M17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7" s="15">
        <v>3</v>
      </c>
      <c r="O177" s="32">
        <f>ClientDB[[#This Row],[Days]]*IF(ClientDB[[#This Row],[Days]]&gt;1,$V$8,$V$7)</f>
        <v>900</v>
      </c>
      <c r="P17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77" s="15" t="s">
        <v>902</v>
      </c>
      <c r="R177" s="15" t="str">
        <f>INDEX(seat_table,MATCH(ClientDB[[#This Row],[Country Code]],seat_country_code,0),MATCH(ClientDB[[#This Row],[Meal]],meal,0))</f>
        <v>C</v>
      </c>
    </row>
    <row r="178" spans="1:18" x14ac:dyDescent="0.25">
      <c r="A178" s="10">
        <v>25080</v>
      </c>
      <c r="B178" t="s">
        <v>382</v>
      </c>
      <c r="C178" t="s">
        <v>383</v>
      </c>
      <c r="D178" s="18">
        <v>43092</v>
      </c>
      <c r="E178" s="10">
        <f>YEAR(ClientDB[[#This Row],[Start Date]])</f>
        <v>2017</v>
      </c>
      <c r="F178" t="s">
        <v>833</v>
      </c>
      <c r="G178" t="str">
        <f>VLOOKUP(ClientDB[[#This Row],[Org Code]],organization_table[],2)</f>
        <v>UON</v>
      </c>
      <c r="H178" s="10" t="s">
        <v>38</v>
      </c>
      <c r="I178" s="10" t="str">
        <f>INDEX(Country,MATCH(ClientDB[[#This Row],[Country Code]],Country_Codes,0),1)</f>
        <v>Czech Republic</v>
      </c>
      <c r="J178" s="15">
        <v>11</v>
      </c>
      <c r="K178" s="15" t="str">
        <f>IF(ClientDB[[#This Row],[Start Date]]&gt;=$U$14,"New","")</f>
        <v/>
      </c>
      <c r="L178" s="15" t="str">
        <f>IF(AND(ClientDB[[#This Row],[Start Year]]&lt;2016,ClientDB[[#This Row],[Events]]&gt;=6),"Gift","")</f>
        <v/>
      </c>
      <c r="M17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78" s="15">
        <v>2</v>
      </c>
      <c r="O178" s="32">
        <f>ClientDB[[#This Row],[Days]]*IF(ClientDB[[#This Row],[Days]]&gt;1,$V$8,$V$7)</f>
        <v>600</v>
      </c>
      <c r="P17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78" s="15" t="s">
        <v>899</v>
      </c>
      <c r="R178" s="15" t="str">
        <f>INDEX(seat_table,MATCH(ClientDB[[#This Row],[Country Code]],seat_country_code,0),MATCH(ClientDB[[#This Row],[Meal]],meal,0))</f>
        <v>A</v>
      </c>
    </row>
    <row r="179" spans="1:18" x14ac:dyDescent="0.25">
      <c r="A179" s="10">
        <v>25295</v>
      </c>
      <c r="B179" t="s">
        <v>501</v>
      </c>
      <c r="C179" t="s">
        <v>681</v>
      </c>
      <c r="D179" s="18">
        <v>43955</v>
      </c>
      <c r="E179" s="10">
        <f>YEAR(ClientDB[[#This Row],[Start Date]])</f>
        <v>2020</v>
      </c>
      <c r="F179" t="s">
        <v>805</v>
      </c>
      <c r="G179" t="str">
        <f>VLOOKUP(ClientDB[[#This Row],[Org Code]],organization_table[],2)</f>
        <v>DENIL</v>
      </c>
      <c r="H179" s="10" t="s">
        <v>46</v>
      </c>
      <c r="I179" s="10" t="str">
        <f>INDEX(Country,MATCH(ClientDB[[#This Row],[Country Code]],Country_Codes,0),1)</f>
        <v>Germany</v>
      </c>
      <c r="J179" s="15">
        <v>1</v>
      </c>
      <c r="K179" s="15" t="str">
        <f>IF(ClientDB[[#This Row],[Start Date]]&gt;=$U$14,"New","")</f>
        <v>New</v>
      </c>
      <c r="L179" s="15" t="str">
        <f>IF(AND(ClientDB[[#This Row],[Start Year]]&lt;2016,ClientDB[[#This Row],[Events]]&gt;=6),"Gift","")</f>
        <v/>
      </c>
      <c r="M17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79" s="15">
        <v>1</v>
      </c>
      <c r="O179" s="32">
        <f>ClientDB[[#This Row],[Days]]*IF(ClientDB[[#This Row],[Days]]&gt;1,$V$8,$V$7)</f>
        <v>350</v>
      </c>
      <c r="P17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79" s="15" t="s">
        <v>901</v>
      </c>
      <c r="R179" s="15" t="str">
        <f>INDEX(seat_table,MATCH(ClientDB[[#This Row],[Country Code]],seat_country_code,0),MATCH(ClientDB[[#This Row],[Meal]],meal,0))</f>
        <v>D</v>
      </c>
    </row>
    <row r="180" spans="1:18" x14ac:dyDescent="0.25">
      <c r="A180" s="10">
        <v>25310</v>
      </c>
      <c r="B180" t="s">
        <v>638</v>
      </c>
      <c r="C180" t="s">
        <v>639</v>
      </c>
      <c r="D180" s="18">
        <v>43809</v>
      </c>
      <c r="E180" s="10">
        <f>YEAR(ClientDB[[#This Row],[Start Date]])</f>
        <v>2019</v>
      </c>
      <c r="F180" t="s">
        <v>828</v>
      </c>
      <c r="G180" t="str">
        <f>VLOOKUP(ClientDB[[#This Row],[Org Code]],organization_table[],2)</f>
        <v>Steps IT Training</v>
      </c>
      <c r="H180" s="10" t="s">
        <v>26</v>
      </c>
      <c r="I180" s="10" t="str">
        <f>INDEX(Country,MATCH(ClientDB[[#This Row],[Country Code]],Country_Codes,0),1)</f>
        <v>Ukraine</v>
      </c>
      <c r="J180" s="15">
        <v>7</v>
      </c>
      <c r="K180" s="15" t="str">
        <f>IF(ClientDB[[#This Row],[Start Date]]&gt;=$U$14,"New","")</f>
        <v/>
      </c>
      <c r="L180" s="15" t="str">
        <f>IF(AND(ClientDB[[#This Row],[Start Year]]&lt;2016,ClientDB[[#This Row],[Events]]&gt;=6),"Gift","")</f>
        <v/>
      </c>
      <c r="M18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0" s="15">
        <v>3</v>
      </c>
      <c r="O180" s="32">
        <f>ClientDB[[#This Row],[Days]]*IF(ClientDB[[#This Row],[Days]]&gt;1,$V$8,$V$7)</f>
        <v>900</v>
      </c>
      <c r="P18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80" s="15" t="s">
        <v>901</v>
      </c>
      <c r="R180" s="15" t="str">
        <f>INDEX(seat_table,MATCH(ClientDB[[#This Row],[Country Code]],seat_country_code,0),MATCH(ClientDB[[#This Row],[Meal]],meal,0))</f>
        <v>G</v>
      </c>
    </row>
    <row r="181" spans="1:18" x14ac:dyDescent="0.25">
      <c r="A181" s="10">
        <v>25387</v>
      </c>
      <c r="B181" t="s">
        <v>332</v>
      </c>
      <c r="C181" t="s">
        <v>333</v>
      </c>
      <c r="D181" s="18">
        <v>43429</v>
      </c>
      <c r="E181" s="10">
        <f>YEAR(ClientDB[[#This Row],[Start Date]])</f>
        <v>2018</v>
      </c>
      <c r="F181" t="s">
        <v>827</v>
      </c>
      <c r="G181" t="str">
        <f>VLOOKUP(ClientDB[[#This Row],[Org Code]],organization_table[],2)</f>
        <v>Ripple Com</v>
      </c>
      <c r="H181" s="10" t="s">
        <v>15</v>
      </c>
      <c r="I181" s="10" t="str">
        <f>INDEX(Country,MATCH(ClientDB[[#This Row],[Country Code]],Country_Codes,0),1)</f>
        <v>United Kingdom</v>
      </c>
      <c r="J181" s="15">
        <v>4</v>
      </c>
      <c r="K181" s="15" t="str">
        <f>IF(ClientDB[[#This Row],[Start Date]]&gt;=$U$14,"New","")</f>
        <v/>
      </c>
      <c r="L181" s="15" t="str">
        <f>IF(AND(ClientDB[[#This Row],[Start Year]]&lt;2016,ClientDB[[#This Row],[Events]]&gt;=6),"Gift","")</f>
        <v/>
      </c>
      <c r="M18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1" s="15">
        <v>2</v>
      </c>
      <c r="O181" s="32">
        <f>ClientDB[[#This Row],[Days]]*IF(ClientDB[[#This Row],[Days]]&gt;1,$V$8,$V$7)</f>
        <v>600</v>
      </c>
      <c r="P18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81" s="15" t="s">
        <v>901</v>
      </c>
      <c r="R181" s="15" t="str">
        <f>INDEX(seat_table,MATCH(ClientDB[[#This Row],[Country Code]],seat_country_code,0),MATCH(ClientDB[[#This Row],[Meal]],meal,0))</f>
        <v>E</v>
      </c>
    </row>
    <row r="182" spans="1:18" x14ac:dyDescent="0.25">
      <c r="A182" s="10">
        <v>25412</v>
      </c>
      <c r="B182" t="s">
        <v>289</v>
      </c>
      <c r="C182" t="s">
        <v>290</v>
      </c>
      <c r="D182" s="18">
        <v>43677</v>
      </c>
      <c r="E182" s="10">
        <f>YEAR(ClientDB[[#This Row],[Start Date]])</f>
        <v>2019</v>
      </c>
      <c r="F182" t="s">
        <v>814</v>
      </c>
      <c r="G182" t="str">
        <f>VLOOKUP(ClientDB[[#This Row],[Org Code]],organization_table[],2)</f>
        <v>IPI Bucharest</v>
      </c>
      <c r="H182" s="10" t="s">
        <v>15</v>
      </c>
      <c r="I182" s="10" t="str">
        <f>INDEX(Country,MATCH(ClientDB[[#This Row],[Country Code]],Country_Codes,0),1)</f>
        <v>United Kingdom</v>
      </c>
      <c r="J182" s="15">
        <v>7</v>
      </c>
      <c r="K182" s="15" t="str">
        <f>IF(ClientDB[[#This Row],[Start Date]]&gt;=$U$14,"New","")</f>
        <v/>
      </c>
      <c r="L182" s="15" t="str">
        <f>IF(AND(ClientDB[[#This Row],[Start Year]]&lt;2016,ClientDB[[#This Row],[Events]]&gt;=6),"Gift","")</f>
        <v/>
      </c>
      <c r="M18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2" s="15">
        <v>3</v>
      </c>
      <c r="O182" s="32">
        <f>ClientDB[[#This Row],[Days]]*IF(ClientDB[[#This Row],[Days]]&gt;1,$V$8,$V$7)</f>
        <v>900</v>
      </c>
      <c r="P18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82" s="15" t="s">
        <v>899</v>
      </c>
      <c r="R182" s="15" t="str">
        <f>INDEX(seat_table,MATCH(ClientDB[[#This Row],[Country Code]],seat_country_code,0),MATCH(ClientDB[[#This Row],[Meal]],meal,0))</f>
        <v>A</v>
      </c>
    </row>
    <row r="183" spans="1:18" x14ac:dyDescent="0.25">
      <c r="A183" s="10">
        <v>25440</v>
      </c>
      <c r="B183" t="s">
        <v>179</v>
      </c>
      <c r="C183" t="s">
        <v>180</v>
      </c>
      <c r="D183" s="18">
        <v>42418</v>
      </c>
      <c r="E183" s="10">
        <f>YEAR(ClientDB[[#This Row],[Start Date]])</f>
        <v>2016</v>
      </c>
      <c r="F183" t="s">
        <v>829</v>
      </c>
      <c r="G183" t="str">
        <f>VLOOKUP(ClientDB[[#This Row],[Org Code]],organization_table[],2)</f>
        <v>Steps IT Training</v>
      </c>
      <c r="H183" s="10" t="s">
        <v>59</v>
      </c>
      <c r="I183" s="10" t="str">
        <f>INDEX(Country,MATCH(ClientDB[[#This Row],[Country Code]],Country_Codes,0),1)</f>
        <v>Netherlands</v>
      </c>
      <c r="J183" s="15">
        <v>5</v>
      </c>
      <c r="K183" s="15" t="str">
        <f>IF(ClientDB[[#This Row],[Start Date]]&gt;=$U$14,"New","")</f>
        <v/>
      </c>
      <c r="L183" s="15" t="str">
        <f>IF(AND(ClientDB[[#This Row],[Start Year]]&lt;2016,ClientDB[[#This Row],[Events]]&gt;=6),"Gift","")</f>
        <v/>
      </c>
      <c r="M18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3" s="15">
        <v>2</v>
      </c>
      <c r="O183" s="32">
        <f>ClientDB[[#This Row],[Days]]*IF(ClientDB[[#This Row],[Days]]&gt;1,$V$8,$V$7)</f>
        <v>600</v>
      </c>
      <c r="P18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83" s="15" t="s">
        <v>902</v>
      </c>
      <c r="R183" s="15" t="str">
        <f>INDEX(seat_table,MATCH(ClientDB[[#This Row],[Country Code]],seat_country_code,0),MATCH(ClientDB[[#This Row],[Meal]],meal,0))</f>
        <v>C</v>
      </c>
    </row>
    <row r="184" spans="1:18" x14ac:dyDescent="0.25">
      <c r="A184" s="10">
        <v>25549</v>
      </c>
      <c r="B184" t="s">
        <v>629</v>
      </c>
      <c r="C184" t="s">
        <v>630</v>
      </c>
      <c r="D184" s="18">
        <v>42394</v>
      </c>
      <c r="E184" s="10">
        <f>YEAR(ClientDB[[#This Row],[Start Date]])</f>
        <v>2016</v>
      </c>
      <c r="F184" t="s">
        <v>828</v>
      </c>
      <c r="G184" t="str">
        <f>VLOOKUP(ClientDB[[#This Row],[Org Code]],organization_table[],2)</f>
        <v>Steps IT Training</v>
      </c>
      <c r="H184" s="10" t="s">
        <v>46</v>
      </c>
      <c r="I184" s="10" t="str">
        <f>INDEX(Country,MATCH(ClientDB[[#This Row],[Country Code]],Country_Codes,0),1)</f>
        <v>Germany</v>
      </c>
      <c r="J184" s="15">
        <v>8</v>
      </c>
      <c r="K184" s="15" t="str">
        <f>IF(ClientDB[[#This Row],[Start Date]]&gt;=$U$14,"New","")</f>
        <v/>
      </c>
      <c r="L184" s="15" t="str">
        <f>IF(AND(ClientDB[[#This Row],[Start Year]]&lt;2016,ClientDB[[#This Row],[Events]]&gt;=6),"Gift","")</f>
        <v/>
      </c>
      <c r="M18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4" s="15">
        <v>3</v>
      </c>
      <c r="O184" s="32">
        <f>ClientDB[[#This Row],[Days]]*IF(ClientDB[[#This Row],[Days]]&gt;1,$V$8,$V$7)</f>
        <v>900</v>
      </c>
      <c r="P18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184" s="15" t="s">
        <v>899</v>
      </c>
      <c r="R184" s="15" t="str">
        <f>INDEX(seat_table,MATCH(ClientDB[[#This Row],[Country Code]],seat_country_code,0),MATCH(ClientDB[[#This Row],[Meal]],meal,0))</f>
        <v>A</v>
      </c>
    </row>
    <row r="185" spans="1:18" x14ac:dyDescent="0.25">
      <c r="A185" s="10">
        <v>25596</v>
      </c>
      <c r="B185" t="s">
        <v>248</v>
      </c>
      <c r="C185" t="s">
        <v>249</v>
      </c>
      <c r="D185" s="18">
        <v>43086</v>
      </c>
      <c r="E185" s="10">
        <f>YEAR(ClientDB[[#This Row],[Start Date]])</f>
        <v>2017</v>
      </c>
      <c r="F185" t="s">
        <v>816</v>
      </c>
      <c r="G185" t="str">
        <f>VLOOKUP(ClientDB[[#This Row],[Org Code]],organization_table[],2)</f>
        <v>HeatProof</v>
      </c>
      <c r="H185" s="10" t="s">
        <v>54</v>
      </c>
      <c r="I185" s="10" t="str">
        <f>INDEX(Country,MATCH(ClientDB[[#This Row],[Country Code]],Country_Codes,0),1)</f>
        <v>Romania</v>
      </c>
      <c r="J185" s="15">
        <v>2</v>
      </c>
      <c r="K185" s="15" t="str">
        <f>IF(ClientDB[[#This Row],[Start Date]]&gt;=$U$14,"New","")</f>
        <v/>
      </c>
      <c r="L185" s="15" t="str">
        <f>IF(AND(ClientDB[[#This Row],[Start Year]]&lt;2016,ClientDB[[#This Row],[Events]]&gt;=6),"Gift","")</f>
        <v/>
      </c>
      <c r="M18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5" s="15">
        <v>2</v>
      </c>
      <c r="O185" s="32">
        <f>ClientDB[[#This Row],[Days]]*IF(ClientDB[[#This Row],[Days]]&gt;1,$V$8,$V$7)</f>
        <v>600</v>
      </c>
      <c r="P18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85" s="15" t="s">
        <v>901</v>
      </c>
      <c r="R185" s="15" t="str">
        <f>INDEX(seat_table,MATCH(ClientDB[[#This Row],[Country Code]],seat_country_code,0),MATCH(ClientDB[[#This Row],[Meal]],meal,0))</f>
        <v>G</v>
      </c>
    </row>
    <row r="186" spans="1:18" x14ac:dyDescent="0.25">
      <c r="A186" s="10">
        <v>25632</v>
      </c>
      <c r="B186" t="s">
        <v>568</v>
      </c>
      <c r="C186" t="s">
        <v>569</v>
      </c>
      <c r="D186" s="18">
        <v>43628</v>
      </c>
      <c r="E186" s="10">
        <f>YEAR(ClientDB[[#This Row],[Start Date]])</f>
        <v>2019</v>
      </c>
      <c r="F186" t="s">
        <v>811</v>
      </c>
      <c r="G186" t="str">
        <f>VLOOKUP(ClientDB[[#This Row],[Org Code]],organization_table[],2)</f>
        <v>Ebony Telecoms</v>
      </c>
      <c r="H186" s="10" t="s">
        <v>15</v>
      </c>
      <c r="I186" s="10" t="str">
        <f>INDEX(Country,MATCH(ClientDB[[#This Row],[Country Code]],Country_Codes,0),1)</f>
        <v>United Kingdom</v>
      </c>
      <c r="J186" s="15">
        <v>3</v>
      </c>
      <c r="K186" s="15" t="str">
        <f>IF(ClientDB[[#This Row],[Start Date]]&gt;=$U$14,"New","")</f>
        <v/>
      </c>
      <c r="L186" s="15" t="str">
        <f>IF(AND(ClientDB[[#This Row],[Start Year]]&lt;2016,ClientDB[[#This Row],[Events]]&gt;=6),"Gift","")</f>
        <v/>
      </c>
      <c r="M18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6" s="15">
        <v>2</v>
      </c>
      <c r="O186" s="32">
        <f>ClientDB[[#This Row],[Days]]*IF(ClientDB[[#This Row],[Days]]&gt;1,$V$8,$V$7)</f>
        <v>600</v>
      </c>
      <c r="P18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86" s="15" t="s">
        <v>902</v>
      </c>
      <c r="R186" s="15" t="str">
        <f>INDEX(seat_table,MATCH(ClientDB[[#This Row],[Country Code]],seat_country_code,0),MATCH(ClientDB[[#This Row],[Meal]],meal,0))</f>
        <v>B</v>
      </c>
    </row>
    <row r="187" spans="1:18" x14ac:dyDescent="0.25">
      <c r="A187" s="10">
        <v>25709</v>
      </c>
      <c r="B187" t="s">
        <v>283</v>
      </c>
      <c r="C187" t="s">
        <v>284</v>
      </c>
      <c r="D187" s="18">
        <v>42860</v>
      </c>
      <c r="E187" s="10">
        <f>YEAR(ClientDB[[#This Row],[Start Date]])</f>
        <v>2017</v>
      </c>
      <c r="F187" t="s">
        <v>827</v>
      </c>
      <c r="G187" t="str">
        <f>VLOOKUP(ClientDB[[#This Row],[Org Code]],organization_table[],2)</f>
        <v>Ripple Com</v>
      </c>
      <c r="H187" s="10" t="s">
        <v>15</v>
      </c>
      <c r="I187" s="10" t="str">
        <f>INDEX(Country,MATCH(ClientDB[[#This Row],[Country Code]],Country_Codes,0),1)</f>
        <v>United Kingdom</v>
      </c>
      <c r="J187" s="15">
        <v>7</v>
      </c>
      <c r="K187" s="15" t="str">
        <f>IF(ClientDB[[#This Row],[Start Date]]&gt;=$U$14,"New","")</f>
        <v/>
      </c>
      <c r="L187" s="15" t="str">
        <f>IF(AND(ClientDB[[#This Row],[Start Year]]&lt;2016,ClientDB[[#This Row],[Events]]&gt;=6),"Gift","")</f>
        <v/>
      </c>
      <c r="M18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7" s="15">
        <v>1</v>
      </c>
      <c r="O187" s="32">
        <f>ClientDB[[#This Row],[Days]]*IF(ClientDB[[#This Row],[Days]]&gt;1,$V$8,$V$7)</f>
        <v>350</v>
      </c>
      <c r="P18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87" s="15" t="s">
        <v>901</v>
      </c>
      <c r="R187" s="15" t="str">
        <f>INDEX(seat_table,MATCH(ClientDB[[#This Row],[Country Code]],seat_country_code,0),MATCH(ClientDB[[#This Row],[Meal]],meal,0))</f>
        <v>E</v>
      </c>
    </row>
    <row r="188" spans="1:18" x14ac:dyDescent="0.25">
      <c r="A188" s="10">
        <v>25731</v>
      </c>
      <c r="B188" t="s">
        <v>27</v>
      </c>
      <c r="C188" t="s">
        <v>28</v>
      </c>
      <c r="D188" s="18">
        <v>42634</v>
      </c>
      <c r="E188" s="10">
        <f>YEAR(ClientDB[[#This Row],[Start Date]])</f>
        <v>2016</v>
      </c>
      <c r="F188" t="s">
        <v>807</v>
      </c>
      <c r="G188" t="str">
        <f>VLOOKUP(ClientDB[[#This Row],[Org Code]],organization_table[],2)</f>
        <v>Duet</v>
      </c>
      <c r="H188" s="10" t="s">
        <v>30</v>
      </c>
      <c r="I188" s="10" t="str">
        <f>INDEX(Country,MATCH(ClientDB[[#This Row],[Country Code]],Country_Codes,0),1)</f>
        <v>Bahrain</v>
      </c>
      <c r="J188" s="15">
        <v>6</v>
      </c>
      <c r="K188" s="15" t="str">
        <f>IF(ClientDB[[#This Row],[Start Date]]&gt;=$U$14,"New","")</f>
        <v/>
      </c>
      <c r="L188" s="15" t="str">
        <f>IF(AND(ClientDB[[#This Row],[Start Year]]&lt;2016,ClientDB[[#This Row],[Events]]&gt;=6),"Gift","")</f>
        <v/>
      </c>
      <c r="M18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88" s="15">
        <v>2</v>
      </c>
      <c r="O188" s="32">
        <f>ClientDB[[#This Row],[Days]]*IF(ClientDB[[#This Row],[Days]]&gt;1,$V$8,$V$7)</f>
        <v>600</v>
      </c>
      <c r="P18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88" s="15" t="s">
        <v>901</v>
      </c>
      <c r="R188" s="15" t="str">
        <f>INDEX(seat_table,MATCH(ClientDB[[#This Row],[Country Code]],seat_country_code,0),MATCH(ClientDB[[#This Row],[Meal]],meal,0))</f>
        <v>D</v>
      </c>
    </row>
    <row r="189" spans="1:18" x14ac:dyDescent="0.25">
      <c r="A189" s="10">
        <v>25911</v>
      </c>
      <c r="B189" t="s">
        <v>554</v>
      </c>
      <c r="C189" t="s">
        <v>555</v>
      </c>
      <c r="D189" s="18">
        <v>43392</v>
      </c>
      <c r="E189" s="10">
        <f>YEAR(ClientDB[[#This Row],[Start Date]])</f>
        <v>2018</v>
      </c>
      <c r="F189" t="s">
        <v>822</v>
      </c>
      <c r="G189" t="str">
        <f>VLOOKUP(ClientDB[[#This Row],[Org Code]],organization_table[],2)</f>
        <v>PicSure</v>
      </c>
      <c r="H189" s="10" t="s">
        <v>15</v>
      </c>
      <c r="I189" s="10" t="str">
        <f>INDEX(Country,MATCH(ClientDB[[#This Row],[Country Code]],Country_Codes,0),1)</f>
        <v>United Kingdom</v>
      </c>
      <c r="J189" s="15">
        <v>10</v>
      </c>
      <c r="K189" s="15" t="str">
        <f>IF(ClientDB[[#This Row],[Start Date]]&gt;=$U$14,"New","")</f>
        <v/>
      </c>
      <c r="L189" s="15" t="str">
        <f>IF(AND(ClientDB[[#This Row],[Start Year]]&lt;2016,ClientDB[[#This Row],[Events]]&gt;=6),"Gift","")</f>
        <v/>
      </c>
      <c r="M18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89" s="15">
        <v>3</v>
      </c>
      <c r="O189" s="32">
        <f>ClientDB[[#This Row],[Days]]*IF(ClientDB[[#This Row],[Days]]&gt;1,$V$8,$V$7)</f>
        <v>900</v>
      </c>
      <c r="P18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189" s="15" t="s">
        <v>899</v>
      </c>
      <c r="R189" s="15" t="str">
        <f>INDEX(seat_table,MATCH(ClientDB[[#This Row],[Country Code]],seat_country_code,0),MATCH(ClientDB[[#This Row],[Meal]],meal,0))</f>
        <v>A</v>
      </c>
    </row>
    <row r="190" spans="1:18" x14ac:dyDescent="0.25">
      <c r="A190" s="10">
        <v>25957</v>
      </c>
      <c r="B190" t="s">
        <v>240</v>
      </c>
      <c r="C190" t="s">
        <v>241</v>
      </c>
      <c r="D190" s="18">
        <v>43711</v>
      </c>
      <c r="E190" s="10">
        <f>YEAR(ClientDB[[#This Row],[Start Date]])</f>
        <v>2019</v>
      </c>
      <c r="F190" t="s">
        <v>827</v>
      </c>
      <c r="G190" t="str">
        <f>VLOOKUP(ClientDB[[#This Row],[Org Code]],organization_table[],2)</f>
        <v>Ripple Com</v>
      </c>
      <c r="H190" s="10" t="s">
        <v>15</v>
      </c>
      <c r="I190" s="10" t="str">
        <f>INDEX(Country,MATCH(ClientDB[[#This Row],[Country Code]],Country_Codes,0),1)</f>
        <v>United Kingdom</v>
      </c>
      <c r="J190" s="15">
        <v>2</v>
      </c>
      <c r="K190" s="15" t="str">
        <f>IF(ClientDB[[#This Row],[Start Date]]&gt;=$U$14,"New","")</f>
        <v/>
      </c>
      <c r="L190" s="15" t="str">
        <f>IF(AND(ClientDB[[#This Row],[Start Year]]&lt;2016,ClientDB[[#This Row],[Events]]&gt;=6),"Gift","")</f>
        <v/>
      </c>
      <c r="M19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0" s="15">
        <v>3</v>
      </c>
      <c r="O190" s="32">
        <f>ClientDB[[#This Row],[Days]]*IF(ClientDB[[#This Row],[Days]]&gt;1,$V$8,$V$7)</f>
        <v>900</v>
      </c>
      <c r="P19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90" s="15" t="s">
        <v>900</v>
      </c>
      <c r="R190" s="15" t="str">
        <f>INDEX(seat_table,MATCH(ClientDB[[#This Row],[Country Code]],seat_country_code,0),MATCH(ClientDB[[#This Row],[Meal]],meal,0))</f>
        <v>A</v>
      </c>
    </row>
    <row r="191" spans="1:18" x14ac:dyDescent="0.25">
      <c r="A191" s="10">
        <v>26058</v>
      </c>
      <c r="B191" t="s">
        <v>507</v>
      </c>
      <c r="C191" t="s">
        <v>190</v>
      </c>
      <c r="D191" s="18">
        <v>42322</v>
      </c>
      <c r="E191" s="10">
        <f>YEAR(ClientDB[[#This Row],[Start Date]])</f>
        <v>2015</v>
      </c>
      <c r="F191" t="s">
        <v>835</v>
      </c>
      <c r="G191" t="str">
        <f>VLOOKUP(ClientDB[[#This Row],[Org Code]],organization_table[],2)</f>
        <v>WWT</v>
      </c>
      <c r="H191" s="10" t="s">
        <v>155</v>
      </c>
      <c r="I191" s="10" t="str">
        <f>INDEX(Country,MATCH(ClientDB[[#This Row],[Country Code]],Country_Codes,0),1)</f>
        <v>United Arab Emirates</v>
      </c>
      <c r="J191" s="15">
        <v>3</v>
      </c>
      <c r="K191" s="15" t="str">
        <f>IF(ClientDB[[#This Row],[Start Date]]&gt;=$U$14,"New","")</f>
        <v/>
      </c>
      <c r="L191" s="15" t="str">
        <f>IF(AND(ClientDB[[#This Row],[Start Year]]&lt;2016,ClientDB[[#This Row],[Events]]&gt;=6),"Gift","")</f>
        <v/>
      </c>
      <c r="M19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1" s="15">
        <v>3</v>
      </c>
      <c r="O191" s="32">
        <f>ClientDB[[#This Row],[Days]]*IF(ClientDB[[#This Row],[Days]]&gt;1,$V$8,$V$7)</f>
        <v>900</v>
      </c>
      <c r="P19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191" s="15" t="s">
        <v>899</v>
      </c>
      <c r="R191" s="15" t="str">
        <f>INDEX(seat_table,MATCH(ClientDB[[#This Row],[Country Code]],seat_country_code,0),MATCH(ClientDB[[#This Row],[Meal]],meal,0))</f>
        <v>A</v>
      </c>
    </row>
    <row r="192" spans="1:18" x14ac:dyDescent="0.25">
      <c r="A192" s="10">
        <v>26180</v>
      </c>
      <c r="B192" t="s">
        <v>579</v>
      </c>
      <c r="C192" t="s">
        <v>580</v>
      </c>
      <c r="D192" s="18">
        <v>42577</v>
      </c>
      <c r="E192" s="10">
        <f>YEAR(ClientDB[[#This Row],[Start Date]])</f>
        <v>2016</v>
      </c>
      <c r="F192" t="s">
        <v>800</v>
      </c>
      <c r="G192" t="str">
        <f>VLOOKUP(ClientDB[[#This Row],[Org Code]],organization_table[],2)</f>
        <v>Colot</v>
      </c>
      <c r="H192" s="10" t="s">
        <v>15</v>
      </c>
      <c r="I192" s="10" t="str">
        <f>INDEX(Country,MATCH(ClientDB[[#This Row],[Country Code]],Country_Codes,0),1)</f>
        <v>United Kingdom</v>
      </c>
      <c r="J192" s="15">
        <v>5</v>
      </c>
      <c r="K192" s="15" t="str">
        <f>IF(ClientDB[[#This Row],[Start Date]]&gt;=$U$14,"New","")</f>
        <v/>
      </c>
      <c r="L192" s="15" t="str">
        <f>IF(AND(ClientDB[[#This Row],[Start Year]]&lt;2016,ClientDB[[#This Row],[Events]]&gt;=6),"Gift","")</f>
        <v/>
      </c>
      <c r="M19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2" s="15">
        <v>2</v>
      </c>
      <c r="O192" s="32">
        <f>ClientDB[[#This Row],[Days]]*IF(ClientDB[[#This Row],[Days]]&gt;1,$V$8,$V$7)</f>
        <v>600</v>
      </c>
      <c r="P19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92" s="15" t="s">
        <v>901</v>
      </c>
      <c r="R192" s="15" t="str">
        <f>INDEX(seat_table,MATCH(ClientDB[[#This Row],[Country Code]],seat_country_code,0),MATCH(ClientDB[[#This Row],[Meal]],meal,0))</f>
        <v>E</v>
      </c>
    </row>
    <row r="193" spans="1:18" x14ac:dyDescent="0.25">
      <c r="A193" s="10">
        <v>26212</v>
      </c>
      <c r="B193" t="s">
        <v>464</v>
      </c>
      <c r="C193" t="s">
        <v>465</v>
      </c>
      <c r="D193" s="18">
        <v>43661</v>
      </c>
      <c r="E193" s="10">
        <f>YEAR(ClientDB[[#This Row],[Start Date]])</f>
        <v>2019</v>
      </c>
      <c r="F193" t="s">
        <v>832</v>
      </c>
      <c r="G193" t="str">
        <f>VLOOKUP(ClientDB[[#This Row],[Org Code]],organization_table[],2)</f>
        <v>TQ Processes</v>
      </c>
      <c r="H193" s="10" t="s">
        <v>97</v>
      </c>
      <c r="I193" s="10" t="str">
        <f>INDEX(Country,MATCH(ClientDB[[#This Row],[Country Code]],Country_Codes,0),1)</f>
        <v>Ireland</v>
      </c>
      <c r="J193" s="15">
        <v>2</v>
      </c>
      <c r="K193" s="15" t="str">
        <f>IF(ClientDB[[#This Row],[Start Date]]&gt;=$U$14,"New","")</f>
        <v/>
      </c>
      <c r="L193" s="15" t="str">
        <f>IF(AND(ClientDB[[#This Row],[Start Year]]&lt;2016,ClientDB[[#This Row],[Events]]&gt;=6),"Gift","")</f>
        <v/>
      </c>
      <c r="M19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3" s="15">
        <v>2</v>
      </c>
      <c r="O193" s="32">
        <f>ClientDB[[#This Row],[Days]]*IF(ClientDB[[#This Row],[Days]]&gt;1,$V$8,$V$7)</f>
        <v>600</v>
      </c>
      <c r="P19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193" s="15" t="s">
        <v>902</v>
      </c>
      <c r="R193" s="15" t="str">
        <f>INDEX(seat_table,MATCH(ClientDB[[#This Row],[Country Code]],seat_country_code,0),MATCH(ClientDB[[#This Row],[Meal]],meal,0))</f>
        <v>C</v>
      </c>
    </row>
    <row r="194" spans="1:18" x14ac:dyDescent="0.25">
      <c r="A194" s="10">
        <v>26256</v>
      </c>
      <c r="B194" t="s">
        <v>244</v>
      </c>
      <c r="C194" t="s">
        <v>405</v>
      </c>
      <c r="D194" s="18">
        <v>42100</v>
      </c>
      <c r="E194" s="10">
        <f>YEAR(ClientDB[[#This Row],[Start Date]])</f>
        <v>2015</v>
      </c>
      <c r="F194" t="s">
        <v>824</v>
      </c>
      <c r="G194" t="str">
        <f>VLOOKUP(ClientDB[[#This Row],[Org Code]],organization_table[],2)</f>
        <v>Pink Cloud Networks</v>
      </c>
      <c r="H194" s="10" t="s">
        <v>63</v>
      </c>
      <c r="I194" s="10" t="str">
        <f>INDEX(Country,MATCH(ClientDB[[#This Row],[Country Code]],Country_Codes,0),1)</f>
        <v>Armenia</v>
      </c>
      <c r="J194" s="15">
        <v>11</v>
      </c>
      <c r="K194" s="15" t="str">
        <f>IF(ClientDB[[#This Row],[Start Date]]&gt;=$U$14,"New","")</f>
        <v/>
      </c>
      <c r="L194" s="15" t="str">
        <f>IF(AND(ClientDB[[#This Row],[Start Year]]&lt;2016,ClientDB[[#This Row],[Events]]&gt;=6),"Gift","")</f>
        <v>Gift</v>
      </c>
      <c r="M19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194" s="15">
        <v>2</v>
      </c>
      <c r="O194" s="32">
        <f>ClientDB[[#This Row],[Days]]*IF(ClientDB[[#This Row],[Days]]&gt;1,$V$8,$V$7)</f>
        <v>600</v>
      </c>
      <c r="P19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194" s="15" t="s">
        <v>901</v>
      </c>
      <c r="R194" s="15" t="str">
        <f>INDEX(seat_table,MATCH(ClientDB[[#This Row],[Country Code]],seat_country_code,0),MATCH(ClientDB[[#This Row],[Meal]],meal,0))</f>
        <v>D</v>
      </c>
    </row>
    <row r="195" spans="1:18" x14ac:dyDescent="0.25">
      <c r="A195" s="10">
        <v>26273</v>
      </c>
      <c r="B195" t="s">
        <v>147</v>
      </c>
      <c r="C195" t="s">
        <v>674</v>
      </c>
      <c r="D195" s="18">
        <v>42500</v>
      </c>
      <c r="E195" s="10">
        <f>YEAR(ClientDB[[#This Row],[Start Date]])</f>
        <v>2016</v>
      </c>
      <c r="F195" t="s">
        <v>827</v>
      </c>
      <c r="G195" t="str">
        <f>VLOOKUP(ClientDB[[#This Row],[Org Code]],organization_table[],2)</f>
        <v>Ripple Com</v>
      </c>
      <c r="H195" s="10" t="s">
        <v>15</v>
      </c>
      <c r="I195" s="10" t="str">
        <f>INDEX(Country,MATCH(ClientDB[[#This Row],[Country Code]],Country_Codes,0),1)</f>
        <v>United Kingdom</v>
      </c>
      <c r="J195" s="15">
        <v>1</v>
      </c>
      <c r="K195" s="15" t="str">
        <f>IF(ClientDB[[#This Row],[Start Date]]&gt;=$U$14,"New","")</f>
        <v/>
      </c>
      <c r="L195" s="15" t="str">
        <f>IF(AND(ClientDB[[#This Row],[Start Year]]&lt;2016,ClientDB[[#This Row],[Events]]&gt;=6),"Gift","")</f>
        <v/>
      </c>
      <c r="M19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5" s="15">
        <v>1</v>
      </c>
      <c r="O195" s="32">
        <f>ClientDB[[#This Row],[Days]]*IF(ClientDB[[#This Row],[Days]]&gt;1,$V$8,$V$7)</f>
        <v>350</v>
      </c>
      <c r="P19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95" s="15" t="s">
        <v>900</v>
      </c>
      <c r="R195" s="15" t="str">
        <f>INDEX(seat_table,MATCH(ClientDB[[#This Row],[Country Code]],seat_country_code,0),MATCH(ClientDB[[#This Row],[Meal]],meal,0))</f>
        <v>A</v>
      </c>
    </row>
    <row r="196" spans="1:18" x14ac:dyDescent="0.25">
      <c r="A196" s="10">
        <v>26370</v>
      </c>
      <c r="B196" t="s">
        <v>489</v>
      </c>
      <c r="C196" t="s">
        <v>490</v>
      </c>
      <c r="D196" s="18">
        <v>43842</v>
      </c>
      <c r="E196" s="10">
        <f>YEAR(ClientDB[[#This Row],[Start Date]])</f>
        <v>2020</v>
      </c>
      <c r="F196" t="s">
        <v>805</v>
      </c>
      <c r="G196" t="str">
        <f>VLOOKUP(ClientDB[[#This Row],[Org Code]],organization_table[],2)</f>
        <v>DENIL</v>
      </c>
      <c r="H196" s="10" t="s">
        <v>124</v>
      </c>
      <c r="I196" s="10" t="str">
        <f>INDEX(Country,MATCH(ClientDB[[#This Row],[Country Code]],Country_Codes,0),1)</f>
        <v>Lebanon</v>
      </c>
      <c r="J196" s="15">
        <v>1</v>
      </c>
      <c r="K196" s="15" t="str">
        <f>IF(ClientDB[[#This Row],[Start Date]]&gt;=$U$14,"New","")</f>
        <v>New</v>
      </c>
      <c r="L196" s="15" t="str">
        <f>IF(AND(ClientDB[[#This Row],[Start Year]]&lt;2016,ClientDB[[#This Row],[Events]]&gt;=6),"Gift","")</f>
        <v/>
      </c>
      <c r="M19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6" s="15">
        <v>1</v>
      </c>
      <c r="O196" s="32">
        <f>ClientDB[[#This Row],[Days]]*IF(ClientDB[[#This Row],[Days]]&gt;1,$V$8,$V$7)</f>
        <v>350</v>
      </c>
      <c r="P19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196" s="15" t="s">
        <v>901</v>
      </c>
      <c r="R196" s="15" t="str">
        <f>INDEX(seat_table,MATCH(ClientDB[[#This Row],[Country Code]],seat_country_code,0),MATCH(ClientDB[[#This Row],[Meal]],meal,0))</f>
        <v>F</v>
      </c>
    </row>
    <row r="197" spans="1:18" x14ac:dyDescent="0.25">
      <c r="A197" s="10">
        <v>26383</v>
      </c>
      <c r="B197" t="s">
        <v>468</v>
      </c>
      <c r="C197" t="s">
        <v>624</v>
      </c>
      <c r="D197" s="18">
        <v>42976</v>
      </c>
      <c r="E197" s="10">
        <f>YEAR(ClientDB[[#This Row],[Start Date]])</f>
        <v>2017</v>
      </c>
      <c r="F197" t="s">
        <v>832</v>
      </c>
      <c r="G197" t="str">
        <f>VLOOKUP(ClientDB[[#This Row],[Org Code]],organization_table[],2)</f>
        <v>TQ Processes</v>
      </c>
      <c r="H197" s="10" t="s">
        <v>59</v>
      </c>
      <c r="I197" s="10" t="str">
        <f>INDEX(Country,MATCH(ClientDB[[#This Row],[Country Code]],Country_Codes,0),1)</f>
        <v>Netherlands</v>
      </c>
      <c r="J197" s="15">
        <v>9</v>
      </c>
      <c r="K197" s="15" t="str">
        <f>IF(ClientDB[[#This Row],[Start Date]]&gt;=$U$14,"New","")</f>
        <v/>
      </c>
      <c r="L197" s="15" t="str">
        <f>IF(AND(ClientDB[[#This Row],[Start Year]]&lt;2016,ClientDB[[#This Row],[Events]]&gt;=6),"Gift","")</f>
        <v/>
      </c>
      <c r="M19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7" s="15">
        <v>2</v>
      </c>
      <c r="O197" s="32">
        <f>ClientDB[[#This Row],[Days]]*IF(ClientDB[[#This Row],[Days]]&gt;1,$V$8,$V$7)</f>
        <v>600</v>
      </c>
      <c r="P19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97" s="15" t="s">
        <v>900</v>
      </c>
      <c r="R197" s="15" t="str">
        <f>INDEX(seat_table,MATCH(ClientDB[[#This Row],[Country Code]],seat_country_code,0),MATCH(ClientDB[[#This Row],[Meal]],meal,0))</f>
        <v>C</v>
      </c>
    </row>
    <row r="198" spans="1:18" x14ac:dyDescent="0.25">
      <c r="A198" s="10">
        <v>26457</v>
      </c>
      <c r="B198" t="s">
        <v>727</v>
      </c>
      <c r="C198" t="s">
        <v>728</v>
      </c>
      <c r="D198" s="18">
        <v>42736</v>
      </c>
      <c r="E198" s="10">
        <f>YEAR(ClientDB[[#This Row],[Start Date]])</f>
        <v>2017</v>
      </c>
      <c r="F198" t="s">
        <v>827</v>
      </c>
      <c r="G198" t="str">
        <f>VLOOKUP(ClientDB[[#This Row],[Org Code]],organization_table[],2)</f>
        <v>Ripple Com</v>
      </c>
      <c r="H198" s="10" t="s">
        <v>15</v>
      </c>
      <c r="I198" s="10" t="str">
        <f>INDEX(Country,MATCH(ClientDB[[#This Row],[Country Code]],Country_Codes,0),1)</f>
        <v>United Kingdom</v>
      </c>
      <c r="J198" s="15">
        <v>6</v>
      </c>
      <c r="K198" s="15" t="str">
        <f>IF(ClientDB[[#This Row],[Start Date]]&gt;=$U$14,"New","")</f>
        <v/>
      </c>
      <c r="L198" s="15" t="str">
        <f>IF(AND(ClientDB[[#This Row],[Start Year]]&lt;2016,ClientDB[[#This Row],[Events]]&gt;=6),"Gift","")</f>
        <v/>
      </c>
      <c r="M19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8" s="15">
        <v>1</v>
      </c>
      <c r="O198" s="32">
        <f>ClientDB[[#This Row],[Days]]*IF(ClientDB[[#This Row],[Days]]&gt;1,$V$8,$V$7)</f>
        <v>350</v>
      </c>
      <c r="P19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198" s="15" t="s">
        <v>899</v>
      </c>
      <c r="R198" s="15" t="str">
        <f>INDEX(seat_table,MATCH(ClientDB[[#This Row],[Country Code]],seat_country_code,0),MATCH(ClientDB[[#This Row],[Meal]],meal,0))</f>
        <v>A</v>
      </c>
    </row>
    <row r="199" spans="1:18" x14ac:dyDescent="0.25">
      <c r="A199" s="10">
        <v>26525</v>
      </c>
      <c r="B199" t="s">
        <v>118</v>
      </c>
      <c r="C199" t="s">
        <v>119</v>
      </c>
      <c r="D199" s="18">
        <v>42955</v>
      </c>
      <c r="E199" s="10">
        <f>YEAR(ClientDB[[#This Row],[Start Date]])</f>
        <v>2017</v>
      </c>
      <c r="F199" t="s">
        <v>808</v>
      </c>
      <c r="G199" t="str">
        <f>VLOOKUP(ClientDB[[#This Row],[Org Code]],organization_table[],2)</f>
        <v>Ebony Telecoms</v>
      </c>
      <c r="H199" s="10" t="s">
        <v>121</v>
      </c>
      <c r="I199" s="10" t="str">
        <f>INDEX(Country,MATCH(ClientDB[[#This Row],[Country Code]],Country_Codes,0),1)</f>
        <v>Portugal</v>
      </c>
      <c r="J199" s="15">
        <v>5</v>
      </c>
      <c r="K199" s="15" t="str">
        <f>IF(ClientDB[[#This Row],[Start Date]]&gt;=$U$14,"New","")</f>
        <v/>
      </c>
      <c r="L199" s="15" t="str">
        <f>IF(AND(ClientDB[[#This Row],[Start Year]]&lt;2016,ClientDB[[#This Row],[Events]]&gt;=6),"Gift","")</f>
        <v/>
      </c>
      <c r="M19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199" s="15">
        <v>2</v>
      </c>
      <c r="O199" s="32">
        <f>ClientDB[[#This Row],[Days]]*IF(ClientDB[[#This Row],[Days]]&gt;1,$V$8,$V$7)</f>
        <v>600</v>
      </c>
      <c r="P19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199" s="15" t="s">
        <v>900</v>
      </c>
      <c r="R199" s="15" t="str">
        <f>INDEX(seat_table,MATCH(ClientDB[[#This Row],[Country Code]],seat_country_code,0),MATCH(ClientDB[[#This Row],[Meal]],meal,0))</f>
        <v>C</v>
      </c>
    </row>
    <row r="200" spans="1:18" x14ac:dyDescent="0.25">
      <c r="A200" s="10">
        <v>26529</v>
      </c>
      <c r="B200" t="s">
        <v>631</v>
      </c>
      <c r="C200" t="s">
        <v>632</v>
      </c>
      <c r="D200" s="18">
        <v>42671</v>
      </c>
      <c r="E200" s="10">
        <f>YEAR(ClientDB[[#This Row],[Start Date]])</f>
        <v>2016</v>
      </c>
      <c r="F200" t="s">
        <v>812</v>
      </c>
      <c r="G200" t="str">
        <f>VLOOKUP(ClientDB[[#This Row],[Org Code]],organization_table[],2)</f>
        <v>Fzig Fibre</v>
      </c>
      <c r="H200" s="10" t="s">
        <v>175</v>
      </c>
      <c r="I200" s="10" t="str">
        <f>INDEX(Country,MATCH(ClientDB[[#This Row],[Country Code]],Country_Codes,0),1)</f>
        <v>Australia</v>
      </c>
      <c r="J200" s="15">
        <v>11</v>
      </c>
      <c r="K200" s="15" t="str">
        <f>IF(ClientDB[[#This Row],[Start Date]]&gt;=$U$14,"New","")</f>
        <v/>
      </c>
      <c r="L200" s="15" t="str">
        <f>IF(AND(ClientDB[[#This Row],[Start Year]]&lt;2016,ClientDB[[#This Row],[Events]]&gt;=6),"Gift","")</f>
        <v/>
      </c>
      <c r="M20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00" s="15">
        <v>2</v>
      </c>
      <c r="O200" s="32">
        <f>ClientDB[[#This Row],[Days]]*IF(ClientDB[[#This Row],[Days]]&gt;1,$V$8,$V$7)</f>
        <v>600</v>
      </c>
      <c r="P20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200" s="15" t="s">
        <v>900</v>
      </c>
      <c r="R200" s="15" t="str">
        <f>INDEX(seat_table,MATCH(ClientDB[[#This Row],[Country Code]],seat_country_code,0),MATCH(ClientDB[[#This Row],[Meal]],meal,0))</f>
        <v>A</v>
      </c>
    </row>
    <row r="201" spans="1:18" x14ac:dyDescent="0.25">
      <c r="A201" s="10">
        <v>26537</v>
      </c>
      <c r="B201" t="s">
        <v>346</v>
      </c>
      <c r="C201" t="s">
        <v>347</v>
      </c>
      <c r="D201" s="18">
        <v>43449</v>
      </c>
      <c r="E201" s="10">
        <f>YEAR(ClientDB[[#This Row],[Start Date]])</f>
        <v>2018</v>
      </c>
      <c r="F201" t="s">
        <v>801</v>
      </c>
      <c r="G201" t="str">
        <f>VLOOKUP(ClientDB[[#This Row],[Org Code]],organization_table[],2)</f>
        <v>Colot</v>
      </c>
      <c r="H201" s="10" t="s">
        <v>59</v>
      </c>
      <c r="I201" s="10" t="str">
        <f>INDEX(Country,MATCH(ClientDB[[#This Row],[Country Code]],Country_Codes,0),1)</f>
        <v>Netherlands</v>
      </c>
      <c r="J201" s="15">
        <v>8</v>
      </c>
      <c r="K201" s="15" t="str">
        <f>IF(ClientDB[[#This Row],[Start Date]]&gt;=$U$14,"New","")</f>
        <v/>
      </c>
      <c r="L201" s="15" t="str">
        <f>IF(AND(ClientDB[[#This Row],[Start Year]]&lt;2016,ClientDB[[#This Row],[Events]]&gt;=6),"Gift","")</f>
        <v/>
      </c>
      <c r="M20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01" s="15">
        <v>2</v>
      </c>
      <c r="O201" s="32">
        <f>ClientDB[[#This Row],[Days]]*IF(ClientDB[[#This Row],[Days]]&gt;1,$V$8,$V$7)</f>
        <v>600</v>
      </c>
      <c r="P20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01" s="15" t="s">
        <v>899</v>
      </c>
      <c r="R201" s="15" t="str">
        <f>INDEX(seat_table,MATCH(ClientDB[[#This Row],[Country Code]],seat_country_code,0),MATCH(ClientDB[[#This Row],[Meal]],meal,0))</f>
        <v>B</v>
      </c>
    </row>
    <row r="202" spans="1:18" x14ac:dyDescent="0.25">
      <c r="A202" s="10">
        <v>26762</v>
      </c>
      <c r="B202" t="s">
        <v>223</v>
      </c>
      <c r="C202" t="s">
        <v>224</v>
      </c>
      <c r="D202" s="18">
        <v>42496</v>
      </c>
      <c r="E202" s="10">
        <f>YEAR(ClientDB[[#This Row],[Start Date]])</f>
        <v>2016</v>
      </c>
      <c r="F202" t="s">
        <v>839</v>
      </c>
      <c r="G202" t="str">
        <f>VLOOKUP(ClientDB[[#This Row],[Org Code]],organization_table[],2)</f>
        <v>Zconnect, Inc</v>
      </c>
      <c r="H202" s="10" t="s">
        <v>54</v>
      </c>
      <c r="I202" s="10" t="str">
        <f>INDEX(Country,MATCH(ClientDB[[#This Row],[Country Code]],Country_Codes,0),1)</f>
        <v>Romania</v>
      </c>
      <c r="J202" s="15">
        <v>2</v>
      </c>
      <c r="K202" s="15" t="str">
        <f>IF(ClientDB[[#This Row],[Start Date]]&gt;=$U$14,"New","")</f>
        <v/>
      </c>
      <c r="L202" s="15" t="str">
        <f>IF(AND(ClientDB[[#This Row],[Start Year]]&lt;2016,ClientDB[[#This Row],[Events]]&gt;=6),"Gift","")</f>
        <v/>
      </c>
      <c r="M20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02" s="15">
        <v>3</v>
      </c>
      <c r="O202" s="32">
        <f>ClientDB[[#This Row],[Days]]*IF(ClientDB[[#This Row],[Days]]&gt;1,$V$8,$V$7)</f>
        <v>900</v>
      </c>
      <c r="P20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02" s="15" t="s">
        <v>901</v>
      </c>
      <c r="R202" s="15" t="str">
        <f>INDEX(seat_table,MATCH(ClientDB[[#This Row],[Country Code]],seat_country_code,0),MATCH(ClientDB[[#This Row],[Meal]],meal,0))</f>
        <v>G</v>
      </c>
    </row>
    <row r="203" spans="1:18" x14ac:dyDescent="0.25">
      <c r="A203" s="10">
        <v>26794</v>
      </c>
      <c r="B203" t="s">
        <v>359</v>
      </c>
      <c r="C203" t="s">
        <v>744</v>
      </c>
      <c r="D203" s="18">
        <v>42812</v>
      </c>
      <c r="E203" s="10">
        <f>YEAR(ClientDB[[#This Row],[Start Date]])</f>
        <v>2017</v>
      </c>
      <c r="F203" t="s">
        <v>815</v>
      </c>
      <c r="G203" t="str">
        <f>VLOOKUP(ClientDB[[#This Row],[Org Code]],organization_table[],2)</f>
        <v>Intelligence Systems</v>
      </c>
      <c r="H203" s="10" t="s">
        <v>34</v>
      </c>
      <c r="I203" s="10" t="str">
        <f>INDEX(Country,MATCH(ClientDB[[#This Row],[Country Code]],Country_Codes,0),1)</f>
        <v>United States</v>
      </c>
      <c r="J203" s="15">
        <v>7</v>
      </c>
      <c r="K203" s="15" t="str">
        <f>IF(ClientDB[[#This Row],[Start Date]]&gt;=$U$14,"New","")</f>
        <v/>
      </c>
      <c r="L203" s="15" t="str">
        <f>IF(AND(ClientDB[[#This Row],[Start Year]]&lt;2016,ClientDB[[#This Row],[Events]]&gt;=6),"Gift","")</f>
        <v/>
      </c>
      <c r="M20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03" s="15">
        <v>3</v>
      </c>
      <c r="O203" s="32">
        <f>ClientDB[[#This Row],[Days]]*IF(ClientDB[[#This Row],[Days]]&gt;1,$V$8,$V$7)</f>
        <v>900</v>
      </c>
      <c r="P20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03" s="15" t="s">
        <v>901</v>
      </c>
      <c r="R203" s="15" t="str">
        <f>INDEX(seat_table,MATCH(ClientDB[[#This Row],[Country Code]],seat_country_code,0),MATCH(ClientDB[[#This Row],[Meal]],meal,0))</f>
        <v>G</v>
      </c>
    </row>
    <row r="204" spans="1:18" x14ac:dyDescent="0.25">
      <c r="A204" s="10">
        <v>26873</v>
      </c>
      <c r="B204" t="s">
        <v>51</v>
      </c>
      <c r="C204" t="s">
        <v>52</v>
      </c>
      <c r="D204" s="18">
        <v>43946</v>
      </c>
      <c r="E204" s="10">
        <f>YEAR(ClientDB[[#This Row],[Start Date]])</f>
        <v>2020</v>
      </c>
      <c r="F204" t="s">
        <v>836</v>
      </c>
      <c r="G204" t="str">
        <f>VLOOKUP(ClientDB[[#This Row],[Org Code]],organization_table[],2)</f>
        <v>Wiz Labs</v>
      </c>
      <c r="H204" s="10" t="s">
        <v>54</v>
      </c>
      <c r="I204" s="10" t="str">
        <f>INDEX(Country,MATCH(ClientDB[[#This Row],[Country Code]],Country_Codes,0),1)</f>
        <v>Romania</v>
      </c>
      <c r="J204" s="15">
        <v>10</v>
      </c>
      <c r="K204" s="15" t="str">
        <f>IF(ClientDB[[#This Row],[Start Date]]&gt;=$U$14,"New","")</f>
        <v>New</v>
      </c>
      <c r="L204" s="15" t="str">
        <f>IF(AND(ClientDB[[#This Row],[Start Year]]&lt;2016,ClientDB[[#This Row],[Events]]&gt;=6),"Gift","")</f>
        <v/>
      </c>
      <c r="M20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04" s="15">
        <v>1</v>
      </c>
      <c r="O204" s="32">
        <f>ClientDB[[#This Row],[Days]]*IF(ClientDB[[#This Row],[Days]]&gt;1,$V$8,$V$7)</f>
        <v>350</v>
      </c>
      <c r="P20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204" s="15" t="s">
        <v>902</v>
      </c>
      <c r="R204" s="15" t="str">
        <f>INDEX(seat_table,MATCH(ClientDB[[#This Row],[Country Code]],seat_country_code,0),MATCH(ClientDB[[#This Row],[Meal]],meal,0))</f>
        <v>C</v>
      </c>
    </row>
    <row r="205" spans="1:18" x14ac:dyDescent="0.25">
      <c r="A205" s="10">
        <v>26887</v>
      </c>
      <c r="B205" t="s">
        <v>147</v>
      </c>
      <c r="C205" t="s">
        <v>314</v>
      </c>
      <c r="D205" s="18">
        <v>42909</v>
      </c>
      <c r="E205" s="10">
        <f>YEAR(ClientDB[[#This Row],[Start Date]])</f>
        <v>2017</v>
      </c>
      <c r="F205" t="s">
        <v>827</v>
      </c>
      <c r="G205" t="str">
        <f>VLOOKUP(ClientDB[[#This Row],[Org Code]],organization_table[],2)</f>
        <v>Ripple Com</v>
      </c>
      <c r="H205" s="10" t="s">
        <v>15</v>
      </c>
      <c r="I205" s="10" t="str">
        <f>INDEX(Country,MATCH(ClientDB[[#This Row],[Country Code]],Country_Codes,0),1)</f>
        <v>United Kingdom</v>
      </c>
      <c r="J205" s="15">
        <v>12</v>
      </c>
      <c r="K205" s="15" t="str">
        <f>IF(ClientDB[[#This Row],[Start Date]]&gt;=$U$14,"New","")</f>
        <v/>
      </c>
      <c r="L205" s="15" t="str">
        <f>IF(AND(ClientDB[[#This Row],[Start Year]]&lt;2016,ClientDB[[#This Row],[Events]]&gt;=6),"Gift","")</f>
        <v/>
      </c>
      <c r="M20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05" s="15">
        <v>2</v>
      </c>
      <c r="O205" s="32">
        <f>ClientDB[[#This Row],[Days]]*IF(ClientDB[[#This Row],[Days]]&gt;1,$V$8,$V$7)</f>
        <v>600</v>
      </c>
      <c r="P20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205" s="15" t="s">
        <v>901</v>
      </c>
      <c r="R205" s="15" t="str">
        <f>INDEX(seat_table,MATCH(ClientDB[[#This Row],[Country Code]],seat_country_code,0),MATCH(ClientDB[[#This Row],[Meal]],meal,0))</f>
        <v>E</v>
      </c>
    </row>
    <row r="206" spans="1:18" x14ac:dyDescent="0.25">
      <c r="A206" s="10">
        <v>26888</v>
      </c>
      <c r="B206" t="s">
        <v>47</v>
      </c>
      <c r="C206" t="s">
        <v>48</v>
      </c>
      <c r="D206" s="18">
        <v>42143</v>
      </c>
      <c r="E206" s="10">
        <f>YEAR(ClientDB[[#This Row],[Start Date]])</f>
        <v>2015</v>
      </c>
      <c r="F206" t="s">
        <v>840</v>
      </c>
      <c r="G206" t="str">
        <f>VLOOKUP(ClientDB[[#This Row],[Org Code]],organization_table[],2)</f>
        <v>xLAN Internet Exchange</v>
      </c>
      <c r="H206" s="10" t="s">
        <v>50</v>
      </c>
      <c r="I206" s="10" t="str">
        <f>INDEX(Country,MATCH(ClientDB[[#This Row],[Country Code]],Country_Codes,0),1)</f>
        <v>Finland</v>
      </c>
      <c r="J206" s="15">
        <v>1</v>
      </c>
      <c r="K206" s="15" t="str">
        <f>IF(ClientDB[[#This Row],[Start Date]]&gt;=$U$14,"New","")</f>
        <v/>
      </c>
      <c r="L206" s="15" t="str">
        <f>IF(AND(ClientDB[[#This Row],[Start Year]]&lt;2016,ClientDB[[#This Row],[Events]]&gt;=6),"Gift","")</f>
        <v/>
      </c>
      <c r="M20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06" s="15">
        <v>1</v>
      </c>
      <c r="O206" s="32">
        <f>ClientDB[[#This Row],[Days]]*IF(ClientDB[[#This Row],[Days]]&gt;1,$V$8,$V$7)</f>
        <v>350</v>
      </c>
      <c r="P20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06" s="15" t="s">
        <v>901</v>
      </c>
      <c r="R206" s="15" t="str">
        <f>INDEX(seat_table,MATCH(ClientDB[[#This Row],[Country Code]],seat_country_code,0),MATCH(ClientDB[[#This Row],[Meal]],meal,0))</f>
        <v>D</v>
      </c>
    </row>
    <row r="207" spans="1:18" x14ac:dyDescent="0.25">
      <c r="A207" s="10">
        <v>26949</v>
      </c>
      <c r="B207" t="s">
        <v>242</v>
      </c>
      <c r="C207" t="s">
        <v>729</v>
      </c>
      <c r="D207" s="18">
        <v>43741</v>
      </c>
      <c r="E207" s="10">
        <f>YEAR(ClientDB[[#This Row],[Start Date]])</f>
        <v>2019</v>
      </c>
      <c r="F207" t="s">
        <v>799</v>
      </c>
      <c r="G207" t="str">
        <f>VLOOKUP(ClientDB[[#This Row],[Org Code]],organization_table[],2)</f>
        <v>ByteSize</v>
      </c>
      <c r="H207" s="10" t="s">
        <v>26</v>
      </c>
      <c r="I207" s="10" t="str">
        <f>INDEX(Country,MATCH(ClientDB[[#This Row],[Country Code]],Country_Codes,0),1)</f>
        <v>Ukraine</v>
      </c>
      <c r="J207" s="15">
        <v>2</v>
      </c>
      <c r="K207" s="15" t="str">
        <f>IF(ClientDB[[#This Row],[Start Date]]&gt;=$U$14,"New","")</f>
        <v/>
      </c>
      <c r="L207" s="15" t="str">
        <f>IF(AND(ClientDB[[#This Row],[Start Year]]&lt;2016,ClientDB[[#This Row],[Events]]&gt;=6),"Gift","")</f>
        <v/>
      </c>
      <c r="M20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07" s="15">
        <v>3</v>
      </c>
      <c r="O207" s="32">
        <f>ClientDB[[#This Row],[Days]]*IF(ClientDB[[#This Row],[Days]]&gt;1,$V$8,$V$7)</f>
        <v>900</v>
      </c>
      <c r="P20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07" s="15" t="s">
        <v>901</v>
      </c>
      <c r="R207" s="15" t="str">
        <f>INDEX(seat_table,MATCH(ClientDB[[#This Row],[Country Code]],seat_country_code,0),MATCH(ClientDB[[#This Row],[Meal]],meal,0))</f>
        <v>G</v>
      </c>
    </row>
    <row r="208" spans="1:18" x14ac:dyDescent="0.25">
      <c r="A208" s="10">
        <v>27034</v>
      </c>
      <c r="B208" t="s">
        <v>422</v>
      </c>
      <c r="C208" t="s">
        <v>423</v>
      </c>
      <c r="D208" s="18">
        <v>42427</v>
      </c>
      <c r="E208" s="10">
        <f>YEAR(ClientDB[[#This Row],[Start Date]])</f>
        <v>2016</v>
      </c>
      <c r="F208" t="s">
        <v>827</v>
      </c>
      <c r="G208" t="str">
        <f>VLOOKUP(ClientDB[[#This Row],[Org Code]],organization_table[],2)</f>
        <v>Ripple Com</v>
      </c>
      <c r="H208" s="10" t="s">
        <v>15</v>
      </c>
      <c r="I208" s="10" t="str">
        <f>INDEX(Country,MATCH(ClientDB[[#This Row],[Country Code]],Country_Codes,0),1)</f>
        <v>United Kingdom</v>
      </c>
      <c r="J208" s="15">
        <v>8</v>
      </c>
      <c r="K208" s="15" t="str">
        <f>IF(ClientDB[[#This Row],[Start Date]]&gt;=$U$14,"New","")</f>
        <v/>
      </c>
      <c r="L208" s="15" t="str">
        <f>IF(AND(ClientDB[[#This Row],[Start Year]]&lt;2016,ClientDB[[#This Row],[Events]]&gt;=6),"Gift","")</f>
        <v/>
      </c>
      <c r="M20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08" s="15">
        <v>1</v>
      </c>
      <c r="O208" s="32">
        <f>ClientDB[[#This Row],[Days]]*IF(ClientDB[[#This Row],[Days]]&gt;1,$V$8,$V$7)</f>
        <v>350</v>
      </c>
      <c r="P20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08" s="15" t="s">
        <v>899</v>
      </c>
      <c r="R208" s="15" t="str">
        <f>INDEX(seat_table,MATCH(ClientDB[[#This Row],[Country Code]],seat_country_code,0),MATCH(ClientDB[[#This Row],[Meal]],meal,0))</f>
        <v>A</v>
      </c>
    </row>
    <row r="209" spans="1:18" x14ac:dyDescent="0.25">
      <c r="A209" s="10">
        <v>27232</v>
      </c>
      <c r="B209" t="s">
        <v>452</v>
      </c>
      <c r="C209" t="s">
        <v>453</v>
      </c>
      <c r="D209" s="18">
        <v>43721</v>
      </c>
      <c r="E209" s="10">
        <f>YEAR(ClientDB[[#This Row],[Start Date]])</f>
        <v>2019</v>
      </c>
      <c r="F209" t="s">
        <v>833</v>
      </c>
      <c r="G209" t="str">
        <f>VLOOKUP(ClientDB[[#This Row],[Org Code]],organization_table[],2)</f>
        <v>UON</v>
      </c>
      <c r="H209" s="10" t="s">
        <v>34</v>
      </c>
      <c r="I209" s="10" t="str">
        <f>INDEX(Country,MATCH(ClientDB[[#This Row],[Country Code]],Country_Codes,0),1)</f>
        <v>United States</v>
      </c>
      <c r="J209" s="15">
        <v>1</v>
      </c>
      <c r="K209" s="15" t="str">
        <f>IF(ClientDB[[#This Row],[Start Date]]&gt;=$U$14,"New","")</f>
        <v/>
      </c>
      <c r="L209" s="15" t="str">
        <f>IF(AND(ClientDB[[#This Row],[Start Year]]&lt;2016,ClientDB[[#This Row],[Events]]&gt;=6),"Gift","")</f>
        <v/>
      </c>
      <c r="M20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09" s="15">
        <v>1</v>
      </c>
      <c r="O209" s="32">
        <f>ClientDB[[#This Row],[Days]]*IF(ClientDB[[#This Row],[Days]]&gt;1,$V$8,$V$7)</f>
        <v>350</v>
      </c>
      <c r="P20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09" s="15" t="s">
        <v>899</v>
      </c>
      <c r="R209" s="15" t="str">
        <f>INDEX(seat_table,MATCH(ClientDB[[#This Row],[Country Code]],seat_country_code,0),MATCH(ClientDB[[#This Row],[Meal]],meal,0))</f>
        <v>F</v>
      </c>
    </row>
    <row r="210" spans="1:18" x14ac:dyDescent="0.25">
      <c r="A210" s="10">
        <v>27293</v>
      </c>
      <c r="B210" t="s">
        <v>483</v>
      </c>
      <c r="C210" t="s">
        <v>484</v>
      </c>
      <c r="D210" s="18">
        <v>42364</v>
      </c>
      <c r="E210" s="10">
        <f>YEAR(ClientDB[[#This Row],[Start Date]])</f>
        <v>2015</v>
      </c>
      <c r="F210" t="s">
        <v>833</v>
      </c>
      <c r="G210" t="str">
        <f>VLOOKUP(ClientDB[[#This Row],[Org Code]],organization_table[],2)</f>
        <v>UON</v>
      </c>
      <c r="H210" s="10" t="s">
        <v>34</v>
      </c>
      <c r="I210" s="10" t="str">
        <f>INDEX(Country,MATCH(ClientDB[[#This Row],[Country Code]],Country_Codes,0),1)</f>
        <v>United States</v>
      </c>
      <c r="J210" s="15">
        <v>6</v>
      </c>
      <c r="K210" s="15" t="str">
        <f>IF(ClientDB[[#This Row],[Start Date]]&gt;=$U$14,"New","")</f>
        <v/>
      </c>
      <c r="L210" s="15" t="str">
        <f>IF(AND(ClientDB[[#This Row],[Start Year]]&lt;2016,ClientDB[[#This Row],[Events]]&gt;=6),"Gift","")</f>
        <v>Gift</v>
      </c>
      <c r="M21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0" s="15">
        <v>1</v>
      </c>
      <c r="O210" s="32">
        <f>ClientDB[[#This Row],[Days]]*IF(ClientDB[[#This Row],[Days]]&gt;1,$V$8,$V$7)</f>
        <v>350</v>
      </c>
      <c r="P21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10" s="15" t="s">
        <v>902</v>
      </c>
      <c r="R210" s="15" t="str">
        <f>INDEX(seat_table,MATCH(ClientDB[[#This Row],[Country Code]],seat_country_code,0),MATCH(ClientDB[[#This Row],[Meal]],meal,0))</f>
        <v>F</v>
      </c>
    </row>
    <row r="211" spans="1:18" x14ac:dyDescent="0.25">
      <c r="A211" s="10">
        <v>27300</v>
      </c>
      <c r="B211" t="s">
        <v>756</v>
      </c>
      <c r="C211" t="s">
        <v>757</v>
      </c>
      <c r="D211" s="18">
        <v>42960</v>
      </c>
      <c r="E211" s="10">
        <f>YEAR(ClientDB[[#This Row],[Start Date]])</f>
        <v>2017</v>
      </c>
      <c r="F211" t="s">
        <v>827</v>
      </c>
      <c r="G211" t="str">
        <f>VLOOKUP(ClientDB[[#This Row],[Org Code]],organization_table[],2)</f>
        <v>Ripple Com</v>
      </c>
      <c r="H211" s="10" t="s">
        <v>15</v>
      </c>
      <c r="I211" s="10" t="str">
        <f>INDEX(Country,MATCH(ClientDB[[#This Row],[Country Code]],Country_Codes,0),1)</f>
        <v>United Kingdom</v>
      </c>
      <c r="J211" s="15">
        <v>1</v>
      </c>
      <c r="K211" s="15" t="str">
        <f>IF(ClientDB[[#This Row],[Start Date]]&gt;=$U$14,"New","")</f>
        <v/>
      </c>
      <c r="L211" s="15" t="str">
        <f>IF(AND(ClientDB[[#This Row],[Start Year]]&lt;2016,ClientDB[[#This Row],[Events]]&gt;=6),"Gift","")</f>
        <v/>
      </c>
      <c r="M21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1" s="15">
        <v>1</v>
      </c>
      <c r="O211" s="32">
        <f>ClientDB[[#This Row],[Days]]*IF(ClientDB[[#This Row],[Days]]&gt;1,$V$8,$V$7)</f>
        <v>350</v>
      </c>
      <c r="P21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11" s="15" t="s">
        <v>902</v>
      </c>
      <c r="R211" s="15" t="str">
        <f>INDEX(seat_table,MATCH(ClientDB[[#This Row],[Country Code]],seat_country_code,0),MATCH(ClientDB[[#This Row],[Meal]],meal,0))</f>
        <v>B</v>
      </c>
    </row>
    <row r="212" spans="1:18" x14ac:dyDescent="0.25">
      <c r="A212" s="10">
        <v>27309</v>
      </c>
      <c r="B212" t="s">
        <v>485</v>
      </c>
      <c r="C212" t="s">
        <v>486</v>
      </c>
      <c r="D212" s="18">
        <v>43132</v>
      </c>
      <c r="E212" s="10">
        <f>YEAR(ClientDB[[#This Row],[Start Date]])</f>
        <v>2018</v>
      </c>
      <c r="F212" t="s">
        <v>827</v>
      </c>
      <c r="G212" t="str">
        <f>VLOOKUP(ClientDB[[#This Row],[Org Code]],organization_table[],2)</f>
        <v>Ripple Com</v>
      </c>
      <c r="H212" s="10" t="s">
        <v>15</v>
      </c>
      <c r="I212" s="10" t="str">
        <f>INDEX(Country,MATCH(ClientDB[[#This Row],[Country Code]],Country_Codes,0),1)</f>
        <v>United Kingdom</v>
      </c>
      <c r="J212" s="15">
        <v>3</v>
      </c>
      <c r="K212" s="15" t="str">
        <f>IF(ClientDB[[#This Row],[Start Date]]&gt;=$U$14,"New","")</f>
        <v/>
      </c>
      <c r="L212" s="15" t="str">
        <f>IF(AND(ClientDB[[#This Row],[Start Year]]&lt;2016,ClientDB[[#This Row],[Events]]&gt;=6),"Gift","")</f>
        <v/>
      </c>
      <c r="M21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2" s="15">
        <v>1</v>
      </c>
      <c r="O212" s="32">
        <f>ClientDB[[#This Row],[Days]]*IF(ClientDB[[#This Row],[Days]]&gt;1,$V$8,$V$7)</f>
        <v>350</v>
      </c>
      <c r="P21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12" s="15" t="s">
        <v>900</v>
      </c>
      <c r="R212" s="15" t="str">
        <f>INDEX(seat_table,MATCH(ClientDB[[#This Row],[Country Code]],seat_country_code,0),MATCH(ClientDB[[#This Row],[Meal]],meal,0))</f>
        <v>A</v>
      </c>
    </row>
    <row r="213" spans="1:18" x14ac:dyDescent="0.25">
      <c r="A213" s="10">
        <v>27397</v>
      </c>
      <c r="B213" t="s">
        <v>321</v>
      </c>
      <c r="C213" t="s">
        <v>322</v>
      </c>
      <c r="D213" s="18">
        <v>43398</v>
      </c>
      <c r="E213" s="10">
        <f>YEAR(ClientDB[[#This Row],[Start Date]])</f>
        <v>2018</v>
      </c>
      <c r="F213" t="s">
        <v>827</v>
      </c>
      <c r="G213" t="str">
        <f>VLOOKUP(ClientDB[[#This Row],[Org Code]],organization_table[],2)</f>
        <v>Ripple Com</v>
      </c>
      <c r="H213" s="10" t="s">
        <v>15</v>
      </c>
      <c r="I213" s="10" t="str">
        <f>INDEX(Country,MATCH(ClientDB[[#This Row],[Country Code]],Country_Codes,0),1)</f>
        <v>United Kingdom</v>
      </c>
      <c r="J213" s="15">
        <v>6</v>
      </c>
      <c r="K213" s="15" t="str">
        <f>IF(ClientDB[[#This Row],[Start Date]]&gt;=$U$14,"New","")</f>
        <v/>
      </c>
      <c r="L213" s="15" t="str">
        <f>IF(AND(ClientDB[[#This Row],[Start Year]]&lt;2016,ClientDB[[#This Row],[Events]]&gt;=6),"Gift","")</f>
        <v/>
      </c>
      <c r="M21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3" s="15">
        <v>1</v>
      </c>
      <c r="O213" s="32">
        <f>ClientDB[[#This Row],[Days]]*IF(ClientDB[[#This Row],[Days]]&gt;1,$V$8,$V$7)</f>
        <v>350</v>
      </c>
      <c r="P21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13" s="15" t="s">
        <v>900</v>
      </c>
      <c r="R213" s="15" t="str">
        <f>INDEX(seat_table,MATCH(ClientDB[[#This Row],[Country Code]],seat_country_code,0),MATCH(ClientDB[[#This Row],[Meal]],meal,0))</f>
        <v>A</v>
      </c>
    </row>
    <row r="214" spans="1:18" x14ac:dyDescent="0.25">
      <c r="A214" s="10">
        <v>27471</v>
      </c>
      <c r="B214" t="s">
        <v>710</v>
      </c>
      <c r="C214" t="s">
        <v>711</v>
      </c>
      <c r="D214" s="18">
        <v>43453</v>
      </c>
      <c r="E214" s="10">
        <f>YEAR(ClientDB[[#This Row],[Start Date]])</f>
        <v>2018</v>
      </c>
      <c r="F214" t="s">
        <v>817</v>
      </c>
      <c r="G214" t="str">
        <f>VLOOKUP(ClientDB[[#This Row],[Org Code]],organization_table[],2)</f>
        <v>LACNE</v>
      </c>
      <c r="H214" s="10" t="s">
        <v>124</v>
      </c>
      <c r="I214" s="10" t="str">
        <f>INDEX(Country,MATCH(ClientDB[[#This Row],[Country Code]],Country_Codes,0),1)</f>
        <v>Lebanon</v>
      </c>
      <c r="J214" s="15">
        <v>7</v>
      </c>
      <c r="K214" s="15" t="str">
        <f>IF(ClientDB[[#This Row],[Start Date]]&gt;=$U$14,"New","")</f>
        <v/>
      </c>
      <c r="L214" s="15" t="str">
        <f>IF(AND(ClientDB[[#This Row],[Start Year]]&lt;2016,ClientDB[[#This Row],[Events]]&gt;=6),"Gift","")</f>
        <v/>
      </c>
      <c r="M21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4" s="15">
        <v>2</v>
      </c>
      <c r="O214" s="32">
        <f>ClientDB[[#This Row],[Days]]*IF(ClientDB[[#This Row],[Days]]&gt;1,$V$8,$V$7)</f>
        <v>600</v>
      </c>
      <c r="P21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14" s="15" t="s">
        <v>901</v>
      </c>
      <c r="R214" s="15" t="str">
        <f>INDEX(seat_table,MATCH(ClientDB[[#This Row],[Country Code]],seat_country_code,0),MATCH(ClientDB[[#This Row],[Meal]],meal,0))</f>
        <v>F</v>
      </c>
    </row>
    <row r="215" spans="1:18" x14ac:dyDescent="0.25">
      <c r="A215" s="10">
        <v>27531</v>
      </c>
      <c r="B215" t="s">
        <v>563</v>
      </c>
      <c r="C215" t="s">
        <v>564</v>
      </c>
      <c r="D215" s="18">
        <v>42375</v>
      </c>
      <c r="E215" s="10">
        <f>YEAR(ClientDB[[#This Row],[Start Date]])</f>
        <v>2016</v>
      </c>
      <c r="F215" t="s">
        <v>830</v>
      </c>
      <c r="G215" t="str">
        <f>VLOOKUP(ClientDB[[#This Row],[Org Code]],organization_table[],2)</f>
        <v>Steps IT Training</v>
      </c>
      <c r="H215" s="10" t="s">
        <v>565</v>
      </c>
      <c r="I215" s="10" t="str">
        <f>INDEX(Country,MATCH(ClientDB[[#This Row],[Country Code]],Country_Codes,0),1)</f>
        <v>Syria</v>
      </c>
      <c r="J215" s="15">
        <v>2</v>
      </c>
      <c r="K215" s="15" t="str">
        <f>IF(ClientDB[[#This Row],[Start Date]]&gt;=$U$14,"New","")</f>
        <v/>
      </c>
      <c r="L215" s="15" t="str">
        <f>IF(AND(ClientDB[[#This Row],[Start Year]]&lt;2016,ClientDB[[#This Row],[Events]]&gt;=6),"Gift","")</f>
        <v/>
      </c>
      <c r="M21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5" s="15">
        <v>3</v>
      </c>
      <c r="O215" s="32">
        <f>ClientDB[[#This Row],[Days]]*IF(ClientDB[[#This Row],[Days]]&gt;1,$V$8,$V$7)</f>
        <v>900</v>
      </c>
      <c r="P21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15" s="15" t="s">
        <v>900</v>
      </c>
      <c r="R215" s="15" t="str">
        <f>INDEX(seat_table,MATCH(ClientDB[[#This Row],[Country Code]],seat_country_code,0),MATCH(ClientDB[[#This Row],[Meal]],meal,0))</f>
        <v>C</v>
      </c>
    </row>
    <row r="216" spans="1:18" x14ac:dyDescent="0.25">
      <c r="A216" s="10">
        <v>27673</v>
      </c>
      <c r="B216" t="s">
        <v>689</v>
      </c>
      <c r="C216" t="s">
        <v>690</v>
      </c>
      <c r="D216" s="18">
        <v>43482</v>
      </c>
      <c r="E216" s="10">
        <f>YEAR(ClientDB[[#This Row],[Start Date]])</f>
        <v>2019</v>
      </c>
      <c r="F216" t="s">
        <v>798</v>
      </c>
      <c r="G216" t="str">
        <f>VLOOKUP(ClientDB[[#This Row],[Org Code]],organization_table[],2)</f>
        <v>Axell Group</v>
      </c>
      <c r="H216" s="10" t="s">
        <v>146</v>
      </c>
      <c r="I216" s="10" t="str">
        <f>INDEX(Country,MATCH(ClientDB[[#This Row],[Country Code]],Country_Codes,0),1)</f>
        <v>Russia</v>
      </c>
      <c r="J216" s="15">
        <v>5</v>
      </c>
      <c r="K216" s="15" t="str">
        <f>IF(ClientDB[[#This Row],[Start Date]]&gt;=$U$14,"New","")</f>
        <v/>
      </c>
      <c r="L216" s="15" t="str">
        <f>IF(AND(ClientDB[[#This Row],[Start Year]]&lt;2016,ClientDB[[#This Row],[Events]]&gt;=6),"Gift","")</f>
        <v/>
      </c>
      <c r="M21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6" s="15">
        <v>3</v>
      </c>
      <c r="O216" s="32">
        <f>ClientDB[[#This Row],[Days]]*IF(ClientDB[[#This Row],[Days]]&gt;1,$V$8,$V$7)</f>
        <v>900</v>
      </c>
      <c r="P21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16" s="15" t="s">
        <v>902</v>
      </c>
      <c r="R216" s="15" t="str">
        <f>INDEX(seat_table,MATCH(ClientDB[[#This Row],[Country Code]],seat_country_code,0),MATCH(ClientDB[[#This Row],[Meal]],meal,0))</f>
        <v>C</v>
      </c>
    </row>
    <row r="217" spans="1:18" x14ac:dyDescent="0.25">
      <c r="A217" s="10">
        <v>27765</v>
      </c>
      <c r="B217" t="s">
        <v>462</v>
      </c>
      <c r="C217" t="s">
        <v>463</v>
      </c>
      <c r="D217" s="18">
        <v>43048</v>
      </c>
      <c r="E217" s="10">
        <f>YEAR(ClientDB[[#This Row],[Start Date]])</f>
        <v>2017</v>
      </c>
      <c r="F217" t="s">
        <v>819</v>
      </c>
      <c r="G217" t="str">
        <f>VLOOKUP(ClientDB[[#This Row],[Org Code]],organization_table[],2)</f>
        <v>NetaAssist</v>
      </c>
      <c r="H217" s="10" t="s">
        <v>46</v>
      </c>
      <c r="I217" s="10" t="str">
        <f>INDEX(Country,MATCH(ClientDB[[#This Row],[Country Code]],Country_Codes,0),1)</f>
        <v>Germany</v>
      </c>
      <c r="J217" s="15">
        <v>6</v>
      </c>
      <c r="K217" s="15" t="str">
        <f>IF(ClientDB[[#This Row],[Start Date]]&gt;=$U$14,"New","")</f>
        <v/>
      </c>
      <c r="L217" s="15" t="str">
        <f>IF(AND(ClientDB[[#This Row],[Start Year]]&lt;2016,ClientDB[[#This Row],[Events]]&gt;=6),"Gift","")</f>
        <v/>
      </c>
      <c r="M21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7" s="15">
        <v>3</v>
      </c>
      <c r="O217" s="32">
        <f>ClientDB[[#This Row],[Days]]*IF(ClientDB[[#This Row],[Days]]&gt;1,$V$8,$V$7)</f>
        <v>900</v>
      </c>
      <c r="P21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17" s="15" t="s">
        <v>901</v>
      </c>
      <c r="R217" s="15" t="str">
        <f>INDEX(seat_table,MATCH(ClientDB[[#This Row],[Country Code]],seat_country_code,0),MATCH(ClientDB[[#This Row],[Meal]],meal,0))</f>
        <v>D</v>
      </c>
    </row>
    <row r="218" spans="1:18" x14ac:dyDescent="0.25">
      <c r="A218" s="10">
        <v>27771</v>
      </c>
      <c r="B218" t="s">
        <v>652</v>
      </c>
      <c r="C218" t="s">
        <v>653</v>
      </c>
      <c r="D218" s="18">
        <v>42917</v>
      </c>
      <c r="E218" s="10">
        <f>YEAR(ClientDB[[#This Row],[Start Date]])</f>
        <v>2017</v>
      </c>
      <c r="F218" t="s">
        <v>803</v>
      </c>
      <c r="G218" t="str">
        <f>VLOOKUP(ClientDB[[#This Row],[Org Code]],organization_table[],2)</f>
        <v>Colot</v>
      </c>
      <c r="H218" s="10" t="s">
        <v>46</v>
      </c>
      <c r="I218" s="10" t="str">
        <f>INDEX(Country,MATCH(ClientDB[[#This Row],[Country Code]],Country_Codes,0),1)</f>
        <v>Germany</v>
      </c>
      <c r="J218" s="15">
        <v>8</v>
      </c>
      <c r="K218" s="15" t="str">
        <f>IF(ClientDB[[#This Row],[Start Date]]&gt;=$U$14,"New","")</f>
        <v/>
      </c>
      <c r="L218" s="15" t="str">
        <f>IF(AND(ClientDB[[#This Row],[Start Year]]&lt;2016,ClientDB[[#This Row],[Events]]&gt;=6),"Gift","")</f>
        <v/>
      </c>
      <c r="M21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8" s="15">
        <v>3</v>
      </c>
      <c r="O218" s="32">
        <f>ClientDB[[#This Row],[Days]]*IF(ClientDB[[#This Row],[Days]]&gt;1,$V$8,$V$7)</f>
        <v>900</v>
      </c>
      <c r="P21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18" s="15" t="s">
        <v>901</v>
      </c>
      <c r="R218" s="15" t="str">
        <f>INDEX(seat_table,MATCH(ClientDB[[#This Row],[Country Code]],seat_country_code,0),MATCH(ClientDB[[#This Row],[Meal]],meal,0))</f>
        <v>D</v>
      </c>
    </row>
    <row r="219" spans="1:18" x14ac:dyDescent="0.25">
      <c r="A219" s="10">
        <v>27801</v>
      </c>
      <c r="B219" t="s">
        <v>101</v>
      </c>
      <c r="C219" t="s">
        <v>102</v>
      </c>
      <c r="D219" s="18">
        <v>44026</v>
      </c>
      <c r="E219" s="10">
        <f>YEAR(ClientDB[[#This Row],[Start Date]])</f>
        <v>2020</v>
      </c>
      <c r="F219" t="s">
        <v>827</v>
      </c>
      <c r="G219" t="str">
        <f>VLOOKUP(ClientDB[[#This Row],[Org Code]],organization_table[],2)</f>
        <v>Ripple Com</v>
      </c>
      <c r="H219" s="10" t="s">
        <v>26</v>
      </c>
      <c r="I219" s="10" t="str">
        <f>INDEX(Country,MATCH(ClientDB[[#This Row],[Country Code]],Country_Codes,0),1)</f>
        <v>Ukraine</v>
      </c>
      <c r="J219" s="15">
        <v>1</v>
      </c>
      <c r="K219" s="15" t="str">
        <f>IF(ClientDB[[#This Row],[Start Date]]&gt;=$U$14,"New","")</f>
        <v>New</v>
      </c>
      <c r="L219" s="15" t="str">
        <f>IF(AND(ClientDB[[#This Row],[Start Year]]&lt;2016,ClientDB[[#This Row],[Events]]&gt;=6),"Gift","")</f>
        <v/>
      </c>
      <c r="M21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19" s="15">
        <v>3</v>
      </c>
      <c r="O219" s="32">
        <f>ClientDB[[#This Row],[Days]]*IF(ClientDB[[#This Row],[Days]]&gt;1,$V$8,$V$7)</f>
        <v>900</v>
      </c>
      <c r="P21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19" s="15" t="s">
        <v>902</v>
      </c>
      <c r="R219" s="15" t="str">
        <f>INDEX(seat_table,MATCH(ClientDB[[#This Row],[Country Code]],seat_country_code,0),MATCH(ClientDB[[#This Row],[Meal]],meal,0))</f>
        <v>C</v>
      </c>
    </row>
    <row r="220" spans="1:18" x14ac:dyDescent="0.25">
      <c r="A220" s="10">
        <v>27809</v>
      </c>
      <c r="B220" t="s">
        <v>587</v>
      </c>
      <c r="C220" t="s">
        <v>588</v>
      </c>
      <c r="D220" s="18">
        <v>42157</v>
      </c>
      <c r="E220" s="10">
        <f>YEAR(ClientDB[[#This Row],[Start Date]])</f>
        <v>2015</v>
      </c>
      <c r="F220" t="s">
        <v>812</v>
      </c>
      <c r="G220" t="str">
        <f>VLOOKUP(ClientDB[[#This Row],[Org Code]],organization_table[],2)</f>
        <v>Fzig Fibre</v>
      </c>
      <c r="H220" s="10" t="s">
        <v>59</v>
      </c>
      <c r="I220" s="10" t="str">
        <f>INDEX(Country,MATCH(ClientDB[[#This Row],[Country Code]],Country_Codes,0),1)</f>
        <v>Netherlands</v>
      </c>
      <c r="J220" s="15">
        <v>2</v>
      </c>
      <c r="K220" s="15" t="str">
        <f>IF(ClientDB[[#This Row],[Start Date]]&gt;=$U$14,"New","")</f>
        <v/>
      </c>
      <c r="L220" s="15" t="str">
        <f>IF(AND(ClientDB[[#This Row],[Start Year]]&lt;2016,ClientDB[[#This Row],[Events]]&gt;=6),"Gift","")</f>
        <v/>
      </c>
      <c r="M22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0" s="15">
        <v>2</v>
      </c>
      <c r="O220" s="32">
        <f>ClientDB[[#This Row],[Days]]*IF(ClientDB[[#This Row],[Days]]&gt;1,$V$8,$V$7)</f>
        <v>600</v>
      </c>
      <c r="P22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20" s="15" t="s">
        <v>902</v>
      </c>
      <c r="R220" s="15" t="str">
        <f>INDEX(seat_table,MATCH(ClientDB[[#This Row],[Country Code]],seat_country_code,0),MATCH(ClientDB[[#This Row],[Meal]],meal,0))</f>
        <v>C</v>
      </c>
    </row>
    <row r="221" spans="1:18" x14ac:dyDescent="0.25">
      <c r="A221" s="10">
        <v>27886</v>
      </c>
      <c r="B221" t="s">
        <v>357</v>
      </c>
      <c r="C221" t="s">
        <v>509</v>
      </c>
      <c r="D221" s="18">
        <v>43163</v>
      </c>
      <c r="E221" s="10">
        <f>YEAR(ClientDB[[#This Row],[Start Date]])</f>
        <v>2018</v>
      </c>
      <c r="F221" t="s">
        <v>827</v>
      </c>
      <c r="G221" t="str">
        <f>VLOOKUP(ClientDB[[#This Row],[Org Code]],organization_table[],2)</f>
        <v>Ripple Com</v>
      </c>
      <c r="H221" s="10" t="s">
        <v>15</v>
      </c>
      <c r="I221" s="10" t="str">
        <f>INDEX(Country,MATCH(ClientDB[[#This Row],[Country Code]],Country_Codes,0),1)</f>
        <v>United Kingdom</v>
      </c>
      <c r="J221" s="15">
        <v>4</v>
      </c>
      <c r="K221" s="15" t="str">
        <f>IF(ClientDB[[#This Row],[Start Date]]&gt;=$U$14,"New","")</f>
        <v/>
      </c>
      <c r="L221" s="15" t="str">
        <f>IF(AND(ClientDB[[#This Row],[Start Year]]&lt;2016,ClientDB[[#This Row],[Events]]&gt;=6),"Gift","")</f>
        <v/>
      </c>
      <c r="M22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1" s="15">
        <v>3</v>
      </c>
      <c r="O221" s="32">
        <f>ClientDB[[#This Row],[Days]]*IF(ClientDB[[#This Row],[Days]]&gt;1,$V$8,$V$7)</f>
        <v>900</v>
      </c>
      <c r="P22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21" s="15" t="s">
        <v>901</v>
      </c>
      <c r="R221" s="15" t="str">
        <f>INDEX(seat_table,MATCH(ClientDB[[#This Row],[Country Code]],seat_country_code,0),MATCH(ClientDB[[#This Row],[Meal]],meal,0))</f>
        <v>E</v>
      </c>
    </row>
    <row r="222" spans="1:18" x14ac:dyDescent="0.25">
      <c r="A222" s="10">
        <v>27950</v>
      </c>
      <c r="B222" t="s">
        <v>208</v>
      </c>
      <c r="C222" t="s">
        <v>209</v>
      </c>
      <c r="D222" s="18">
        <v>43428</v>
      </c>
      <c r="E222" s="10">
        <f>YEAR(ClientDB[[#This Row],[Start Date]])</f>
        <v>2018</v>
      </c>
      <c r="F222" t="s">
        <v>831</v>
      </c>
      <c r="G222" t="str">
        <f>VLOOKUP(ClientDB[[#This Row],[Org Code]],organization_table[],2)</f>
        <v>TatSan</v>
      </c>
      <c r="H222" s="10" t="s">
        <v>146</v>
      </c>
      <c r="I222" s="10" t="str">
        <f>INDEX(Country,MATCH(ClientDB[[#This Row],[Country Code]],Country_Codes,0),1)</f>
        <v>Russia</v>
      </c>
      <c r="J222" s="15">
        <v>11</v>
      </c>
      <c r="K222" s="15" t="str">
        <f>IF(ClientDB[[#This Row],[Start Date]]&gt;=$U$14,"New","")</f>
        <v/>
      </c>
      <c r="L222" s="15" t="str">
        <f>IF(AND(ClientDB[[#This Row],[Start Year]]&lt;2016,ClientDB[[#This Row],[Events]]&gt;=6),"Gift","")</f>
        <v/>
      </c>
      <c r="M22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22" s="15">
        <v>2</v>
      </c>
      <c r="O222" s="32">
        <f>ClientDB[[#This Row],[Days]]*IF(ClientDB[[#This Row],[Days]]&gt;1,$V$8,$V$7)</f>
        <v>600</v>
      </c>
      <c r="P22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222" s="15" t="s">
        <v>902</v>
      </c>
      <c r="R222" s="15" t="str">
        <f>INDEX(seat_table,MATCH(ClientDB[[#This Row],[Country Code]],seat_country_code,0),MATCH(ClientDB[[#This Row],[Meal]],meal,0))</f>
        <v>C</v>
      </c>
    </row>
    <row r="223" spans="1:18" x14ac:dyDescent="0.25">
      <c r="A223" s="10">
        <v>28005</v>
      </c>
      <c r="B223" t="s">
        <v>458</v>
      </c>
      <c r="C223" t="s">
        <v>651</v>
      </c>
      <c r="D223" s="18">
        <v>43752</v>
      </c>
      <c r="E223" s="10">
        <f>YEAR(ClientDB[[#This Row],[Start Date]])</f>
        <v>2019</v>
      </c>
      <c r="F223" t="s">
        <v>807</v>
      </c>
      <c r="G223" t="str">
        <f>VLOOKUP(ClientDB[[#This Row],[Org Code]],organization_table[],2)</f>
        <v>Duet</v>
      </c>
      <c r="H223" s="10" t="s">
        <v>155</v>
      </c>
      <c r="I223" s="10" t="str">
        <f>INDEX(Country,MATCH(ClientDB[[#This Row],[Country Code]],Country_Codes,0),1)</f>
        <v>United Arab Emirates</v>
      </c>
      <c r="J223" s="15">
        <v>3</v>
      </c>
      <c r="K223" s="15" t="str">
        <f>IF(ClientDB[[#This Row],[Start Date]]&gt;=$U$14,"New","")</f>
        <v/>
      </c>
      <c r="L223" s="15" t="str">
        <f>IF(AND(ClientDB[[#This Row],[Start Year]]&lt;2016,ClientDB[[#This Row],[Events]]&gt;=6),"Gift","")</f>
        <v/>
      </c>
      <c r="M22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3" s="15">
        <v>3</v>
      </c>
      <c r="O223" s="32">
        <f>ClientDB[[#This Row],[Days]]*IF(ClientDB[[#This Row],[Days]]&gt;1,$V$8,$V$7)</f>
        <v>900</v>
      </c>
      <c r="P22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23" s="15" t="s">
        <v>900</v>
      </c>
      <c r="R223" s="15" t="str">
        <f>INDEX(seat_table,MATCH(ClientDB[[#This Row],[Country Code]],seat_country_code,0),MATCH(ClientDB[[#This Row],[Meal]],meal,0))</f>
        <v>A</v>
      </c>
    </row>
    <row r="224" spans="1:18" x14ac:dyDescent="0.25">
      <c r="A224" s="10">
        <v>28181</v>
      </c>
      <c r="B224" t="s">
        <v>449</v>
      </c>
      <c r="C224" t="s">
        <v>450</v>
      </c>
      <c r="D224" s="18">
        <v>42163</v>
      </c>
      <c r="E224" s="10">
        <f>YEAR(ClientDB[[#This Row],[Start Date]])</f>
        <v>2015</v>
      </c>
      <c r="F224" t="s">
        <v>825</v>
      </c>
      <c r="G224" t="str">
        <f>VLOOKUP(ClientDB[[#This Row],[Org Code]],organization_table[],2)</f>
        <v>Qinisar</v>
      </c>
      <c r="H224" s="10" t="s">
        <v>54</v>
      </c>
      <c r="I224" s="10" t="str">
        <f>INDEX(Country,MATCH(ClientDB[[#This Row],[Country Code]],Country_Codes,0),1)</f>
        <v>Romania</v>
      </c>
      <c r="J224" s="15">
        <v>6</v>
      </c>
      <c r="K224" s="15" t="str">
        <f>IF(ClientDB[[#This Row],[Start Date]]&gt;=$U$14,"New","")</f>
        <v/>
      </c>
      <c r="L224" s="15" t="str">
        <f>IF(AND(ClientDB[[#This Row],[Start Year]]&lt;2016,ClientDB[[#This Row],[Events]]&gt;=6),"Gift","")</f>
        <v>Gift</v>
      </c>
      <c r="M22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4" s="15">
        <v>3</v>
      </c>
      <c r="O224" s="32">
        <f>ClientDB[[#This Row],[Days]]*IF(ClientDB[[#This Row],[Days]]&gt;1,$V$8,$V$7)</f>
        <v>900</v>
      </c>
      <c r="P22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24" s="15" t="s">
        <v>899</v>
      </c>
      <c r="R224" s="15" t="str">
        <f>INDEX(seat_table,MATCH(ClientDB[[#This Row],[Country Code]],seat_country_code,0),MATCH(ClientDB[[#This Row],[Meal]],meal,0))</f>
        <v>B</v>
      </c>
    </row>
    <row r="225" spans="1:18" x14ac:dyDescent="0.25">
      <c r="A225" s="10">
        <v>28195</v>
      </c>
      <c r="B225" t="s">
        <v>671</v>
      </c>
      <c r="C225" t="s">
        <v>590</v>
      </c>
      <c r="D225" s="18">
        <v>43768</v>
      </c>
      <c r="E225" s="10">
        <f>YEAR(ClientDB[[#This Row],[Start Date]])</f>
        <v>2019</v>
      </c>
      <c r="F225" t="s">
        <v>804</v>
      </c>
      <c r="G225" t="str">
        <f>VLOOKUP(ClientDB[[#This Row],[Org Code]],organization_table[],2)</f>
        <v>Cyber Data Processing</v>
      </c>
      <c r="H225" s="10" t="s">
        <v>7</v>
      </c>
      <c r="I225" s="10" t="str">
        <f>INDEX(Country,MATCH(ClientDB[[#This Row],[Country Code]],Country_Codes,0),1)</f>
        <v>Iran</v>
      </c>
      <c r="J225" s="15">
        <v>3</v>
      </c>
      <c r="K225" s="15" t="str">
        <f>IF(ClientDB[[#This Row],[Start Date]]&gt;=$U$14,"New","")</f>
        <v/>
      </c>
      <c r="L225" s="15" t="str">
        <f>IF(AND(ClientDB[[#This Row],[Start Year]]&lt;2016,ClientDB[[#This Row],[Events]]&gt;=6),"Gift","")</f>
        <v/>
      </c>
      <c r="M22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5" s="15">
        <v>2</v>
      </c>
      <c r="O225" s="32">
        <f>ClientDB[[#This Row],[Days]]*IF(ClientDB[[#This Row],[Days]]&gt;1,$V$8,$V$7)</f>
        <v>600</v>
      </c>
      <c r="P22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25" s="15" t="s">
        <v>901</v>
      </c>
      <c r="R225" s="15" t="str">
        <f>INDEX(seat_table,MATCH(ClientDB[[#This Row],[Country Code]],seat_country_code,0),MATCH(ClientDB[[#This Row],[Meal]],meal,0))</f>
        <v>F</v>
      </c>
    </row>
    <row r="226" spans="1:18" x14ac:dyDescent="0.25">
      <c r="A226" s="10">
        <v>28404</v>
      </c>
      <c r="B226" t="s">
        <v>389</v>
      </c>
      <c r="C226" t="s">
        <v>390</v>
      </c>
      <c r="D226" s="18">
        <v>43966</v>
      </c>
      <c r="E226" s="10">
        <f>YEAR(ClientDB[[#This Row],[Start Date]])</f>
        <v>2020</v>
      </c>
      <c r="F226" t="s">
        <v>827</v>
      </c>
      <c r="G226" t="str">
        <f>VLOOKUP(ClientDB[[#This Row],[Org Code]],organization_table[],2)</f>
        <v>Ripple Com</v>
      </c>
      <c r="H226" s="10" t="s">
        <v>15</v>
      </c>
      <c r="I226" s="10" t="str">
        <f>INDEX(Country,MATCH(ClientDB[[#This Row],[Country Code]],Country_Codes,0),1)</f>
        <v>United Kingdom</v>
      </c>
      <c r="J226" s="15">
        <v>1</v>
      </c>
      <c r="K226" s="15" t="str">
        <f>IF(ClientDB[[#This Row],[Start Date]]&gt;=$U$14,"New","")</f>
        <v>New</v>
      </c>
      <c r="L226" s="15" t="str">
        <f>IF(AND(ClientDB[[#This Row],[Start Year]]&lt;2016,ClientDB[[#This Row],[Events]]&gt;=6),"Gift","")</f>
        <v/>
      </c>
      <c r="M22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6" s="15">
        <v>3</v>
      </c>
      <c r="O226" s="32">
        <f>ClientDB[[#This Row],[Days]]*IF(ClientDB[[#This Row],[Days]]&gt;1,$V$8,$V$7)</f>
        <v>900</v>
      </c>
      <c r="P22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26" s="15" t="s">
        <v>899</v>
      </c>
      <c r="R226" s="15" t="str">
        <f>INDEX(seat_table,MATCH(ClientDB[[#This Row],[Country Code]],seat_country_code,0),MATCH(ClientDB[[#This Row],[Meal]],meal,0))</f>
        <v>A</v>
      </c>
    </row>
    <row r="227" spans="1:18" x14ac:dyDescent="0.25">
      <c r="A227" s="10">
        <v>28487</v>
      </c>
      <c r="B227" t="s">
        <v>503</v>
      </c>
      <c r="C227" t="s">
        <v>611</v>
      </c>
      <c r="D227" s="18">
        <v>42591</v>
      </c>
      <c r="E227" s="10">
        <f>YEAR(ClientDB[[#This Row],[Start Date]])</f>
        <v>2016</v>
      </c>
      <c r="F227" t="s">
        <v>803</v>
      </c>
      <c r="G227" t="str">
        <f>VLOOKUP(ClientDB[[#This Row],[Org Code]],organization_table[],2)</f>
        <v>Colot</v>
      </c>
      <c r="H227" s="10" t="s">
        <v>46</v>
      </c>
      <c r="I227" s="10" t="str">
        <f>INDEX(Country,MATCH(ClientDB[[#This Row],[Country Code]],Country_Codes,0),1)</f>
        <v>Germany</v>
      </c>
      <c r="J227" s="15">
        <v>5</v>
      </c>
      <c r="K227" s="15" t="str">
        <f>IF(ClientDB[[#This Row],[Start Date]]&gt;=$U$14,"New","")</f>
        <v/>
      </c>
      <c r="L227" s="15" t="str">
        <f>IF(AND(ClientDB[[#This Row],[Start Year]]&lt;2016,ClientDB[[#This Row],[Events]]&gt;=6),"Gift","")</f>
        <v/>
      </c>
      <c r="M22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7" s="15">
        <v>2</v>
      </c>
      <c r="O227" s="32">
        <f>ClientDB[[#This Row],[Days]]*IF(ClientDB[[#This Row],[Days]]&gt;1,$V$8,$V$7)</f>
        <v>600</v>
      </c>
      <c r="P22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27" s="15" t="s">
        <v>900</v>
      </c>
      <c r="R227" s="15" t="str">
        <f>INDEX(seat_table,MATCH(ClientDB[[#This Row],[Country Code]],seat_country_code,0),MATCH(ClientDB[[#This Row],[Meal]],meal,0))</f>
        <v>A</v>
      </c>
    </row>
    <row r="228" spans="1:18" x14ac:dyDescent="0.25">
      <c r="A228" s="10">
        <v>28547</v>
      </c>
      <c r="B228" t="s">
        <v>344</v>
      </c>
      <c r="C228" t="s">
        <v>345</v>
      </c>
      <c r="D228" s="18">
        <v>44047</v>
      </c>
      <c r="E228" s="10">
        <f>YEAR(ClientDB[[#This Row],[Start Date]])</f>
        <v>2020</v>
      </c>
      <c r="F228" t="s">
        <v>827</v>
      </c>
      <c r="G228" t="str">
        <f>VLOOKUP(ClientDB[[#This Row],[Org Code]],organization_table[],2)</f>
        <v>Ripple Com</v>
      </c>
      <c r="H228" s="10" t="s">
        <v>15</v>
      </c>
      <c r="I228" s="10" t="str">
        <f>INDEX(Country,MATCH(ClientDB[[#This Row],[Country Code]],Country_Codes,0),1)</f>
        <v>United Kingdom</v>
      </c>
      <c r="J228" s="15">
        <v>1</v>
      </c>
      <c r="K228" s="15" t="str">
        <f>IF(ClientDB[[#This Row],[Start Date]]&gt;=$U$14,"New","")</f>
        <v>New</v>
      </c>
      <c r="L228" s="15" t="str">
        <f>IF(AND(ClientDB[[#This Row],[Start Year]]&lt;2016,ClientDB[[#This Row],[Events]]&gt;=6),"Gift","")</f>
        <v/>
      </c>
      <c r="M22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8" s="15">
        <v>2</v>
      </c>
      <c r="O228" s="32">
        <f>ClientDB[[#This Row],[Days]]*IF(ClientDB[[#This Row],[Days]]&gt;1,$V$8,$V$7)</f>
        <v>600</v>
      </c>
      <c r="P22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28" s="15" t="s">
        <v>900</v>
      </c>
      <c r="R228" s="15" t="str">
        <f>INDEX(seat_table,MATCH(ClientDB[[#This Row],[Country Code]],seat_country_code,0),MATCH(ClientDB[[#This Row],[Meal]],meal,0))</f>
        <v>A</v>
      </c>
    </row>
    <row r="229" spans="1:18" x14ac:dyDescent="0.25">
      <c r="A229" s="10">
        <v>28675</v>
      </c>
      <c r="B229" t="s">
        <v>94</v>
      </c>
      <c r="C229" t="s">
        <v>576</v>
      </c>
      <c r="D229" s="18">
        <v>43322</v>
      </c>
      <c r="E229" s="10">
        <f>YEAR(ClientDB[[#This Row],[Start Date]])</f>
        <v>2018</v>
      </c>
      <c r="F229" t="s">
        <v>811</v>
      </c>
      <c r="G229" t="str">
        <f>VLOOKUP(ClientDB[[#This Row],[Org Code]],organization_table[],2)</f>
        <v>Ebony Telecoms</v>
      </c>
      <c r="H229" s="10" t="s">
        <v>239</v>
      </c>
      <c r="I229" s="10" t="str">
        <f>INDEX(Country,MATCH(ClientDB[[#This Row],[Country Code]],Country_Codes,0),1)</f>
        <v>Switzerland</v>
      </c>
      <c r="J229" s="15">
        <v>3</v>
      </c>
      <c r="K229" s="15" t="str">
        <f>IF(ClientDB[[#This Row],[Start Date]]&gt;=$U$14,"New","")</f>
        <v/>
      </c>
      <c r="L229" s="15" t="str">
        <f>IF(AND(ClientDB[[#This Row],[Start Year]]&lt;2016,ClientDB[[#This Row],[Events]]&gt;=6),"Gift","")</f>
        <v/>
      </c>
      <c r="M22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29" s="15">
        <v>1</v>
      </c>
      <c r="O229" s="32">
        <f>ClientDB[[#This Row],[Days]]*IF(ClientDB[[#This Row],[Days]]&gt;1,$V$8,$V$7)</f>
        <v>350</v>
      </c>
      <c r="P22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29" s="15" t="s">
        <v>901</v>
      </c>
      <c r="R229" s="15" t="str">
        <f>INDEX(seat_table,MATCH(ClientDB[[#This Row],[Country Code]],seat_country_code,0),MATCH(ClientDB[[#This Row],[Meal]],meal,0))</f>
        <v>D</v>
      </c>
    </row>
    <row r="230" spans="1:18" x14ac:dyDescent="0.25">
      <c r="A230" s="10">
        <v>28781</v>
      </c>
      <c r="B230" t="s">
        <v>458</v>
      </c>
      <c r="C230" t="s">
        <v>459</v>
      </c>
      <c r="D230" s="18">
        <v>43688</v>
      </c>
      <c r="E230" s="10">
        <f>YEAR(ClientDB[[#This Row],[Start Date]])</f>
        <v>2019</v>
      </c>
      <c r="F230" t="s">
        <v>801</v>
      </c>
      <c r="G230" t="str">
        <f>VLOOKUP(ClientDB[[#This Row],[Org Code]],organization_table[],2)</f>
        <v>Colot</v>
      </c>
      <c r="H230" s="10" t="s">
        <v>163</v>
      </c>
      <c r="I230" s="10" t="str">
        <f>INDEX(Country,MATCH(ClientDB[[#This Row],[Country Code]],Country_Codes,0),1)</f>
        <v>Jordan</v>
      </c>
      <c r="J230" s="15">
        <v>4</v>
      </c>
      <c r="K230" s="15" t="str">
        <f>IF(ClientDB[[#This Row],[Start Date]]&gt;=$U$14,"New","")</f>
        <v/>
      </c>
      <c r="L230" s="15" t="str">
        <f>IF(AND(ClientDB[[#This Row],[Start Year]]&lt;2016,ClientDB[[#This Row],[Events]]&gt;=6),"Gift","")</f>
        <v/>
      </c>
      <c r="M23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0" s="15">
        <v>3</v>
      </c>
      <c r="O230" s="32">
        <f>ClientDB[[#This Row],[Days]]*IF(ClientDB[[#This Row],[Days]]&gt;1,$V$8,$V$7)</f>
        <v>900</v>
      </c>
      <c r="P23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30" s="15" t="s">
        <v>902</v>
      </c>
      <c r="R230" s="15" t="str">
        <f>INDEX(seat_table,MATCH(ClientDB[[#This Row],[Country Code]],seat_country_code,0),MATCH(ClientDB[[#This Row],[Meal]],meal,0))</f>
        <v>C</v>
      </c>
    </row>
    <row r="231" spans="1:18" x14ac:dyDescent="0.25">
      <c r="A231" s="10">
        <v>28784</v>
      </c>
      <c r="B231" t="s">
        <v>440</v>
      </c>
      <c r="C231" t="s">
        <v>441</v>
      </c>
      <c r="D231" s="18">
        <v>43095</v>
      </c>
      <c r="E231" s="10">
        <f>YEAR(ClientDB[[#This Row],[Start Date]])</f>
        <v>2017</v>
      </c>
      <c r="F231" t="s">
        <v>813</v>
      </c>
      <c r="G231" t="str">
        <f>VLOOKUP(ClientDB[[#This Row],[Org Code]],organization_table[],2)</f>
        <v>HeatProof</v>
      </c>
      <c r="H231" s="10" t="s">
        <v>7</v>
      </c>
      <c r="I231" s="10" t="str">
        <f>INDEX(Country,MATCH(ClientDB[[#This Row],[Country Code]],Country_Codes,0),1)</f>
        <v>Iran</v>
      </c>
      <c r="J231" s="15">
        <v>6</v>
      </c>
      <c r="K231" s="15" t="str">
        <f>IF(ClientDB[[#This Row],[Start Date]]&gt;=$U$14,"New","")</f>
        <v/>
      </c>
      <c r="L231" s="15" t="str">
        <f>IF(AND(ClientDB[[#This Row],[Start Year]]&lt;2016,ClientDB[[#This Row],[Events]]&gt;=6),"Gift","")</f>
        <v/>
      </c>
      <c r="M23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1" s="15">
        <v>3</v>
      </c>
      <c r="O231" s="32">
        <f>ClientDB[[#This Row],[Days]]*IF(ClientDB[[#This Row],[Days]]&gt;1,$V$8,$V$7)</f>
        <v>900</v>
      </c>
      <c r="P23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31" s="15" t="s">
        <v>901</v>
      </c>
      <c r="R231" s="15" t="str">
        <f>INDEX(seat_table,MATCH(ClientDB[[#This Row],[Country Code]],seat_country_code,0),MATCH(ClientDB[[#This Row],[Meal]],meal,0))</f>
        <v>F</v>
      </c>
    </row>
    <row r="232" spans="1:18" x14ac:dyDescent="0.25">
      <c r="A232" s="10">
        <v>28939</v>
      </c>
      <c r="B232" t="s">
        <v>315</v>
      </c>
      <c r="C232" t="s">
        <v>442</v>
      </c>
      <c r="D232" s="18">
        <v>42119</v>
      </c>
      <c r="E232" s="10">
        <f>YEAR(ClientDB[[#This Row],[Start Date]])</f>
        <v>2015</v>
      </c>
      <c r="F232" t="s">
        <v>804</v>
      </c>
      <c r="G232" t="str">
        <f>VLOOKUP(ClientDB[[#This Row],[Org Code]],organization_table[],2)</f>
        <v>Cyber Data Processing</v>
      </c>
      <c r="H232" s="10" t="s">
        <v>34</v>
      </c>
      <c r="I232" s="10" t="str">
        <f>INDEX(Country,MATCH(ClientDB[[#This Row],[Country Code]],Country_Codes,0),1)</f>
        <v>United States</v>
      </c>
      <c r="J232" s="15">
        <v>5</v>
      </c>
      <c r="K232" s="15" t="str">
        <f>IF(ClientDB[[#This Row],[Start Date]]&gt;=$U$14,"New","")</f>
        <v/>
      </c>
      <c r="L232" s="15" t="str">
        <f>IF(AND(ClientDB[[#This Row],[Start Year]]&lt;2016,ClientDB[[#This Row],[Events]]&gt;=6),"Gift","")</f>
        <v/>
      </c>
      <c r="M23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2" s="15">
        <v>2</v>
      </c>
      <c r="O232" s="32">
        <f>ClientDB[[#This Row],[Days]]*IF(ClientDB[[#This Row],[Days]]&gt;1,$V$8,$V$7)</f>
        <v>600</v>
      </c>
      <c r="P23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32" s="15" t="s">
        <v>901</v>
      </c>
      <c r="R232" s="15" t="str">
        <f>INDEX(seat_table,MATCH(ClientDB[[#This Row],[Country Code]],seat_country_code,0),MATCH(ClientDB[[#This Row],[Meal]],meal,0))</f>
        <v>G</v>
      </c>
    </row>
    <row r="233" spans="1:18" x14ac:dyDescent="0.25">
      <c r="A233" s="10">
        <v>28943</v>
      </c>
      <c r="B233" t="s">
        <v>758</v>
      </c>
      <c r="C233" t="s">
        <v>289</v>
      </c>
      <c r="D233" s="18">
        <v>43438</v>
      </c>
      <c r="E233" s="10">
        <f>YEAR(ClientDB[[#This Row],[Start Date]])</f>
        <v>2018</v>
      </c>
      <c r="F233" t="s">
        <v>822</v>
      </c>
      <c r="G233" t="str">
        <f>VLOOKUP(ClientDB[[#This Row],[Org Code]],organization_table[],2)</f>
        <v>PicSure</v>
      </c>
      <c r="H233" s="10" t="s">
        <v>143</v>
      </c>
      <c r="I233" s="10" t="str">
        <f>INDEX(Country,MATCH(ClientDB[[#This Row],[Country Code]],Country_Codes,0),1)</f>
        <v>Oman</v>
      </c>
      <c r="J233" s="15">
        <v>1</v>
      </c>
      <c r="K233" s="15" t="str">
        <f>IF(ClientDB[[#This Row],[Start Date]]&gt;=$U$14,"New","")</f>
        <v/>
      </c>
      <c r="L233" s="15" t="str">
        <f>IF(AND(ClientDB[[#This Row],[Start Year]]&lt;2016,ClientDB[[#This Row],[Events]]&gt;=6),"Gift","")</f>
        <v/>
      </c>
      <c r="M23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3" s="15">
        <v>1</v>
      </c>
      <c r="O233" s="32">
        <f>ClientDB[[#This Row],[Days]]*IF(ClientDB[[#This Row],[Days]]&gt;1,$V$8,$V$7)</f>
        <v>350</v>
      </c>
      <c r="P23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33" s="15" t="s">
        <v>899</v>
      </c>
      <c r="R233" s="15" t="str">
        <f>INDEX(seat_table,MATCH(ClientDB[[#This Row],[Country Code]],seat_country_code,0),MATCH(ClientDB[[#This Row],[Meal]],meal,0))</f>
        <v>B</v>
      </c>
    </row>
    <row r="234" spans="1:18" x14ac:dyDescent="0.25">
      <c r="A234" s="10">
        <v>28961</v>
      </c>
      <c r="B234" t="s">
        <v>98</v>
      </c>
      <c r="C234" t="s">
        <v>99</v>
      </c>
      <c r="D234" s="18">
        <v>43036</v>
      </c>
      <c r="E234" s="10">
        <f>YEAR(ClientDB[[#This Row],[Start Date]])</f>
        <v>2017</v>
      </c>
      <c r="F234" t="s">
        <v>817</v>
      </c>
      <c r="G234" t="str">
        <f>VLOOKUP(ClientDB[[#This Row],[Org Code]],organization_table[],2)</f>
        <v>LACNE</v>
      </c>
      <c r="H234" s="10" t="s">
        <v>34</v>
      </c>
      <c r="I234" s="10" t="str">
        <f>INDEX(Country,MATCH(ClientDB[[#This Row],[Country Code]],Country_Codes,0),1)</f>
        <v>United States</v>
      </c>
      <c r="J234" s="15">
        <v>1</v>
      </c>
      <c r="K234" s="15" t="str">
        <f>IF(ClientDB[[#This Row],[Start Date]]&gt;=$U$14,"New","")</f>
        <v/>
      </c>
      <c r="L234" s="15" t="str">
        <f>IF(AND(ClientDB[[#This Row],[Start Year]]&lt;2016,ClientDB[[#This Row],[Events]]&gt;=6),"Gift","")</f>
        <v/>
      </c>
      <c r="M23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4" s="15">
        <v>2</v>
      </c>
      <c r="O234" s="32">
        <f>ClientDB[[#This Row],[Days]]*IF(ClientDB[[#This Row],[Days]]&gt;1,$V$8,$V$7)</f>
        <v>600</v>
      </c>
      <c r="P23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34" s="15" t="s">
        <v>901</v>
      </c>
      <c r="R234" s="15" t="str">
        <f>INDEX(seat_table,MATCH(ClientDB[[#This Row],[Country Code]],seat_country_code,0),MATCH(ClientDB[[#This Row],[Meal]],meal,0))</f>
        <v>G</v>
      </c>
    </row>
    <row r="235" spans="1:18" x14ac:dyDescent="0.25">
      <c r="A235" s="10">
        <v>28965</v>
      </c>
      <c r="B235" t="s">
        <v>366</v>
      </c>
      <c r="C235" t="s">
        <v>367</v>
      </c>
      <c r="D235" s="18">
        <v>42307</v>
      </c>
      <c r="E235" s="10">
        <f>YEAR(ClientDB[[#This Row],[Start Date]])</f>
        <v>2015</v>
      </c>
      <c r="F235" t="s">
        <v>801</v>
      </c>
      <c r="G235" t="str">
        <f>VLOOKUP(ClientDB[[#This Row],[Org Code]],organization_table[],2)</f>
        <v>Colot</v>
      </c>
      <c r="H235" s="10" t="s">
        <v>15</v>
      </c>
      <c r="I235" s="10" t="str">
        <f>INDEX(Country,MATCH(ClientDB[[#This Row],[Country Code]],Country_Codes,0),1)</f>
        <v>United Kingdom</v>
      </c>
      <c r="J235" s="15">
        <v>5</v>
      </c>
      <c r="K235" s="15" t="str">
        <f>IF(ClientDB[[#This Row],[Start Date]]&gt;=$U$14,"New","")</f>
        <v/>
      </c>
      <c r="L235" s="15" t="str">
        <f>IF(AND(ClientDB[[#This Row],[Start Year]]&lt;2016,ClientDB[[#This Row],[Events]]&gt;=6),"Gift","")</f>
        <v/>
      </c>
      <c r="M23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5" s="15">
        <v>3</v>
      </c>
      <c r="O235" s="32">
        <f>ClientDB[[#This Row],[Days]]*IF(ClientDB[[#This Row],[Days]]&gt;1,$V$8,$V$7)</f>
        <v>900</v>
      </c>
      <c r="P23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35" s="15" t="s">
        <v>902</v>
      </c>
      <c r="R235" s="15" t="str">
        <f>INDEX(seat_table,MATCH(ClientDB[[#This Row],[Country Code]],seat_country_code,0),MATCH(ClientDB[[#This Row],[Meal]],meal,0))</f>
        <v>B</v>
      </c>
    </row>
    <row r="236" spans="1:18" x14ac:dyDescent="0.25">
      <c r="A236" s="10">
        <v>29055</v>
      </c>
      <c r="B236" t="s">
        <v>510</v>
      </c>
      <c r="C236" t="s">
        <v>511</v>
      </c>
      <c r="D236" s="18">
        <v>42557</v>
      </c>
      <c r="E236" s="10">
        <f>YEAR(ClientDB[[#This Row],[Start Date]])</f>
        <v>2016</v>
      </c>
      <c r="F236" t="s">
        <v>812</v>
      </c>
      <c r="G236" t="str">
        <f>VLOOKUP(ClientDB[[#This Row],[Org Code]],organization_table[],2)</f>
        <v>Fzig Fibre</v>
      </c>
      <c r="H236" s="10" t="s">
        <v>124</v>
      </c>
      <c r="I236" s="10" t="str">
        <f>INDEX(Country,MATCH(ClientDB[[#This Row],[Country Code]],Country_Codes,0),1)</f>
        <v>Lebanon</v>
      </c>
      <c r="J236" s="15">
        <v>5</v>
      </c>
      <c r="K236" s="15" t="str">
        <f>IF(ClientDB[[#This Row],[Start Date]]&gt;=$U$14,"New","")</f>
        <v/>
      </c>
      <c r="L236" s="15" t="str">
        <f>IF(AND(ClientDB[[#This Row],[Start Year]]&lt;2016,ClientDB[[#This Row],[Events]]&gt;=6),"Gift","")</f>
        <v/>
      </c>
      <c r="M23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6" s="15">
        <v>2</v>
      </c>
      <c r="O236" s="32">
        <f>ClientDB[[#This Row],[Days]]*IF(ClientDB[[#This Row],[Days]]&gt;1,$V$8,$V$7)</f>
        <v>600</v>
      </c>
      <c r="P23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36" s="15" t="s">
        <v>901</v>
      </c>
      <c r="R236" s="15" t="str">
        <f>INDEX(seat_table,MATCH(ClientDB[[#This Row],[Country Code]],seat_country_code,0),MATCH(ClientDB[[#This Row],[Meal]],meal,0))</f>
        <v>F</v>
      </c>
    </row>
    <row r="237" spans="1:18" x14ac:dyDescent="0.25">
      <c r="A237" s="10">
        <v>29101</v>
      </c>
      <c r="B237" t="s">
        <v>738</v>
      </c>
      <c r="C237" t="s">
        <v>739</v>
      </c>
      <c r="D237" s="18">
        <v>43941</v>
      </c>
      <c r="E237" s="10">
        <f>YEAR(ClientDB[[#This Row],[Start Date]])</f>
        <v>2020</v>
      </c>
      <c r="F237" t="s">
        <v>828</v>
      </c>
      <c r="G237" t="str">
        <f>VLOOKUP(ClientDB[[#This Row],[Org Code]],organization_table[],2)</f>
        <v>Steps IT Training</v>
      </c>
      <c r="H237" s="10" t="s">
        <v>26</v>
      </c>
      <c r="I237" s="10" t="str">
        <f>INDEX(Country,MATCH(ClientDB[[#This Row],[Country Code]],Country_Codes,0),1)</f>
        <v>Ukraine</v>
      </c>
      <c r="J237" s="15">
        <v>2</v>
      </c>
      <c r="K237" s="15" t="str">
        <f>IF(ClientDB[[#This Row],[Start Date]]&gt;=$U$14,"New","")</f>
        <v>New</v>
      </c>
      <c r="L237" s="15" t="str">
        <f>IF(AND(ClientDB[[#This Row],[Start Year]]&lt;2016,ClientDB[[#This Row],[Events]]&gt;=6),"Gift","")</f>
        <v/>
      </c>
      <c r="M23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7" s="15">
        <v>2</v>
      </c>
      <c r="O237" s="32">
        <f>ClientDB[[#This Row],[Days]]*IF(ClientDB[[#This Row],[Days]]&gt;1,$V$8,$V$7)</f>
        <v>600</v>
      </c>
      <c r="P23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37" s="15" t="s">
        <v>901</v>
      </c>
      <c r="R237" s="15" t="str">
        <f>INDEX(seat_table,MATCH(ClientDB[[#This Row],[Country Code]],seat_country_code,0),MATCH(ClientDB[[#This Row],[Meal]],meal,0))</f>
        <v>G</v>
      </c>
    </row>
    <row r="238" spans="1:18" x14ac:dyDescent="0.25">
      <c r="A238" s="10">
        <v>29151</v>
      </c>
      <c r="B238" t="s">
        <v>91</v>
      </c>
      <c r="C238" t="s">
        <v>92</v>
      </c>
      <c r="D238" s="18">
        <v>42448</v>
      </c>
      <c r="E238" s="10">
        <f>YEAR(ClientDB[[#This Row],[Start Date]])</f>
        <v>2016</v>
      </c>
      <c r="F238" t="s">
        <v>831</v>
      </c>
      <c r="G238" t="str">
        <f>VLOOKUP(ClientDB[[#This Row],[Org Code]],organization_table[],2)</f>
        <v>TatSan</v>
      </c>
      <c r="H238" s="10" t="s">
        <v>59</v>
      </c>
      <c r="I238" s="10" t="str">
        <f>INDEX(Country,MATCH(ClientDB[[#This Row],[Country Code]],Country_Codes,0),1)</f>
        <v>Netherlands</v>
      </c>
      <c r="J238" s="15">
        <v>12</v>
      </c>
      <c r="K238" s="15" t="str">
        <f>IF(ClientDB[[#This Row],[Start Date]]&gt;=$U$14,"New","")</f>
        <v/>
      </c>
      <c r="L238" s="15" t="str">
        <f>IF(AND(ClientDB[[#This Row],[Start Year]]&lt;2016,ClientDB[[#This Row],[Events]]&gt;=6),"Gift","")</f>
        <v/>
      </c>
      <c r="M23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38" s="15">
        <v>1</v>
      </c>
      <c r="O238" s="32">
        <f>ClientDB[[#This Row],[Days]]*IF(ClientDB[[#This Row],[Days]]&gt;1,$V$8,$V$7)</f>
        <v>350</v>
      </c>
      <c r="P23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238" s="15" t="s">
        <v>901</v>
      </c>
      <c r="R238" s="15" t="str">
        <f>INDEX(seat_table,MATCH(ClientDB[[#This Row],[Country Code]],seat_country_code,0),MATCH(ClientDB[[#This Row],[Meal]],meal,0))</f>
        <v>F</v>
      </c>
    </row>
    <row r="239" spans="1:18" x14ac:dyDescent="0.25">
      <c r="A239" s="10">
        <v>29151</v>
      </c>
      <c r="B239" t="s">
        <v>544</v>
      </c>
      <c r="C239" t="s">
        <v>545</v>
      </c>
      <c r="D239" s="18">
        <v>43737</v>
      </c>
      <c r="E239" s="10">
        <f>YEAR(ClientDB[[#This Row],[Start Date]])</f>
        <v>2019</v>
      </c>
      <c r="F239" t="s">
        <v>840</v>
      </c>
      <c r="G239" t="str">
        <f>VLOOKUP(ClientDB[[#This Row],[Org Code]],organization_table[],2)</f>
        <v>xLAN Internet Exchange</v>
      </c>
      <c r="H239" s="10" t="s">
        <v>262</v>
      </c>
      <c r="I239" s="10" t="str">
        <f>INDEX(Country,MATCH(ClientDB[[#This Row],[Country Code]],Country_Codes,0),1)</f>
        <v>Poland</v>
      </c>
      <c r="J239" s="15">
        <v>3</v>
      </c>
      <c r="K239" s="15" t="str">
        <f>IF(ClientDB[[#This Row],[Start Date]]&gt;=$U$14,"New","")</f>
        <v/>
      </c>
      <c r="L239" s="15" t="str">
        <f>IF(AND(ClientDB[[#This Row],[Start Year]]&lt;2016,ClientDB[[#This Row],[Events]]&gt;=6),"Gift","")</f>
        <v/>
      </c>
      <c r="M23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39" s="15">
        <v>3</v>
      </c>
      <c r="O239" s="32">
        <f>ClientDB[[#This Row],[Days]]*IF(ClientDB[[#This Row],[Days]]&gt;1,$V$8,$V$7)</f>
        <v>900</v>
      </c>
      <c r="P23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39" s="15" t="s">
        <v>901</v>
      </c>
      <c r="R239" s="15" t="str">
        <f>INDEX(seat_table,MATCH(ClientDB[[#This Row],[Country Code]],seat_country_code,0),MATCH(ClientDB[[#This Row],[Meal]],meal,0))</f>
        <v>F</v>
      </c>
    </row>
    <row r="240" spans="1:18" x14ac:dyDescent="0.25">
      <c r="A240" s="10">
        <v>29544</v>
      </c>
      <c r="B240" t="s">
        <v>103</v>
      </c>
      <c r="C240" t="s">
        <v>104</v>
      </c>
      <c r="D240" s="18">
        <v>41447</v>
      </c>
      <c r="E240" s="10">
        <f>YEAR(ClientDB[[#This Row],[Start Date]])</f>
        <v>2013</v>
      </c>
      <c r="F240" t="s">
        <v>823</v>
      </c>
      <c r="G240" t="str">
        <f>VLOOKUP(ClientDB[[#This Row],[Org Code]],organization_table[],2)</f>
        <v>Pink Cloud Networks</v>
      </c>
      <c r="H240" s="10" t="s">
        <v>59</v>
      </c>
      <c r="I240" s="10" t="str">
        <f>INDEX(Country,MATCH(ClientDB[[#This Row],[Country Code]],Country_Codes,0),1)</f>
        <v>Netherlands</v>
      </c>
      <c r="J240" s="15">
        <v>17</v>
      </c>
      <c r="K240" s="15" t="str">
        <f>IF(ClientDB[[#This Row],[Start Date]]&gt;=$U$14,"New","")</f>
        <v/>
      </c>
      <c r="L240" s="15" t="str">
        <f>IF(AND(ClientDB[[#This Row],[Start Year]]&lt;2016,ClientDB[[#This Row],[Events]]&gt;=6),"Gift","")</f>
        <v>Gift</v>
      </c>
      <c r="M24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40" s="15">
        <v>2</v>
      </c>
      <c r="O240" s="32">
        <f>ClientDB[[#This Row],[Days]]*IF(ClientDB[[#This Row],[Days]]&gt;1,$V$8,$V$7)</f>
        <v>600</v>
      </c>
      <c r="P24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240" s="15" t="s">
        <v>901</v>
      </c>
      <c r="R240" s="15" t="str">
        <f>INDEX(seat_table,MATCH(ClientDB[[#This Row],[Country Code]],seat_country_code,0),MATCH(ClientDB[[#This Row],[Meal]],meal,0))</f>
        <v>F</v>
      </c>
    </row>
    <row r="241" spans="1:18" x14ac:dyDescent="0.25">
      <c r="A241" s="10">
        <v>29564</v>
      </c>
      <c r="B241" t="s">
        <v>72</v>
      </c>
      <c r="C241" t="s">
        <v>73</v>
      </c>
      <c r="D241" s="18">
        <v>43894</v>
      </c>
      <c r="E241" s="10">
        <f>YEAR(ClientDB[[#This Row],[Start Date]])</f>
        <v>2020</v>
      </c>
      <c r="F241" t="s">
        <v>821</v>
      </c>
      <c r="G241" t="str">
        <f>VLOOKUP(ClientDB[[#This Row],[Org Code]],organization_table[],2)</f>
        <v>Parmis Technologies</v>
      </c>
      <c r="H241" s="10" t="s">
        <v>63</v>
      </c>
      <c r="I241" s="10" t="str">
        <f>INDEX(Country,MATCH(ClientDB[[#This Row],[Country Code]],Country_Codes,0),1)</f>
        <v>Armenia</v>
      </c>
      <c r="J241" s="15">
        <v>3</v>
      </c>
      <c r="K241" s="15" t="str">
        <f>IF(ClientDB[[#This Row],[Start Date]]&gt;=$U$14,"New","")</f>
        <v>New</v>
      </c>
      <c r="L241" s="15" t="str">
        <f>IF(AND(ClientDB[[#This Row],[Start Year]]&lt;2016,ClientDB[[#This Row],[Events]]&gt;=6),"Gift","")</f>
        <v/>
      </c>
      <c r="M24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41" s="15">
        <v>2</v>
      </c>
      <c r="O241" s="32">
        <f>ClientDB[[#This Row],[Days]]*IF(ClientDB[[#This Row],[Days]]&gt;1,$V$8,$V$7)</f>
        <v>600</v>
      </c>
      <c r="P24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41" s="15" t="s">
        <v>901</v>
      </c>
      <c r="R241" s="15" t="str">
        <f>INDEX(seat_table,MATCH(ClientDB[[#This Row],[Country Code]],seat_country_code,0),MATCH(ClientDB[[#This Row],[Meal]],meal,0))</f>
        <v>D</v>
      </c>
    </row>
    <row r="242" spans="1:18" x14ac:dyDescent="0.25">
      <c r="A242" s="10">
        <v>29651</v>
      </c>
      <c r="B242" t="s">
        <v>493</v>
      </c>
      <c r="C242" t="s">
        <v>494</v>
      </c>
      <c r="D242" s="18">
        <v>43523</v>
      </c>
      <c r="E242" s="10">
        <f>YEAR(ClientDB[[#This Row],[Start Date]])</f>
        <v>2019</v>
      </c>
      <c r="F242" t="s">
        <v>814</v>
      </c>
      <c r="G242" t="str">
        <f>VLOOKUP(ClientDB[[#This Row],[Org Code]],organization_table[],2)</f>
        <v>IPI Bucharest</v>
      </c>
      <c r="H242" s="10" t="s">
        <v>34</v>
      </c>
      <c r="I242" s="10" t="str">
        <f>INDEX(Country,MATCH(ClientDB[[#This Row],[Country Code]],Country_Codes,0),1)</f>
        <v>United States</v>
      </c>
      <c r="J242" s="15">
        <v>3</v>
      </c>
      <c r="K242" s="15" t="str">
        <f>IF(ClientDB[[#This Row],[Start Date]]&gt;=$U$14,"New","")</f>
        <v/>
      </c>
      <c r="L242" s="15" t="str">
        <f>IF(AND(ClientDB[[#This Row],[Start Year]]&lt;2016,ClientDB[[#This Row],[Events]]&gt;=6),"Gift","")</f>
        <v/>
      </c>
      <c r="M24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42" s="15">
        <v>3</v>
      </c>
      <c r="O242" s="32">
        <f>ClientDB[[#This Row],[Days]]*IF(ClientDB[[#This Row],[Days]]&gt;1,$V$8,$V$7)</f>
        <v>900</v>
      </c>
      <c r="P24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42" s="15" t="s">
        <v>901</v>
      </c>
      <c r="R242" s="15" t="str">
        <f>INDEX(seat_table,MATCH(ClientDB[[#This Row],[Country Code]],seat_country_code,0),MATCH(ClientDB[[#This Row],[Meal]],meal,0))</f>
        <v>G</v>
      </c>
    </row>
    <row r="243" spans="1:18" x14ac:dyDescent="0.25">
      <c r="A243" s="10">
        <v>29695</v>
      </c>
      <c r="B243" t="s">
        <v>130</v>
      </c>
      <c r="C243" t="s">
        <v>131</v>
      </c>
      <c r="D243" s="18">
        <v>43013</v>
      </c>
      <c r="E243" s="10">
        <f>YEAR(ClientDB[[#This Row],[Start Date]])</f>
        <v>2017</v>
      </c>
      <c r="F243" t="s">
        <v>806</v>
      </c>
      <c r="G243" t="str">
        <f>VLOOKUP(ClientDB[[#This Row],[Org Code]],organization_table[],2)</f>
        <v>DENIL</v>
      </c>
      <c r="H243" s="10" t="s">
        <v>26</v>
      </c>
      <c r="I243" s="10" t="str">
        <f>INDEX(Country,MATCH(ClientDB[[#This Row],[Country Code]],Country_Codes,0),1)</f>
        <v>Ukraine</v>
      </c>
      <c r="J243" s="15">
        <v>2</v>
      </c>
      <c r="K243" s="15" t="str">
        <f>IF(ClientDB[[#This Row],[Start Date]]&gt;=$U$14,"New","")</f>
        <v/>
      </c>
      <c r="L243" s="15" t="str">
        <f>IF(AND(ClientDB[[#This Row],[Start Year]]&lt;2016,ClientDB[[#This Row],[Events]]&gt;=6),"Gift","")</f>
        <v/>
      </c>
      <c r="M24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43" s="15">
        <v>2</v>
      </c>
      <c r="O243" s="32">
        <f>ClientDB[[#This Row],[Days]]*IF(ClientDB[[#This Row],[Days]]&gt;1,$V$8,$V$7)</f>
        <v>600</v>
      </c>
      <c r="P24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43" s="15" t="s">
        <v>900</v>
      </c>
      <c r="R243" s="15" t="str">
        <f>INDEX(seat_table,MATCH(ClientDB[[#This Row],[Country Code]],seat_country_code,0),MATCH(ClientDB[[#This Row],[Meal]],meal,0))</f>
        <v>C</v>
      </c>
    </row>
    <row r="244" spans="1:18" x14ac:dyDescent="0.25">
      <c r="A244" s="10">
        <v>29717</v>
      </c>
      <c r="B244" t="s">
        <v>361</v>
      </c>
      <c r="C244" t="s">
        <v>362</v>
      </c>
      <c r="D244" s="18">
        <v>43152</v>
      </c>
      <c r="E244" s="10">
        <f>YEAR(ClientDB[[#This Row],[Start Date]])</f>
        <v>2018</v>
      </c>
      <c r="F244" t="s">
        <v>834</v>
      </c>
      <c r="G244" t="str">
        <f>VLOOKUP(ClientDB[[#This Row],[Org Code]],organization_table[],2)</f>
        <v>Verisize</v>
      </c>
      <c r="H244" s="10" t="s">
        <v>363</v>
      </c>
      <c r="I244" s="10" t="str">
        <f>INDEX(Country,MATCH(ClientDB[[#This Row],[Country Code]],Country_Codes,0),1)</f>
        <v>Hong Kong</v>
      </c>
      <c r="J244" s="15">
        <v>7</v>
      </c>
      <c r="K244" s="15" t="str">
        <f>IF(ClientDB[[#This Row],[Start Date]]&gt;=$U$14,"New","")</f>
        <v/>
      </c>
      <c r="L244" s="15" t="str">
        <f>IF(AND(ClientDB[[#This Row],[Start Year]]&lt;2016,ClientDB[[#This Row],[Events]]&gt;=6),"Gift","")</f>
        <v/>
      </c>
      <c r="M24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44" s="15">
        <v>1</v>
      </c>
      <c r="O244" s="32">
        <f>ClientDB[[#This Row],[Days]]*IF(ClientDB[[#This Row],[Days]]&gt;1,$V$8,$V$7)</f>
        <v>350</v>
      </c>
      <c r="P24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44" s="15" t="s">
        <v>901</v>
      </c>
      <c r="R244" s="15" t="str">
        <f>INDEX(seat_table,MATCH(ClientDB[[#This Row],[Country Code]],seat_country_code,0),MATCH(ClientDB[[#This Row],[Meal]],meal,0))</f>
        <v>E</v>
      </c>
    </row>
    <row r="245" spans="1:18" x14ac:dyDescent="0.25">
      <c r="A245" s="10">
        <v>29720</v>
      </c>
      <c r="B245" t="s">
        <v>506</v>
      </c>
      <c r="C245" t="s">
        <v>122</v>
      </c>
      <c r="D245" s="18">
        <v>42178</v>
      </c>
      <c r="E245" s="10">
        <f>YEAR(ClientDB[[#This Row],[Start Date]])</f>
        <v>2015</v>
      </c>
      <c r="F245" t="s">
        <v>827</v>
      </c>
      <c r="G245" t="str">
        <f>VLOOKUP(ClientDB[[#This Row],[Org Code]],organization_table[],2)</f>
        <v>Ripple Com</v>
      </c>
      <c r="H245" s="10" t="s">
        <v>34</v>
      </c>
      <c r="I245" s="10" t="str">
        <f>INDEX(Country,MATCH(ClientDB[[#This Row],[Country Code]],Country_Codes,0),1)</f>
        <v>United States</v>
      </c>
      <c r="J245" s="15">
        <v>17</v>
      </c>
      <c r="K245" s="15" t="str">
        <f>IF(ClientDB[[#This Row],[Start Date]]&gt;=$U$14,"New","")</f>
        <v/>
      </c>
      <c r="L245" s="15" t="str">
        <f>IF(AND(ClientDB[[#This Row],[Start Year]]&lt;2016,ClientDB[[#This Row],[Events]]&gt;=6),"Gift","")</f>
        <v>Gift</v>
      </c>
      <c r="M24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45" s="15">
        <v>3</v>
      </c>
      <c r="O245" s="32">
        <f>ClientDB[[#This Row],[Days]]*IF(ClientDB[[#This Row],[Days]]&gt;1,$V$8,$V$7)</f>
        <v>900</v>
      </c>
      <c r="P24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45" s="15" t="s">
        <v>900</v>
      </c>
      <c r="R245" s="15" t="str">
        <f>INDEX(seat_table,MATCH(ClientDB[[#This Row],[Country Code]],seat_country_code,0),MATCH(ClientDB[[#This Row],[Meal]],meal,0))</f>
        <v>F</v>
      </c>
    </row>
    <row r="246" spans="1:18" x14ac:dyDescent="0.25">
      <c r="A246" s="10">
        <v>29731</v>
      </c>
      <c r="B246" t="s">
        <v>550</v>
      </c>
      <c r="C246" t="s">
        <v>551</v>
      </c>
      <c r="D246" s="18">
        <v>43233</v>
      </c>
      <c r="E246" s="10">
        <f>YEAR(ClientDB[[#This Row],[Start Date]])</f>
        <v>2018</v>
      </c>
      <c r="F246" t="s">
        <v>828</v>
      </c>
      <c r="G246" t="str">
        <f>VLOOKUP(ClientDB[[#This Row],[Org Code]],organization_table[],2)</f>
        <v>Steps IT Training</v>
      </c>
      <c r="H246" s="10" t="s">
        <v>26</v>
      </c>
      <c r="I246" s="10" t="str">
        <f>INDEX(Country,MATCH(ClientDB[[#This Row],[Country Code]],Country_Codes,0),1)</f>
        <v>Ukraine</v>
      </c>
      <c r="J246" s="15">
        <v>9</v>
      </c>
      <c r="K246" s="15" t="str">
        <f>IF(ClientDB[[#This Row],[Start Date]]&gt;=$U$14,"New","")</f>
        <v/>
      </c>
      <c r="L246" s="15" t="str">
        <f>IF(AND(ClientDB[[#This Row],[Start Year]]&lt;2016,ClientDB[[#This Row],[Events]]&gt;=6),"Gift","")</f>
        <v/>
      </c>
      <c r="M24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46" s="15">
        <v>1</v>
      </c>
      <c r="O246" s="32">
        <f>ClientDB[[#This Row],[Days]]*IF(ClientDB[[#This Row],[Days]]&gt;1,$V$8,$V$7)</f>
        <v>350</v>
      </c>
      <c r="P24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46" s="15" t="s">
        <v>900</v>
      </c>
      <c r="R246" s="15" t="str">
        <f>INDEX(seat_table,MATCH(ClientDB[[#This Row],[Country Code]],seat_country_code,0),MATCH(ClientDB[[#This Row],[Meal]],meal,0))</f>
        <v>C</v>
      </c>
    </row>
    <row r="247" spans="1:18" x14ac:dyDescent="0.25">
      <c r="A247" s="10">
        <v>29823</v>
      </c>
      <c r="B247" t="s">
        <v>538</v>
      </c>
      <c r="C247" t="s">
        <v>539</v>
      </c>
      <c r="D247" s="18">
        <v>43066</v>
      </c>
      <c r="E247" s="10">
        <f>YEAR(ClientDB[[#This Row],[Start Date]])</f>
        <v>2017</v>
      </c>
      <c r="F247" t="s">
        <v>826</v>
      </c>
      <c r="G247" t="str">
        <f>VLOOKUP(ClientDB[[#This Row],[Org Code]],organization_table[],2)</f>
        <v>Ripple Com</v>
      </c>
      <c r="H247" s="10" t="s">
        <v>396</v>
      </c>
      <c r="I247" s="10" t="str">
        <f>INDEX(Country,MATCH(ClientDB[[#This Row],[Country Code]],Country_Codes,0),1)</f>
        <v>Lithuania</v>
      </c>
      <c r="J247" s="15">
        <v>12</v>
      </c>
      <c r="K247" s="15" t="str">
        <f>IF(ClientDB[[#This Row],[Start Date]]&gt;=$U$14,"New","")</f>
        <v/>
      </c>
      <c r="L247" s="15" t="str">
        <f>IF(AND(ClientDB[[#This Row],[Start Year]]&lt;2016,ClientDB[[#This Row],[Events]]&gt;=6),"Gift","")</f>
        <v/>
      </c>
      <c r="M24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47" s="15">
        <v>3</v>
      </c>
      <c r="O247" s="32">
        <f>ClientDB[[#This Row],[Days]]*IF(ClientDB[[#This Row],[Days]]&gt;1,$V$8,$V$7)</f>
        <v>900</v>
      </c>
      <c r="P24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47" s="15" t="s">
        <v>901</v>
      </c>
      <c r="R247" s="15" t="str">
        <f>INDEX(seat_table,MATCH(ClientDB[[#This Row],[Country Code]],seat_country_code,0),MATCH(ClientDB[[#This Row],[Meal]],meal,0))</f>
        <v>F</v>
      </c>
    </row>
    <row r="248" spans="1:18" x14ac:dyDescent="0.25">
      <c r="A248" s="10">
        <v>29879</v>
      </c>
      <c r="B248" t="s">
        <v>427</v>
      </c>
      <c r="C248" t="s">
        <v>428</v>
      </c>
      <c r="D248" s="18">
        <v>42099</v>
      </c>
      <c r="E248" s="10">
        <f>YEAR(ClientDB[[#This Row],[Start Date]])</f>
        <v>2015</v>
      </c>
      <c r="F248" t="s">
        <v>812</v>
      </c>
      <c r="G248" t="str">
        <f>VLOOKUP(ClientDB[[#This Row],[Org Code]],organization_table[],2)</f>
        <v>Fzig Fibre</v>
      </c>
      <c r="H248" s="10" t="s">
        <v>59</v>
      </c>
      <c r="I248" s="10" t="str">
        <f>INDEX(Country,MATCH(ClientDB[[#This Row],[Country Code]],Country_Codes,0),1)</f>
        <v>Netherlands</v>
      </c>
      <c r="J248" s="15">
        <v>12</v>
      </c>
      <c r="K248" s="15" t="str">
        <f>IF(ClientDB[[#This Row],[Start Date]]&gt;=$U$14,"New","")</f>
        <v/>
      </c>
      <c r="L248" s="15" t="str">
        <f>IF(AND(ClientDB[[#This Row],[Start Year]]&lt;2016,ClientDB[[#This Row],[Events]]&gt;=6),"Gift","")</f>
        <v>Gift</v>
      </c>
      <c r="M24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48" s="15">
        <v>3</v>
      </c>
      <c r="O248" s="32">
        <f>ClientDB[[#This Row],[Days]]*IF(ClientDB[[#This Row],[Days]]&gt;1,$V$8,$V$7)</f>
        <v>900</v>
      </c>
      <c r="P24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48" s="15" t="s">
        <v>902</v>
      </c>
      <c r="R248" s="15" t="str">
        <f>INDEX(seat_table,MATCH(ClientDB[[#This Row],[Country Code]],seat_country_code,0),MATCH(ClientDB[[#This Row],[Meal]],meal,0))</f>
        <v>C</v>
      </c>
    </row>
    <row r="249" spans="1:18" x14ac:dyDescent="0.25">
      <c r="A249" s="10">
        <v>29924</v>
      </c>
      <c r="B249" t="s">
        <v>125</v>
      </c>
      <c r="C249" t="s">
        <v>126</v>
      </c>
      <c r="D249" s="18">
        <v>42346</v>
      </c>
      <c r="E249" s="10">
        <f>YEAR(ClientDB[[#This Row],[Start Date]])</f>
        <v>2015</v>
      </c>
      <c r="F249" t="s">
        <v>808</v>
      </c>
      <c r="G249" t="str">
        <f>VLOOKUP(ClientDB[[#This Row],[Org Code]],organization_table[],2)</f>
        <v>Ebony Telecoms</v>
      </c>
      <c r="H249" s="10" t="s">
        <v>34</v>
      </c>
      <c r="I249" s="10" t="str">
        <f>INDEX(Country,MATCH(ClientDB[[#This Row],[Country Code]],Country_Codes,0),1)</f>
        <v>United States</v>
      </c>
      <c r="J249" s="15">
        <v>6</v>
      </c>
      <c r="K249" s="15" t="str">
        <f>IF(ClientDB[[#This Row],[Start Date]]&gt;=$U$14,"New","")</f>
        <v/>
      </c>
      <c r="L249" s="15" t="str">
        <f>IF(AND(ClientDB[[#This Row],[Start Year]]&lt;2016,ClientDB[[#This Row],[Events]]&gt;=6),"Gift","")</f>
        <v>Gift</v>
      </c>
      <c r="M24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49" s="15">
        <v>2</v>
      </c>
      <c r="O249" s="32">
        <f>ClientDB[[#This Row],[Days]]*IF(ClientDB[[#This Row],[Days]]&gt;1,$V$8,$V$7)</f>
        <v>600</v>
      </c>
      <c r="P24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49" s="15" t="s">
        <v>902</v>
      </c>
      <c r="R249" s="15" t="str">
        <f>INDEX(seat_table,MATCH(ClientDB[[#This Row],[Country Code]],seat_country_code,0),MATCH(ClientDB[[#This Row],[Meal]],meal,0))</f>
        <v>F</v>
      </c>
    </row>
    <row r="250" spans="1:18" x14ac:dyDescent="0.25">
      <c r="A250" s="10">
        <v>30050</v>
      </c>
      <c r="B250" t="s">
        <v>764</v>
      </c>
      <c r="C250" t="s">
        <v>765</v>
      </c>
      <c r="D250" s="18">
        <v>42112</v>
      </c>
      <c r="E250" s="10">
        <f>YEAR(ClientDB[[#This Row],[Start Date]])</f>
        <v>2015</v>
      </c>
      <c r="F250" t="s">
        <v>824</v>
      </c>
      <c r="G250" t="str">
        <f>VLOOKUP(ClientDB[[#This Row],[Org Code]],organization_table[],2)</f>
        <v>Pink Cloud Networks</v>
      </c>
      <c r="H250" s="10" t="s">
        <v>155</v>
      </c>
      <c r="I250" s="10" t="str">
        <f>INDEX(Country,MATCH(ClientDB[[#This Row],[Country Code]],Country_Codes,0),1)</f>
        <v>United Arab Emirates</v>
      </c>
      <c r="J250" s="15">
        <v>16</v>
      </c>
      <c r="K250" s="15" t="str">
        <f>IF(ClientDB[[#This Row],[Start Date]]&gt;=$U$14,"New","")</f>
        <v/>
      </c>
      <c r="L250" s="15" t="str">
        <f>IF(AND(ClientDB[[#This Row],[Start Year]]&lt;2016,ClientDB[[#This Row],[Events]]&gt;=6),"Gift","")</f>
        <v>Gift</v>
      </c>
      <c r="M25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50" s="15">
        <v>3</v>
      </c>
      <c r="O250" s="32">
        <f>ClientDB[[#This Row],[Days]]*IF(ClientDB[[#This Row],[Days]]&gt;1,$V$8,$V$7)</f>
        <v>900</v>
      </c>
      <c r="P25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50" s="15" t="s">
        <v>901</v>
      </c>
      <c r="R250" s="15" t="str">
        <f>INDEX(seat_table,MATCH(ClientDB[[#This Row],[Country Code]],seat_country_code,0),MATCH(ClientDB[[#This Row],[Meal]],meal,0))</f>
        <v>D</v>
      </c>
    </row>
    <row r="251" spans="1:18" x14ac:dyDescent="0.25">
      <c r="A251" s="10">
        <v>30118</v>
      </c>
      <c r="B251" t="s">
        <v>257</v>
      </c>
      <c r="C251" t="s">
        <v>258</v>
      </c>
      <c r="D251" s="18">
        <v>43607</v>
      </c>
      <c r="E251" s="10">
        <f>YEAR(ClientDB[[#This Row],[Start Date]])</f>
        <v>2019</v>
      </c>
      <c r="F251" t="s">
        <v>830</v>
      </c>
      <c r="G251" t="str">
        <f>VLOOKUP(ClientDB[[#This Row],[Org Code]],organization_table[],2)</f>
        <v>Steps IT Training</v>
      </c>
      <c r="H251" s="10" t="s">
        <v>15</v>
      </c>
      <c r="I251" s="10" t="str">
        <f>INDEX(Country,MATCH(ClientDB[[#This Row],[Country Code]],Country_Codes,0),1)</f>
        <v>United Kingdom</v>
      </c>
      <c r="J251" s="15">
        <v>5</v>
      </c>
      <c r="K251" s="15" t="str">
        <f>IF(ClientDB[[#This Row],[Start Date]]&gt;=$U$14,"New","")</f>
        <v/>
      </c>
      <c r="L251" s="15" t="str">
        <f>IF(AND(ClientDB[[#This Row],[Start Year]]&lt;2016,ClientDB[[#This Row],[Events]]&gt;=6),"Gift","")</f>
        <v/>
      </c>
      <c r="M25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51" s="15">
        <v>2</v>
      </c>
      <c r="O251" s="32">
        <f>ClientDB[[#This Row],[Days]]*IF(ClientDB[[#This Row],[Days]]&gt;1,$V$8,$V$7)</f>
        <v>600</v>
      </c>
      <c r="P25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51" s="15" t="s">
        <v>899</v>
      </c>
      <c r="R251" s="15" t="str">
        <f>INDEX(seat_table,MATCH(ClientDB[[#This Row],[Country Code]],seat_country_code,0),MATCH(ClientDB[[#This Row],[Meal]],meal,0))</f>
        <v>A</v>
      </c>
    </row>
    <row r="252" spans="1:18" x14ac:dyDescent="0.25">
      <c r="A252" s="10">
        <v>30197</v>
      </c>
      <c r="B252" t="s">
        <v>717</v>
      </c>
      <c r="C252" t="s">
        <v>718</v>
      </c>
      <c r="D252" s="18">
        <v>43868</v>
      </c>
      <c r="E252" s="10">
        <f>YEAR(ClientDB[[#This Row],[Start Date]])</f>
        <v>2020</v>
      </c>
      <c r="F252" t="s">
        <v>827</v>
      </c>
      <c r="G252" t="str">
        <f>VLOOKUP(ClientDB[[#This Row],[Org Code]],organization_table[],2)</f>
        <v>Ripple Com</v>
      </c>
      <c r="H252" s="10" t="s">
        <v>15</v>
      </c>
      <c r="I252" s="10" t="str">
        <f>INDEX(Country,MATCH(ClientDB[[#This Row],[Country Code]],Country_Codes,0),1)</f>
        <v>United Kingdom</v>
      </c>
      <c r="J252" s="15">
        <v>2</v>
      </c>
      <c r="K252" s="15" t="str">
        <f>IF(ClientDB[[#This Row],[Start Date]]&gt;=$U$14,"New","")</f>
        <v>New</v>
      </c>
      <c r="L252" s="15" t="str">
        <f>IF(AND(ClientDB[[#This Row],[Start Year]]&lt;2016,ClientDB[[#This Row],[Events]]&gt;=6),"Gift","")</f>
        <v/>
      </c>
      <c r="M25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52" s="15">
        <v>2</v>
      </c>
      <c r="O252" s="32">
        <f>ClientDB[[#This Row],[Days]]*IF(ClientDB[[#This Row],[Days]]&gt;1,$V$8,$V$7)</f>
        <v>600</v>
      </c>
      <c r="P25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52" s="15" t="s">
        <v>900</v>
      </c>
      <c r="R252" s="15" t="str">
        <f>INDEX(seat_table,MATCH(ClientDB[[#This Row],[Country Code]],seat_country_code,0),MATCH(ClientDB[[#This Row],[Meal]],meal,0))</f>
        <v>A</v>
      </c>
    </row>
    <row r="253" spans="1:18" x14ac:dyDescent="0.25">
      <c r="A253" s="10">
        <v>30374</v>
      </c>
      <c r="B253" t="s">
        <v>503</v>
      </c>
      <c r="C253" t="s">
        <v>504</v>
      </c>
      <c r="D253" s="18">
        <v>42163</v>
      </c>
      <c r="E253" s="10">
        <f>YEAR(ClientDB[[#This Row],[Start Date]])</f>
        <v>2015</v>
      </c>
      <c r="F253" t="s">
        <v>829</v>
      </c>
      <c r="G253" t="str">
        <f>VLOOKUP(ClientDB[[#This Row],[Org Code]],organization_table[],2)</f>
        <v>Steps IT Training</v>
      </c>
      <c r="H253" s="10" t="s">
        <v>46</v>
      </c>
      <c r="I253" s="10" t="str">
        <f>INDEX(Country,MATCH(ClientDB[[#This Row],[Country Code]],Country_Codes,0),1)</f>
        <v>Germany</v>
      </c>
      <c r="J253" s="15">
        <v>12</v>
      </c>
      <c r="K253" s="15" t="str">
        <f>IF(ClientDB[[#This Row],[Start Date]]&gt;=$U$14,"New","")</f>
        <v/>
      </c>
      <c r="L253" s="15" t="str">
        <f>IF(AND(ClientDB[[#This Row],[Start Year]]&lt;2016,ClientDB[[#This Row],[Events]]&gt;=6),"Gift","")</f>
        <v>Gift</v>
      </c>
      <c r="M25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53" s="15">
        <v>1</v>
      </c>
      <c r="O253" s="32">
        <f>ClientDB[[#This Row],[Days]]*IF(ClientDB[[#This Row],[Days]]&gt;1,$V$8,$V$7)</f>
        <v>350</v>
      </c>
      <c r="P25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253" s="15" t="s">
        <v>901</v>
      </c>
      <c r="R253" s="15" t="str">
        <f>INDEX(seat_table,MATCH(ClientDB[[#This Row],[Country Code]],seat_country_code,0),MATCH(ClientDB[[#This Row],[Meal]],meal,0))</f>
        <v>D</v>
      </c>
    </row>
    <row r="254" spans="1:18" x14ac:dyDescent="0.25">
      <c r="A254" s="10">
        <v>30406</v>
      </c>
      <c r="B254" t="s">
        <v>659</v>
      </c>
      <c r="C254" t="s">
        <v>660</v>
      </c>
      <c r="D254" s="18">
        <v>42139</v>
      </c>
      <c r="E254" s="10">
        <f>YEAR(ClientDB[[#This Row],[Start Date]])</f>
        <v>2015</v>
      </c>
      <c r="F254" t="s">
        <v>827</v>
      </c>
      <c r="G254" t="str">
        <f>VLOOKUP(ClientDB[[#This Row],[Org Code]],organization_table[],2)</f>
        <v>Ripple Com</v>
      </c>
      <c r="H254" s="10" t="s">
        <v>15</v>
      </c>
      <c r="I254" s="10" t="str">
        <f>INDEX(Country,MATCH(ClientDB[[#This Row],[Country Code]],Country_Codes,0),1)</f>
        <v>United Kingdom</v>
      </c>
      <c r="J254" s="15">
        <v>9</v>
      </c>
      <c r="K254" s="15" t="str">
        <f>IF(ClientDB[[#This Row],[Start Date]]&gt;=$U$14,"New","")</f>
        <v/>
      </c>
      <c r="L254" s="15" t="str">
        <f>IF(AND(ClientDB[[#This Row],[Start Year]]&lt;2016,ClientDB[[#This Row],[Events]]&gt;=6),"Gift","")</f>
        <v>Gift</v>
      </c>
      <c r="M25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54" s="15">
        <v>3</v>
      </c>
      <c r="O254" s="32">
        <f>ClientDB[[#This Row],[Days]]*IF(ClientDB[[#This Row],[Days]]&gt;1,$V$8,$V$7)</f>
        <v>900</v>
      </c>
      <c r="P25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54" s="15" t="s">
        <v>901</v>
      </c>
      <c r="R254" s="15" t="str">
        <f>INDEX(seat_table,MATCH(ClientDB[[#This Row],[Country Code]],seat_country_code,0),MATCH(ClientDB[[#This Row],[Meal]],meal,0))</f>
        <v>E</v>
      </c>
    </row>
    <row r="255" spans="1:18" x14ac:dyDescent="0.25">
      <c r="A255" s="10">
        <v>30591</v>
      </c>
      <c r="B255" t="s">
        <v>359</v>
      </c>
      <c r="C255" t="s">
        <v>505</v>
      </c>
      <c r="D255" s="18">
        <v>43961</v>
      </c>
      <c r="E255" s="10">
        <f>YEAR(ClientDB[[#This Row],[Start Date]])</f>
        <v>2020</v>
      </c>
      <c r="F255" t="s">
        <v>811</v>
      </c>
      <c r="G255" t="str">
        <f>VLOOKUP(ClientDB[[#This Row],[Org Code]],organization_table[],2)</f>
        <v>Ebony Telecoms</v>
      </c>
      <c r="H255" s="10" t="s">
        <v>34</v>
      </c>
      <c r="I255" s="10" t="str">
        <f>INDEX(Country,MATCH(ClientDB[[#This Row],[Country Code]],Country_Codes,0),1)</f>
        <v>United States</v>
      </c>
      <c r="J255" s="15">
        <v>1</v>
      </c>
      <c r="K255" s="15" t="str">
        <f>IF(ClientDB[[#This Row],[Start Date]]&gt;=$U$14,"New","")</f>
        <v>New</v>
      </c>
      <c r="L255" s="15" t="str">
        <f>IF(AND(ClientDB[[#This Row],[Start Year]]&lt;2016,ClientDB[[#This Row],[Events]]&gt;=6),"Gift","")</f>
        <v/>
      </c>
      <c r="M25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55" s="15">
        <v>3</v>
      </c>
      <c r="O255" s="32">
        <f>ClientDB[[#This Row],[Days]]*IF(ClientDB[[#This Row],[Days]]&gt;1,$V$8,$V$7)</f>
        <v>900</v>
      </c>
      <c r="P25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55" s="15" t="s">
        <v>901</v>
      </c>
      <c r="R255" s="15" t="str">
        <f>INDEX(seat_table,MATCH(ClientDB[[#This Row],[Country Code]],seat_country_code,0),MATCH(ClientDB[[#This Row],[Meal]],meal,0))</f>
        <v>G</v>
      </c>
    </row>
    <row r="256" spans="1:18" x14ac:dyDescent="0.25">
      <c r="A256" s="10">
        <v>30681</v>
      </c>
      <c r="B256" t="s">
        <v>480</v>
      </c>
      <c r="C256" t="s">
        <v>481</v>
      </c>
      <c r="D256" s="18">
        <v>43377</v>
      </c>
      <c r="E256" s="10">
        <f>YEAR(ClientDB[[#This Row],[Start Date]])</f>
        <v>2018</v>
      </c>
      <c r="F256" t="s">
        <v>827</v>
      </c>
      <c r="G256" t="str">
        <f>VLOOKUP(ClientDB[[#This Row],[Org Code]],organization_table[],2)</f>
        <v>Ripple Com</v>
      </c>
      <c r="H256" s="10" t="s">
        <v>15</v>
      </c>
      <c r="I256" s="10" t="str">
        <f>INDEX(Country,MATCH(ClientDB[[#This Row],[Country Code]],Country_Codes,0),1)</f>
        <v>United Kingdom</v>
      </c>
      <c r="J256" s="15">
        <v>10</v>
      </c>
      <c r="K256" s="15" t="str">
        <f>IF(ClientDB[[#This Row],[Start Date]]&gt;=$U$14,"New","")</f>
        <v/>
      </c>
      <c r="L256" s="15" t="str">
        <f>IF(AND(ClientDB[[#This Row],[Start Year]]&lt;2016,ClientDB[[#This Row],[Events]]&gt;=6),"Gift","")</f>
        <v/>
      </c>
      <c r="M25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56" s="15">
        <v>3</v>
      </c>
      <c r="O256" s="32">
        <f>ClientDB[[#This Row],[Days]]*IF(ClientDB[[#This Row],[Days]]&gt;1,$V$8,$V$7)</f>
        <v>900</v>
      </c>
      <c r="P25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56" s="15" t="s">
        <v>901</v>
      </c>
      <c r="R256" s="15" t="str">
        <f>INDEX(seat_table,MATCH(ClientDB[[#This Row],[Country Code]],seat_country_code,0),MATCH(ClientDB[[#This Row],[Meal]],meal,0))</f>
        <v>E</v>
      </c>
    </row>
    <row r="257" spans="1:18" x14ac:dyDescent="0.25">
      <c r="A257" s="10">
        <v>30682</v>
      </c>
      <c r="B257" t="s">
        <v>193</v>
      </c>
      <c r="C257" t="s">
        <v>194</v>
      </c>
      <c r="D257" s="18">
        <v>42322</v>
      </c>
      <c r="E257" s="10">
        <f>YEAR(ClientDB[[#This Row],[Start Date]])</f>
        <v>2015</v>
      </c>
      <c r="F257" t="s">
        <v>808</v>
      </c>
      <c r="G257" t="str">
        <f>VLOOKUP(ClientDB[[#This Row],[Org Code]],organization_table[],2)</f>
        <v>Ebony Telecoms</v>
      </c>
      <c r="H257" s="10" t="s">
        <v>84</v>
      </c>
      <c r="I257" s="10" t="str">
        <f>INDEX(Country,MATCH(ClientDB[[#This Row],[Country Code]],Country_Codes,0),1)</f>
        <v>Norway</v>
      </c>
      <c r="J257" s="15">
        <v>17</v>
      </c>
      <c r="K257" s="15" t="str">
        <f>IF(ClientDB[[#This Row],[Start Date]]&gt;=$U$14,"New","")</f>
        <v/>
      </c>
      <c r="L257" s="15" t="str">
        <f>IF(AND(ClientDB[[#This Row],[Start Year]]&lt;2016,ClientDB[[#This Row],[Events]]&gt;=6),"Gift","")</f>
        <v>Gift</v>
      </c>
      <c r="M25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57" s="15">
        <v>2</v>
      </c>
      <c r="O257" s="32">
        <f>ClientDB[[#This Row],[Days]]*IF(ClientDB[[#This Row],[Days]]&gt;1,$V$8,$V$7)</f>
        <v>600</v>
      </c>
      <c r="P25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257" s="15" t="s">
        <v>901</v>
      </c>
      <c r="R257" s="15" t="str">
        <f>INDEX(seat_table,MATCH(ClientDB[[#This Row],[Country Code]],seat_country_code,0),MATCH(ClientDB[[#This Row],[Meal]],meal,0))</f>
        <v>F</v>
      </c>
    </row>
    <row r="258" spans="1:18" x14ac:dyDescent="0.25">
      <c r="A258" s="10">
        <v>30687</v>
      </c>
      <c r="B258" t="s">
        <v>210</v>
      </c>
      <c r="C258" t="s">
        <v>211</v>
      </c>
      <c r="D258" s="18">
        <v>42385</v>
      </c>
      <c r="E258" s="10">
        <f>YEAR(ClientDB[[#This Row],[Start Date]])</f>
        <v>2016</v>
      </c>
      <c r="F258" t="s">
        <v>796</v>
      </c>
      <c r="G258" t="str">
        <f>VLOOKUP(ClientDB[[#This Row],[Org Code]],organization_table[],2)</f>
        <v>Ares</v>
      </c>
      <c r="H258" s="10" t="s">
        <v>186</v>
      </c>
      <c r="I258" s="10" t="str">
        <f>INDEX(Country,MATCH(ClientDB[[#This Row],[Country Code]],Country_Codes,0),1)</f>
        <v>Slovenia</v>
      </c>
      <c r="J258" s="15">
        <v>11</v>
      </c>
      <c r="K258" s="15" t="str">
        <f>IF(ClientDB[[#This Row],[Start Date]]&gt;=$U$14,"New","")</f>
        <v/>
      </c>
      <c r="L258" s="15" t="str">
        <f>IF(AND(ClientDB[[#This Row],[Start Year]]&lt;2016,ClientDB[[#This Row],[Events]]&gt;=6),"Gift","")</f>
        <v/>
      </c>
      <c r="M25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58" s="15">
        <v>3</v>
      </c>
      <c r="O258" s="32">
        <f>ClientDB[[#This Row],[Days]]*IF(ClientDB[[#This Row],[Days]]&gt;1,$V$8,$V$7)</f>
        <v>900</v>
      </c>
      <c r="P25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58" s="15" t="s">
        <v>901</v>
      </c>
      <c r="R258" s="15" t="str">
        <f>INDEX(seat_table,MATCH(ClientDB[[#This Row],[Country Code]],seat_country_code,0),MATCH(ClientDB[[#This Row],[Meal]],meal,0))</f>
        <v>G</v>
      </c>
    </row>
    <row r="259" spans="1:18" x14ac:dyDescent="0.25">
      <c r="A259" s="10">
        <v>30741</v>
      </c>
      <c r="B259" t="s">
        <v>135</v>
      </c>
      <c r="C259" t="s">
        <v>599</v>
      </c>
      <c r="D259" s="18">
        <v>43179</v>
      </c>
      <c r="E259" s="10">
        <f>YEAR(ClientDB[[#This Row],[Start Date]])</f>
        <v>2018</v>
      </c>
      <c r="F259" t="s">
        <v>827</v>
      </c>
      <c r="G259" t="str">
        <f>VLOOKUP(ClientDB[[#This Row],[Org Code]],organization_table[],2)</f>
        <v>Ripple Com</v>
      </c>
      <c r="H259" s="10" t="s">
        <v>15</v>
      </c>
      <c r="I259" s="10" t="str">
        <f>INDEX(Country,MATCH(ClientDB[[#This Row],[Country Code]],Country_Codes,0),1)</f>
        <v>United Kingdom</v>
      </c>
      <c r="J259" s="15">
        <v>4</v>
      </c>
      <c r="K259" s="15" t="str">
        <f>IF(ClientDB[[#This Row],[Start Date]]&gt;=$U$14,"New","")</f>
        <v/>
      </c>
      <c r="L259" s="15" t="str">
        <f>IF(AND(ClientDB[[#This Row],[Start Year]]&lt;2016,ClientDB[[#This Row],[Events]]&gt;=6),"Gift","")</f>
        <v/>
      </c>
      <c r="M25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59" s="15">
        <v>2</v>
      </c>
      <c r="O259" s="32">
        <f>ClientDB[[#This Row],[Days]]*IF(ClientDB[[#This Row],[Days]]&gt;1,$V$8,$V$7)</f>
        <v>600</v>
      </c>
      <c r="P25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59" s="15" t="s">
        <v>902</v>
      </c>
      <c r="R259" s="15" t="str">
        <f>INDEX(seat_table,MATCH(ClientDB[[#This Row],[Country Code]],seat_country_code,0),MATCH(ClientDB[[#This Row],[Meal]],meal,0))</f>
        <v>B</v>
      </c>
    </row>
    <row r="260" spans="1:18" x14ac:dyDescent="0.25">
      <c r="A260" s="10">
        <v>30840</v>
      </c>
      <c r="B260" t="s">
        <v>89</v>
      </c>
      <c r="C260" t="s">
        <v>90</v>
      </c>
      <c r="D260" s="18">
        <v>43803</v>
      </c>
      <c r="E260" s="10">
        <f>YEAR(ClientDB[[#This Row],[Start Date]])</f>
        <v>2019</v>
      </c>
      <c r="F260" t="s">
        <v>827</v>
      </c>
      <c r="G260" t="str">
        <f>VLOOKUP(ClientDB[[#This Row],[Org Code]],organization_table[],2)</f>
        <v>Ripple Com</v>
      </c>
      <c r="H260" s="10" t="s">
        <v>15</v>
      </c>
      <c r="I260" s="10" t="str">
        <f>INDEX(Country,MATCH(ClientDB[[#This Row],[Country Code]],Country_Codes,0),1)</f>
        <v>United Kingdom</v>
      </c>
      <c r="J260" s="15">
        <v>3</v>
      </c>
      <c r="K260" s="15" t="str">
        <f>IF(ClientDB[[#This Row],[Start Date]]&gt;=$U$14,"New","")</f>
        <v/>
      </c>
      <c r="L260" s="15" t="str">
        <f>IF(AND(ClientDB[[#This Row],[Start Year]]&lt;2016,ClientDB[[#This Row],[Events]]&gt;=6),"Gift","")</f>
        <v/>
      </c>
      <c r="M26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60" s="15">
        <v>3</v>
      </c>
      <c r="O260" s="32">
        <f>ClientDB[[#This Row],[Days]]*IF(ClientDB[[#This Row],[Days]]&gt;1,$V$8,$V$7)</f>
        <v>900</v>
      </c>
      <c r="P26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60" s="15" t="s">
        <v>902</v>
      </c>
      <c r="R260" s="15" t="str">
        <f>INDEX(seat_table,MATCH(ClientDB[[#This Row],[Country Code]],seat_country_code,0),MATCH(ClientDB[[#This Row],[Meal]],meal,0))</f>
        <v>B</v>
      </c>
    </row>
    <row r="261" spans="1:18" x14ac:dyDescent="0.25">
      <c r="A261" s="10">
        <v>30863</v>
      </c>
      <c r="B261" t="s">
        <v>293</v>
      </c>
      <c r="C261" t="s">
        <v>294</v>
      </c>
      <c r="D261" s="18">
        <v>43430</v>
      </c>
      <c r="E261" s="10">
        <f>YEAR(ClientDB[[#This Row],[Start Date]])</f>
        <v>2018</v>
      </c>
      <c r="F261" t="s">
        <v>818</v>
      </c>
      <c r="G261" t="str">
        <f>VLOOKUP(ClientDB[[#This Row],[Org Code]],organization_table[],2)</f>
        <v>Mojbal</v>
      </c>
      <c r="H261" s="10" t="s">
        <v>46</v>
      </c>
      <c r="I261" s="10" t="str">
        <f>INDEX(Country,MATCH(ClientDB[[#This Row],[Country Code]],Country_Codes,0),1)</f>
        <v>Germany</v>
      </c>
      <c r="J261" s="15">
        <v>2</v>
      </c>
      <c r="K261" s="15" t="str">
        <f>IF(ClientDB[[#This Row],[Start Date]]&gt;=$U$14,"New","")</f>
        <v/>
      </c>
      <c r="L261" s="15" t="str">
        <f>IF(AND(ClientDB[[#This Row],[Start Year]]&lt;2016,ClientDB[[#This Row],[Events]]&gt;=6),"Gift","")</f>
        <v/>
      </c>
      <c r="M26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61" s="15">
        <v>3</v>
      </c>
      <c r="O261" s="32">
        <f>ClientDB[[#This Row],[Days]]*IF(ClientDB[[#This Row],[Days]]&gt;1,$V$8,$V$7)</f>
        <v>900</v>
      </c>
      <c r="P26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61" s="15" t="s">
        <v>900</v>
      </c>
      <c r="R261" s="15" t="str">
        <f>INDEX(seat_table,MATCH(ClientDB[[#This Row],[Country Code]],seat_country_code,0),MATCH(ClientDB[[#This Row],[Meal]],meal,0))</f>
        <v>A</v>
      </c>
    </row>
    <row r="262" spans="1:18" x14ac:dyDescent="0.25">
      <c r="A262" s="10">
        <v>30911</v>
      </c>
      <c r="B262" t="s">
        <v>79</v>
      </c>
      <c r="C262" t="s">
        <v>80</v>
      </c>
      <c r="D262" s="18">
        <v>43829</v>
      </c>
      <c r="E262" s="10">
        <f>YEAR(ClientDB[[#This Row],[Start Date]])</f>
        <v>2019</v>
      </c>
      <c r="F262" t="s">
        <v>826</v>
      </c>
      <c r="G262" t="str">
        <f>VLOOKUP(ClientDB[[#This Row],[Org Code]],organization_table[],2)</f>
        <v>Ripple Com</v>
      </c>
      <c r="H262" s="10" t="s">
        <v>15</v>
      </c>
      <c r="I262" s="10" t="str">
        <f>INDEX(Country,MATCH(ClientDB[[#This Row],[Country Code]],Country_Codes,0),1)</f>
        <v>United Kingdom</v>
      </c>
      <c r="J262" s="15">
        <v>3</v>
      </c>
      <c r="K262" s="15" t="str">
        <f>IF(ClientDB[[#This Row],[Start Date]]&gt;=$U$14,"New","")</f>
        <v/>
      </c>
      <c r="L262" s="15" t="str">
        <f>IF(AND(ClientDB[[#This Row],[Start Year]]&lt;2016,ClientDB[[#This Row],[Events]]&gt;=6),"Gift","")</f>
        <v/>
      </c>
      <c r="M26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62" s="15">
        <v>3</v>
      </c>
      <c r="O262" s="32">
        <f>ClientDB[[#This Row],[Days]]*IF(ClientDB[[#This Row],[Days]]&gt;1,$V$8,$V$7)</f>
        <v>900</v>
      </c>
      <c r="P26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62" s="15" t="s">
        <v>901</v>
      </c>
      <c r="R262" s="15" t="str">
        <f>INDEX(seat_table,MATCH(ClientDB[[#This Row],[Country Code]],seat_country_code,0),MATCH(ClientDB[[#This Row],[Meal]],meal,0))</f>
        <v>E</v>
      </c>
    </row>
    <row r="263" spans="1:18" x14ac:dyDescent="0.25">
      <c r="A263" s="10">
        <v>30978</v>
      </c>
      <c r="B263" t="s">
        <v>380</v>
      </c>
      <c r="C263" t="s">
        <v>381</v>
      </c>
      <c r="D263" s="18">
        <v>43878</v>
      </c>
      <c r="E263" s="10">
        <f>YEAR(ClientDB[[#This Row],[Start Date]])</f>
        <v>2020</v>
      </c>
      <c r="F263" t="s">
        <v>827</v>
      </c>
      <c r="G263" t="str">
        <f>VLOOKUP(ClientDB[[#This Row],[Org Code]],organization_table[],2)</f>
        <v>Ripple Com</v>
      </c>
      <c r="H263" s="10" t="s">
        <v>34</v>
      </c>
      <c r="I263" s="10" t="str">
        <f>INDEX(Country,MATCH(ClientDB[[#This Row],[Country Code]],Country_Codes,0),1)</f>
        <v>United States</v>
      </c>
      <c r="J263" s="15">
        <v>1</v>
      </c>
      <c r="K263" s="15" t="str">
        <f>IF(ClientDB[[#This Row],[Start Date]]&gt;=$U$14,"New","")</f>
        <v>New</v>
      </c>
      <c r="L263" s="15" t="str">
        <f>IF(AND(ClientDB[[#This Row],[Start Year]]&lt;2016,ClientDB[[#This Row],[Events]]&gt;=6),"Gift","")</f>
        <v/>
      </c>
      <c r="M26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63" s="15">
        <v>3</v>
      </c>
      <c r="O263" s="32">
        <f>ClientDB[[#This Row],[Days]]*IF(ClientDB[[#This Row],[Days]]&gt;1,$V$8,$V$7)</f>
        <v>900</v>
      </c>
      <c r="P26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63" s="15" t="s">
        <v>901</v>
      </c>
      <c r="R263" s="15" t="str">
        <f>INDEX(seat_table,MATCH(ClientDB[[#This Row],[Country Code]],seat_country_code,0),MATCH(ClientDB[[#This Row],[Meal]],meal,0))</f>
        <v>G</v>
      </c>
    </row>
    <row r="264" spans="1:18" x14ac:dyDescent="0.25">
      <c r="A264" s="10">
        <v>31071</v>
      </c>
      <c r="B264" t="s">
        <v>752</v>
      </c>
      <c r="C264" t="s">
        <v>753</v>
      </c>
      <c r="D264" s="18">
        <v>43887</v>
      </c>
      <c r="E264" s="10">
        <f>YEAR(ClientDB[[#This Row],[Start Date]])</f>
        <v>2020</v>
      </c>
      <c r="F264" t="s">
        <v>818</v>
      </c>
      <c r="G264" t="str">
        <f>VLOOKUP(ClientDB[[#This Row],[Org Code]],organization_table[],2)</f>
        <v>Mojbal</v>
      </c>
      <c r="H264" s="10" t="s">
        <v>46</v>
      </c>
      <c r="I264" s="10" t="str">
        <f>INDEX(Country,MATCH(ClientDB[[#This Row],[Country Code]],Country_Codes,0),1)</f>
        <v>Germany</v>
      </c>
      <c r="J264" s="15">
        <v>2</v>
      </c>
      <c r="K264" s="15" t="str">
        <f>IF(ClientDB[[#This Row],[Start Date]]&gt;=$U$14,"New","")</f>
        <v>New</v>
      </c>
      <c r="L264" s="15" t="str">
        <f>IF(AND(ClientDB[[#This Row],[Start Year]]&lt;2016,ClientDB[[#This Row],[Events]]&gt;=6),"Gift","")</f>
        <v/>
      </c>
      <c r="M26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64" s="15">
        <v>1</v>
      </c>
      <c r="O264" s="32">
        <f>ClientDB[[#This Row],[Days]]*IF(ClientDB[[#This Row],[Days]]&gt;1,$V$8,$V$7)</f>
        <v>350</v>
      </c>
      <c r="P26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64" s="15" t="s">
        <v>901</v>
      </c>
      <c r="R264" s="15" t="str">
        <f>INDEX(seat_table,MATCH(ClientDB[[#This Row],[Country Code]],seat_country_code,0),MATCH(ClientDB[[#This Row],[Meal]],meal,0))</f>
        <v>D</v>
      </c>
    </row>
    <row r="265" spans="1:18" x14ac:dyDescent="0.25">
      <c r="A265" s="10">
        <v>31145</v>
      </c>
      <c r="B265" t="s">
        <v>556</v>
      </c>
      <c r="C265" t="s">
        <v>458</v>
      </c>
      <c r="D265" s="18">
        <v>43966</v>
      </c>
      <c r="E265" s="10">
        <f>YEAR(ClientDB[[#This Row],[Start Date]])</f>
        <v>2020</v>
      </c>
      <c r="F265" t="s">
        <v>835</v>
      </c>
      <c r="G265" t="str">
        <f>VLOOKUP(ClientDB[[#This Row],[Org Code]],organization_table[],2)</f>
        <v>WWT</v>
      </c>
      <c r="H265" s="10" t="s">
        <v>15</v>
      </c>
      <c r="I265" s="10" t="str">
        <f>INDEX(Country,MATCH(ClientDB[[#This Row],[Country Code]],Country_Codes,0),1)</f>
        <v>United Kingdom</v>
      </c>
      <c r="J265" s="15">
        <v>1</v>
      </c>
      <c r="K265" s="15" t="str">
        <f>IF(ClientDB[[#This Row],[Start Date]]&gt;=$U$14,"New","")</f>
        <v>New</v>
      </c>
      <c r="L265" s="15" t="str">
        <f>IF(AND(ClientDB[[#This Row],[Start Year]]&lt;2016,ClientDB[[#This Row],[Events]]&gt;=6),"Gift","")</f>
        <v/>
      </c>
      <c r="M26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65" s="15">
        <v>1</v>
      </c>
      <c r="O265" s="32">
        <f>ClientDB[[#This Row],[Days]]*IF(ClientDB[[#This Row],[Days]]&gt;1,$V$8,$V$7)</f>
        <v>350</v>
      </c>
      <c r="P26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65" s="15" t="s">
        <v>900</v>
      </c>
      <c r="R265" s="15" t="str">
        <f>INDEX(seat_table,MATCH(ClientDB[[#This Row],[Country Code]],seat_country_code,0),MATCH(ClientDB[[#This Row],[Meal]],meal,0))</f>
        <v>A</v>
      </c>
    </row>
    <row r="266" spans="1:18" x14ac:dyDescent="0.25">
      <c r="A266" s="10">
        <v>31204</v>
      </c>
      <c r="B266" t="s">
        <v>368</v>
      </c>
      <c r="C266" t="s">
        <v>369</v>
      </c>
      <c r="D266" s="18">
        <v>42533</v>
      </c>
      <c r="E266" s="10">
        <f>YEAR(ClientDB[[#This Row],[Start Date]])</f>
        <v>2016</v>
      </c>
      <c r="F266" t="s">
        <v>807</v>
      </c>
      <c r="G266" t="str">
        <f>VLOOKUP(ClientDB[[#This Row],[Org Code]],organization_table[],2)</f>
        <v>Duet</v>
      </c>
      <c r="H266" s="10" t="s">
        <v>155</v>
      </c>
      <c r="I266" s="10" t="str">
        <f>INDEX(Country,MATCH(ClientDB[[#This Row],[Country Code]],Country_Codes,0),1)</f>
        <v>United Arab Emirates</v>
      </c>
      <c r="J266" s="15">
        <v>20</v>
      </c>
      <c r="K266" s="15" t="str">
        <f>IF(ClientDB[[#This Row],[Start Date]]&gt;=$U$14,"New","")</f>
        <v/>
      </c>
      <c r="L266" s="15" t="str">
        <f>IF(AND(ClientDB[[#This Row],[Start Year]]&lt;2016,ClientDB[[#This Row],[Events]]&gt;=6),"Gift","")</f>
        <v/>
      </c>
      <c r="M26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266" s="15">
        <v>2</v>
      </c>
      <c r="O266" s="32">
        <f>ClientDB[[#This Row],[Days]]*IF(ClientDB[[#This Row],[Days]]&gt;1,$V$8,$V$7)</f>
        <v>600</v>
      </c>
      <c r="P26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266" s="15" t="s">
        <v>899</v>
      </c>
      <c r="R266" s="15" t="str">
        <f>INDEX(seat_table,MATCH(ClientDB[[#This Row],[Country Code]],seat_country_code,0),MATCH(ClientDB[[#This Row],[Meal]],meal,0))</f>
        <v>A</v>
      </c>
    </row>
    <row r="267" spans="1:18" x14ac:dyDescent="0.25">
      <c r="A267" s="10">
        <v>31314</v>
      </c>
      <c r="B267" t="s">
        <v>695</v>
      </c>
      <c r="C267" t="s">
        <v>696</v>
      </c>
      <c r="D267" s="18">
        <v>43374</v>
      </c>
      <c r="E267" s="10">
        <f>YEAR(ClientDB[[#This Row],[Start Date]])</f>
        <v>2018</v>
      </c>
      <c r="F267" t="s">
        <v>818</v>
      </c>
      <c r="G267" t="str">
        <f>VLOOKUP(ClientDB[[#This Row],[Org Code]],organization_table[],2)</f>
        <v>Mojbal</v>
      </c>
      <c r="H267" s="10" t="s">
        <v>34</v>
      </c>
      <c r="I267" s="10" t="str">
        <f>INDEX(Country,MATCH(ClientDB[[#This Row],[Country Code]],Country_Codes,0),1)</f>
        <v>United States</v>
      </c>
      <c r="J267" s="15">
        <v>12</v>
      </c>
      <c r="K267" s="15" t="str">
        <f>IF(ClientDB[[#This Row],[Start Date]]&gt;=$U$14,"New","")</f>
        <v/>
      </c>
      <c r="L267" s="15" t="str">
        <f>IF(AND(ClientDB[[#This Row],[Start Year]]&lt;2016,ClientDB[[#This Row],[Events]]&gt;=6),"Gift","")</f>
        <v/>
      </c>
      <c r="M26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67" s="15">
        <v>3</v>
      </c>
      <c r="O267" s="32">
        <f>ClientDB[[#This Row],[Days]]*IF(ClientDB[[#This Row],[Days]]&gt;1,$V$8,$V$7)</f>
        <v>900</v>
      </c>
      <c r="P26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67" s="15" t="s">
        <v>901</v>
      </c>
      <c r="R267" s="15" t="str">
        <f>INDEX(seat_table,MATCH(ClientDB[[#This Row],[Country Code]],seat_country_code,0),MATCH(ClientDB[[#This Row],[Meal]],meal,0))</f>
        <v>G</v>
      </c>
    </row>
    <row r="268" spans="1:18" x14ac:dyDescent="0.25">
      <c r="A268" s="10">
        <v>31330</v>
      </c>
      <c r="B268" t="s">
        <v>353</v>
      </c>
      <c r="C268" t="s">
        <v>354</v>
      </c>
      <c r="D268" s="18">
        <v>42732</v>
      </c>
      <c r="E268" s="10">
        <f>YEAR(ClientDB[[#This Row],[Start Date]])</f>
        <v>2016</v>
      </c>
      <c r="F268" t="s">
        <v>802</v>
      </c>
      <c r="G268" t="str">
        <f>VLOOKUP(ClientDB[[#This Row],[Org Code]],organization_table[],2)</f>
        <v>Colot</v>
      </c>
      <c r="H268" s="10" t="s">
        <v>203</v>
      </c>
      <c r="I268" s="10" t="str">
        <f>INDEX(Country,MATCH(ClientDB[[#This Row],[Country Code]],Country_Codes,0),1)</f>
        <v>Uganda</v>
      </c>
      <c r="J268" s="15">
        <v>1</v>
      </c>
      <c r="K268" s="15" t="str">
        <f>IF(ClientDB[[#This Row],[Start Date]]&gt;=$U$14,"New","")</f>
        <v/>
      </c>
      <c r="L268" s="15" t="str">
        <f>IF(AND(ClientDB[[#This Row],[Start Year]]&lt;2016,ClientDB[[#This Row],[Events]]&gt;=6),"Gift","")</f>
        <v/>
      </c>
      <c r="M26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68" s="15">
        <v>3</v>
      </c>
      <c r="O268" s="32">
        <f>ClientDB[[#This Row],[Days]]*IF(ClientDB[[#This Row],[Days]]&gt;1,$V$8,$V$7)</f>
        <v>900</v>
      </c>
      <c r="P26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68" s="15" t="s">
        <v>900</v>
      </c>
      <c r="R268" s="15" t="str">
        <f>INDEX(seat_table,MATCH(ClientDB[[#This Row],[Country Code]],seat_country_code,0),MATCH(ClientDB[[#This Row],[Meal]],meal,0))</f>
        <v>C</v>
      </c>
    </row>
    <row r="269" spans="1:18" x14ac:dyDescent="0.25">
      <c r="A269" s="10">
        <v>31376</v>
      </c>
      <c r="B269" t="s">
        <v>315</v>
      </c>
      <c r="C269" t="s">
        <v>316</v>
      </c>
      <c r="D269" s="18">
        <v>43758</v>
      </c>
      <c r="E269" s="10">
        <f>YEAR(ClientDB[[#This Row],[Start Date]])</f>
        <v>2019</v>
      </c>
      <c r="F269" t="s">
        <v>831</v>
      </c>
      <c r="G269" t="str">
        <f>VLOOKUP(ClientDB[[#This Row],[Org Code]],organization_table[],2)</f>
        <v>TatSan</v>
      </c>
      <c r="H269" s="10" t="s">
        <v>311</v>
      </c>
      <c r="I269" s="10" t="str">
        <f>INDEX(Country,MATCH(ClientDB[[#This Row],[Country Code]],Country_Codes,0),1)</f>
        <v>France</v>
      </c>
      <c r="J269" s="15">
        <v>4</v>
      </c>
      <c r="K269" s="15" t="str">
        <f>IF(ClientDB[[#This Row],[Start Date]]&gt;=$U$14,"New","")</f>
        <v/>
      </c>
      <c r="L269" s="15" t="str">
        <f>IF(AND(ClientDB[[#This Row],[Start Year]]&lt;2016,ClientDB[[#This Row],[Events]]&gt;=6),"Gift","")</f>
        <v/>
      </c>
      <c r="M26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69" s="15">
        <v>3</v>
      </c>
      <c r="O269" s="32">
        <f>ClientDB[[#This Row],[Days]]*IF(ClientDB[[#This Row],[Days]]&gt;1,$V$8,$V$7)</f>
        <v>900</v>
      </c>
      <c r="P26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69" s="15" t="s">
        <v>901</v>
      </c>
      <c r="R269" s="15" t="str">
        <f>INDEX(seat_table,MATCH(ClientDB[[#This Row],[Country Code]],seat_country_code,0),MATCH(ClientDB[[#This Row],[Meal]],meal,0))</f>
        <v>D</v>
      </c>
    </row>
    <row r="270" spans="1:18" x14ac:dyDescent="0.25">
      <c r="A270" s="10">
        <v>31522</v>
      </c>
      <c r="B270" t="s">
        <v>458</v>
      </c>
      <c r="C270" t="s">
        <v>522</v>
      </c>
      <c r="D270" s="18">
        <v>42898</v>
      </c>
      <c r="E270" s="10">
        <f>YEAR(ClientDB[[#This Row],[Start Date]])</f>
        <v>2017</v>
      </c>
      <c r="F270" t="s">
        <v>807</v>
      </c>
      <c r="G270" t="str">
        <f>VLOOKUP(ClientDB[[#This Row],[Org Code]],organization_table[],2)</f>
        <v>Duet</v>
      </c>
      <c r="H270" s="10" t="s">
        <v>155</v>
      </c>
      <c r="I270" s="10" t="str">
        <f>INDEX(Country,MATCH(ClientDB[[#This Row],[Country Code]],Country_Codes,0),1)</f>
        <v>United Arab Emirates</v>
      </c>
      <c r="J270" s="15">
        <v>3</v>
      </c>
      <c r="K270" s="15" t="str">
        <f>IF(ClientDB[[#This Row],[Start Date]]&gt;=$U$14,"New","")</f>
        <v/>
      </c>
      <c r="L270" s="15" t="str">
        <f>IF(AND(ClientDB[[#This Row],[Start Year]]&lt;2016,ClientDB[[#This Row],[Events]]&gt;=6),"Gift","")</f>
        <v/>
      </c>
      <c r="M27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0" s="15">
        <v>3</v>
      </c>
      <c r="O270" s="32">
        <f>ClientDB[[#This Row],[Days]]*IF(ClientDB[[#This Row],[Days]]&gt;1,$V$8,$V$7)</f>
        <v>900</v>
      </c>
      <c r="P27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70" s="15" t="s">
        <v>902</v>
      </c>
      <c r="R270" s="15" t="str">
        <f>INDEX(seat_table,MATCH(ClientDB[[#This Row],[Country Code]],seat_country_code,0),MATCH(ClientDB[[#This Row],[Meal]],meal,0))</f>
        <v>B</v>
      </c>
    </row>
    <row r="271" spans="1:18" x14ac:dyDescent="0.25">
      <c r="A271" s="10">
        <v>31585</v>
      </c>
      <c r="B271" t="s">
        <v>187</v>
      </c>
      <c r="C271" t="s">
        <v>188</v>
      </c>
      <c r="D271" s="18">
        <v>42561</v>
      </c>
      <c r="E271" s="10">
        <f>YEAR(ClientDB[[#This Row],[Start Date]])</f>
        <v>2016</v>
      </c>
      <c r="F271" t="s">
        <v>799</v>
      </c>
      <c r="G271" t="str">
        <f>VLOOKUP(ClientDB[[#This Row],[Org Code]],organization_table[],2)</f>
        <v>ByteSize</v>
      </c>
      <c r="H271" s="10" t="s">
        <v>38</v>
      </c>
      <c r="I271" s="10" t="str">
        <f>INDEX(Country,MATCH(ClientDB[[#This Row],[Country Code]],Country_Codes,0),1)</f>
        <v>Czech Republic</v>
      </c>
      <c r="J271" s="15">
        <v>16</v>
      </c>
      <c r="K271" s="15" t="str">
        <f>IF(ClientDB[[#This Row],[Start Date]]&gt;=$U$14,"New","")</f>
        <v/>
      </c>
      <c r="L271" s="15" t="str">
        <f>IF(AND(ClientDB[[#This Row],[Start Year]]&lt;2016,ClientDB[[#This Row],[Events]]&gt;=6),"Gift","")</f>
        <v/>
      </c>
      <c r="M27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71" s="15">
        <v>2</v>
      </c>
      <c r="O271" s="32">
        <f>ClientDB[[#This Row],[Days]]*IF(ClientDB[[#This Row],[Days]]&gt;1,$V$8,$V$7)</f>
        <v>600</v>
      </c>
      <c r="P27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271" s="15" t="s">
        <v>901</v>
      </c>
      <c r="R271" s="15" t="str">
        <f>INDEX(seat_table,MATCH(ClientDB[[#This Row],[Country Code]],seat_country_code,0),MATCH(ClientDB[[#This Row],[Meal]],meal,0))</f>
        <v>D</v>
      </c>
    </row>
    <row r="272" spans="1:18" x14ac:dyDescent="0.25">
      <c r="A272" s="10">
        <v>31657</v>
      </c>
      <c r="B272" t="s">
        <v>147</v>
      </c>
      <c r="C272" t="s">
        <v>148</v>
      </c>
      <c r="D272" s="18">
        <v>42830</v>
      </c>
      <c r="E272" s="10">
        <f>YEAR(ClientDB[[#This Row],[Start Date]])</f>
        <v>2017</v>
      </c>
      <c r="F272" t="s">
        <v>803</v>
      </c>
      <c r="G272" t="str">
        <f>VLOOKUP(ClientDB[[#This Row],[Org Code]],organization_table[],2)</f>
        <v>Colot</v>
      </c>
      <c r="H272" s="10" t="s">
        <v>11</v>
      </c>
      <c r="I272" s="10" t="str">
        <f>INDEX(Country,MATCH(ClientDB[[#This Row],[Country Code]],Country_Codes,0),1)</f>
        <v>Austria</v>
      </c>
      <c r="J272" s="15">
        <v>3</v>
      </c>
      <c r="K272" s="15" t="str">
        <f>IF(ClientDB[[#This Row],[Start Date]]&gt;=$U$14,"New","")</f>
        <v/>
      </c>
      <c r="L272" s="15" t="str">
        <f>IF(AND(ClientDB[[#This Row],[Start Year]]&lt;2016,ClientDB[[#This Row],[Events]]&gt;=6),"Gift","")</f>
        <v/>
      </c>
      <c r="M27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2" s="15">
        <v>2</v>
      </c>
      <c r="O272" s="32">
        <f>ClientDB[[#This Row],[Days]]*IF(ClientDB[[#This Row],[Days]]&gt;1,$V$8,$V$7)</f>
        <v>600</v>
      </c>
      <c r="P27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72" s="15" t="s">
        <v>901</v>
      </c>
      <c r="R272" s="15" t="str">
        <f>INDEX(seat_table,MATCH(ClientDB[[#This Row],[Country Code]],seat_country_code,0),MATCH(ClientDB[[#This Row],[Meal]],meal,0))</f>
        <v>D</v>
      </c>
    </row>
    <row r="273" spans="1:18" x14ac:dyDescent="0.25">
      <c r="A273" s="10">
        <v>31724</v>
      </c>
      <c r="B273" t="s">
        <v>713</v>
      </c>
      <c r="C273" t="s">
        <v>714</v>
      </c>
      <c r="D273" s="18">
        <v>42824</v>
      </c>
      <c r="E273" s="10">
        <f>YEAR(ClientDB[[#This Row],[Start Date]])</f>
        <v>2017</v>
      </c>
      <c r="F273" t="s">
        <v>820</v>
      </c>
      <c r="G273" t="str">
        <f>VLOOKUP(ClientDB[[#This Row],[Org Code]],organization_table[],2)</f>
        <v>Oglev</v>
      </c>
      <c r="H273" s="10" t="s">
        <v>239</v>
      </c>
      <c r="I273" s="10" t="str">
        <f>INDEX(Country,MATCH(ClientDB[[#This Row],[Country Code]],Country_Codes,0),1)</f>
        <v>Switzerland</v>
      </c>
      <c r="J273" s="15">
        <v>2</v>
      </c>
      <c r="K273" s="15" t="str">
        <f>IF(ClientDB[[#This Row],[Start Date]]&gt;=$U$14,"New","")</f>
        <v/>
      </c>
      <c r="L273" s="15" t="str">
        <f>IF(AND(ClientDB[[#This Row],[Start Year]]&lt;2016,ClientDB[[#This Row],[Events]]&gt;=6),"Gift","")</f>
        <v/>
      </c>
      <c r="M27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3" s="15">
        <v>3</v>
      </c>
      <c r="O273" s="32">
        <f>ClientDB[[#This Row],[Days]]*IF(ClientDB[[#This Row],[Days]]&gt;1,$V$8,$V$7)</f>
        <v>900</v>
      </c>
      <c r="P27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73" s="15" t="s">
        <v>901</v>
      </c>
      <c r="R273" s="15" t="str">
        <f>INDEX(seat_table,MATCH(ClientDB[[#This Row],[Country Code]],seat_country_code,0),MATCH(ClientDB[[#This Row],[Meal]],meal,0))</f>
        <v>D</v>
      </c>
    </row>
    <row r="274" spans="1:18" x14ac:dyDescent="0.25">
      <c r="A274" s="10">
        <v>31774</v>
      </c>
      <c r="B274" t="s">
        <v>422</v>
      </c>
      <c r="C274" t="s">
        <v>605</v>
      </c>
      <c r="D274" s="18">
        <v>42302</v>
      </c>
      <c r="E274" s="10">
        <f>YEAR(ClientDB[[#This Row],[Start Date]])</f>
        <v>2015</v>
      </c>
      <c r="F274" t="s">
        <v>827</v>
      </c>
      <c r="G274" t="str">
        <f>VLOOKUP(ClientDB[[#This Row],[Org Code]],organization_table[],2)</f>
        <v>Ripple Com</v>
      </c>
      <c r="H274" s="10" t="s">
        <v>15</v>
      </c>
      <c r="I274" s="10" t="str">
        <f>INDEX(Country,MATCH(ClientDB[[#This Row],[Country Code]],Country_Codes,0),1)</f>
        <v>United Kingdom</v>
      </c>
      <c r="J274" s="15">
        <v>1</v>
      </c>
      <c r="K274" s="15" t="str">
        <f>IF(ClientDB[[#This Row],[Start Date]]&gt;=$U$14,"New","")</f>
        <v/>
      </c>
      <c r="L274" s="15" t="str">
        <f>IF(AND(ClientDB[[#This Row],[Start Year]]&lt;2016,ClientDB[[#This Row],[Events]]&gt;=6),"Gift","")</f>
        <v/>
      </c>
      <c r="M27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4" s="15">
        <v>2</v>
      </c>
      <c r="O274" s="32">
        <f>ClientDB[[#This Row],[Days]]*IF(ClientDB[[#This Row],[Days]]&gt;1,$V$8,$V$7)</f>
        <v>600</v>
      </c>
      <c r="P27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74" s="15" t="s">
        <v>901</v>
      </c>
      <c r="R274" s="15" t="str">
        <f>INDEX(seat_table,MATCH(ClientDB[[#This Row],[Country Code]],seat_country_code,0),MATCH(ClientDB[[#This Row],[Meal]],meal,0))</f>
        <v>E</v>
      </c>
    </row>
    <row r="275" spans="1:18" x14ac:dyDescent="0.25">
      <c r="A275" s="10">
        <v>31955</v>
      </c>
      <c r="B275" t="s">
        <v>443</v>
      </c>
      <c r="C275" t="s">
        <v>444</v>
      </c>
      <c r="D275" s="18">
        <v>42465</v>
      </c>
      <c r="E275" s="10">
        <f>YEAR(ClientDB[[#This Row],[Start Date]])</f>
        <v>2016</v>
      </c>
      <c r="F275" t="s">
        <v>798</v>
      </c>
      <c r="G275" t="str">
        <f>VLOOKUP(ClientDB[[#This Row],[Org Code]],organization_table[],2)</f>
        <v>Axell Group</v>
      </c>
      <c r="H275" s="10" t="s">
        <v>146</v>
      </c>
      <c r="I275" s="10" t="str">
        <f>INDEX(Country,MATCH(ClientDB[[#This Row],[Country Code]],Country_Codes,0),1)</f>
        <v>Russia</v>
      </c>
      <c r="J275" s="15">
        <v>9</v>
      </c>
      <c r="K275" s="15" t="str">
        <f>IF(ClientDB[[#This Row],[Start Date]]&gt;=$U$14,"New","")</f>
        <v/>
      </c>
      <c r="L275" s="15" t="str">
        <f>IF(AND(ClientDB[[#This Row],[Start Year]]&lt;2016,ClientDB[[#This Row],[Events]]&gt;=6),"Gift","")</f>
        <v/>
      </c>
      <c r="M27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5" s="15">
        <v>3</v>
      </c>
      <c r="O275" s="32">
        <f>ClientDB[[#This Row],[Days]]*IF(ClientDB[[#This Row],[Days]]&gt;1,$V$8,$V$7)</f>
        <v>900</v>
      </c>
      <c r="P27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75" s="15" t="s">
        <v>902</v>
      </c>
      <c r="R275" s="15" t="str">
        <f>INDEX(seat_table,MATCH(ClientDB[[#This Row],[Country Code]],seat_country_code,0),MATCH(ClientDB[[#This Row],[Meal]],meal,0))</f>
        <v>C</v>
      </c>
    </row>
    <row r="276" spans="1:18" x14ac:dyDescent="0.25">
      <c r="A276" s="10">
        <v>31981</v>
      </c>
      <c r="B276" t="s">
        <v>182</v>
      </c>
      <c r="C276" t="s">
        <v>183</v>
      </c>
      <c r="D276" s="18">
        <v>43617</v>
      </c>
      <c r="E276" s="10">
        <f>YEAR(ClientDB[[#This Row],[Start Date]])</f>
        <v>2019</v>
      </c>
      <c r="F276" t="s">
        <v>795</v>
      </c>
      <c r="G276" t="str">
        <f>VLOOKUP(ClientDB[[#This Row],[Org Code]],organization_table[],2)</f>
        <v>AHA Networks</v>
      </c>
      <c r="H276" s="10" t="s">
        <v>26</v>
      </c>
      <c r="I276" s="10" t="str">
        <f>INDEX(Country,MATCH(ClientDB[[#This Row],[Country Code]],Country_Codes,0),1)</f>
        <v>Ukraine</v>
      </c>
      <c r="J276" s="15">
        <v>6</v>
      </c>
      <c r="K276" s="15" t="str">
        <f>IF(ClientDB[[#This Row],[Start Date]]&gt;=$U$14,"New","")</f>
        <v/>
      </c>
      <c r="L276" s="15" t="str">
        <f>IF(AND(ClientDB[[#This Row],[Start Year]]&lt;2016,ClientDB[[#This Row],[Events]]&gt;=6),"Gift","")</f>
        <v/>
      </c>
      <c r="M27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6" s="15">
        <v>1</v>
      </c>
      <c r="O276" s="32">
        <f>ClientDB[[#This Row],[Days]]*IF(ClientDB[[#This Row],[Days]]&gt;1,$V$8,$V$7)</f>
        <v>350</v>
      </c>
      <c r="P27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76" s="15" t="s">
        <v>899</v>
      </c>
      <c r="R276" s="15" t="str">
        <f>INDEX(seat_table,MATCH(ClientDB[[#This Row],[Country Code]],seat_country_code,0),MATCH(ClientDB[[#This Row],[Meal]],meal,0))</f>
        <v>B</v>
      </c>
    </row>
    <row r="277" spans="1:18" x14ac:dyDescent="0.25">
      <c r="A277" s="10">
        <v>32133</v>
      </c>
      <c r="B277" t="s">
        <v>300</v>
      </c>
      <c r="C277" t="s">
        <v>301</v>
      </c>
      <c r="D277" s="18">
        <v>42828</v>
      </c>
      <c r="E277" s="10">
        <f>YEAR(ClientDB[[#This Row],[Start Date]])</f>
        <v>2017</v>
      </c>
      <c r="F277" t="s">
        <v>816</v>
      </c>
      <c r="G277" t="str">
        <f>VLOOKUP(ClientDB[[#This Row],[Org Code]],organization_table[],2)</f>
        <v>HeatProof</v>
      </c>
      <c r="H277" s="10" t="s">
        <v>302</v>
      </c>
      <c r="I277" s="10" t="str">
        <f>INDEX(Country,MATCH(ClientDB[[#This Row],[Country Code]],Country_Codes,0),1)</f>
        <v>Kuwait</v>
      </c>
      <c r="J277" s="15">
        <v>1</v>
      </c>
      <c r="K277" s="15" t="str">
        <f>IF(ClientDB[[#This Row],[Start Date]]&gt;=$U$14,"New","")</f>
        <v/>
      </c>
      <c r="L277" s="15" t="str">
        <f>IF(AND(ClientDB[[#This Row],[Start Year]]&lt;2016,ClientDB[[#This Row],[Events]]&gt;=6),"Gift","")</f>
        <v/>
      </c>
      <c r="M27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7" s="15">
        <v>3</v>
      </c>
      <c r="O277" s="32">
        <f>ClientDB[[#This Row],[Days]]*IF(ClientDB[[#This Row],[Days]]&gt;1,$V$8,$V$7)</f>
        <v>900</v>
      </c>
      <c r="P27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77" s="15" t="s">
        <v>901</v>
      </c>
      <c r="R277" s="15" t="str">
        <f>INDEX(seat_table,MATCH(ClientDB[[#This Row],[Country Code]],seat_country_code,0),MATCH(ClientDB[[#This Row],[Meal]],meal,0))</f>
        <v>F</v>
      </c>
    </row>
    <row r="278" spans="1:18" x14ac:dyDescent="0.25">
      <c r="A278" s="10">
        <v>32255</v>
      </c>
      <c r="B278" t="s">
        <v>649</v>
      </c>
      <c r="C278" t="s">
        <v>688</v>
      </c>
      <c r="D278" s="18">
        <v>42608</v>
      </c>
      <c r="E278" s="10">
        <f>YEAR(ClientDB[[#This Row],[Start Date]])</f>
        <v>2016</v>
      </c>
      <c r="F278" t="s">
        <v>812</v>
      </c>
      <c r="G278" t="str">
        <f>VLOOKUP(ClientDB[[#This Row],[Org Code]],organization_table[],2)</f>
        <v>Fzig Fibre</v>
      </c>
      <c r="H278" s="10" t="s">
        <v>658</v>
      </c>
      <c r="I278" s="10" t="str">
        <f>INDEX(Country,MATCH(ClientDB[[#This Row],[Country Code]],Country_Codes,0),1)</f>
        <v>Denmark</v>
      </c>
      <c r="J278" s="15">
        <v>2</v>
      </c>
      <c r="K278" s="15" t="str">
        <f>IF(ClientDB[[#This Row],[Start Date]]&gt;=$U$14,"New","")</f>
        <v/>
      </c>
      <c r="L278" s="15" t="str">
        <f>IF(AND(ClientDB[[#This Row],[Start Year]]&lt;2016,ClientDB[[#This Row],[Events]]&gt;=6),"Gift","")</f>
        <v/>
      </c>
      <c r="M27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8" s="15">
        <v>2</v>
      </c>
      <c r="O278" s="32">
        <f>ClientDB[[#This Row],[Days]]*IF(ClientDB[[#This Row],[Days]]&gt;1,$V$8,$V$7)</f>
        <v>600</v>
      </c>
      <c r="P27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78" s="15" t="s">
        <v>899</v>
      </c>
      <c r="R278" s="15" t="str">
        <f>INDEX(seat_table,MATCH(ClientDB[[#This Row],[Country Code]],seat_country_code,0),MATCH(ClientDB[[#This Row],[Meal]],meal,0))</f>
        <v>A</v>
      </c>
    </row>
    <row r="279" spans="1:18" x14ac:dyDescent="0.25">
      <c r="A279" s="10">
        <v>32407</v>
      </c>
      <c r="B279" t="s">
        <v>476</v>
      </c>
      <c r="C279" t="s">
        <v>477</v>
      </c>
      <c r="D279" s="18">
        <v>43443</v>
      </c>
      <c r="E279" s="10">
        <f>YEAR(ClientDB[[#This Row],[Start Date]])</f>
        <v>2018</v>
      </c>
      <c r="F279" t="s">
        <v>827</v>
      </c>
      <c r="G279" t="str">
        <f>VLOOKUP(ClientDB[[#This Row],[Org Code]],organization_table[],2)</f>
        <v>Ripple Com</v>
      </c>
      <c r="H279" s="10" t="s">
        <v>15</v>
      </c>
      <c r="I279" s="10" t="str">
        <f>INDEX(Country,MATCH(ClientDB[[#This Row],[Country Code]],Country_Codes,0),1)</f>
        <v>United Kingdom</v>
      </c>
      <c r="J279" s="15">
        <v>3</v>
      </c>
      <c r="K279" s="15" t="str">
        <f>IF(ClientDB[[#This Row],[Start Date]]&gt;=$U$14,"New","")</f>
        <v/>
      </c>
      <c r="L279" s="15" t="str">
        <f>IF(AND(ClientDB[[#This Row],[Start Year]]&lt;2016,ClientDB[[#This Row],[Events]]&gt;=6),"Gift","")</f>
        <v/>
      </c>
      <c r="M27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79" s="15">
        <v>1</v>
      </c>
      <c r="O279" s="32">
        <f>ClientDB[[#This Row],[Days]]*IF(ClientDB[[#This Row],[Days]]&gt;1,$V$8,$V$7)</f>
        <v>350</v>
      </c>
      <c r="P27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79" s="15" t="s">
        <v>901</v>
      </c>
      <c r="R279" s="15" t="str">
        <f>INDEX(seat_table,MATCH(ClientDB[[#This Row],[Country Code]],seat_country_code,0),MATCH(ClientDB[[#This Row],[Meal]],meal,0))</f>
        <v>E</v>
      </c>
    </row>
    <row r="280" spans="1:18" x14ac:dyDescent="0.25">
      <c r="A280" s="10">
        <v>32513</v>
      </c>
      <c r="B280" t="s">
        <v>39</v>
      </c>
      <c r="C280" t="s">
        <v>40</v>
      </c>
      <c r="D280" s="18">
        <v>42706</v>
      </c>
      <c r="E280" s="10">
        <f>YEAR(ClientDB[[#This Row],[Start Date]])</f>
        <v>2016</v>
      </c>
      <c r="F280" t="s">
        <v>820</v>
      </c>
      <c r="G280" t="str">
        <f>VLOOKUP(ClientDB[[#This Row],[Org Code]],organization_table[],2)</f>
        <v>Oglev</v>
      </c>
      <c r="H280" s="10" t="s">
        <v>42</v>
      </c>
      <c r="I280" s="10" t="str">
        <f>INDEX(Country,MATCH(ClientDB[[#This Row],[Country Code]],Country_Codes,0),1)</f>
        <v>Slovakia</v>
      </c>
      <c r="J280" s="15">
        <v>19</v>
      </c>
      <c r="K280" s="15" t="str">
        <f>IF(ClientDB[[#This Row],[Start Date]]&gt;=$U$14,"New","")</f>
        <v/>
      </c>
      <c r="L280" s="15" t="str">
        <f>IF(AND(ClientDB[[#This Row],[Start Year]]&lt;2016,ClientDB[[#This Row],[Events]]&gt;=6),"Gift","")</f>
        <v/>
      </c>
      <c r="M28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80" s="15">
        <v>3</v>
      </c>
      <c r="O280" s="32">
        <f>ClientDB[[#This Row],[Days]]*IF(ClientDB[[#This Row],[Days]]&gt;1,$V$8,$V$7)</f>
        <v>900</v>
      </c>
      <c r="P28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80" s="15" t="s">
        <v>901</v>
      </c>
      <c r="R280" s="15" t="str">
        <f>INDEX(seat_table,MATCH(ClientDB[[#This Row],[Country Code]],seat_country_code,0),MATCH(ClientDB[[#This Row],[Meal]],meal,0))</f>
        <v>G</v>
      </c>
    </row>
    <row r="281" spans="1:18" x14ac:dyDescent="0.25">
      <c r="A281" s="10">
        <v>32550</v>
      </c>
      <c r="B281" t="s">
        <v>406</v>
      </c>
      <c r="C281" t="s">
        <v>407</v>
      </c>
      <c r="D281" s="18">
        <v>42401</v>
      </c>
      <c r="E281" s="10">
        <f>YEAR(ClientDB[[#This Row],[Start Date]])</f>
        <v>2016</v>
      </c>
      <c r="F281" t="s">
        <v>825</v>
      </c>
      <c r="G281" t="str">
        <f>VLOOKUP(ClientDB[[#This Row],[Org Code]],organization_table[],2)</f>
        <v>Qinisar</v>
      </c>
      <c r="H281" s="10" t="s">
        <v>15</v>
      </c>
      <c r="I281" s="10" t="str">
        <f>INDEX(Country,MATCH(ClientDB[[#This Row],[Country Code]],Country_Codes,0),1)</f>
        <v>United Kingdom</v>
      </c>
      <c r="J281" s="15">
        <v>7</v>
      </c>
      <c r="K281" s="15" t="str">
        <f>IF(ClientDB[[#This Row],[Start Date]]&gt;=$U$14,"New","")</f>
        <v/>
      </c>
      <c r="L281" s="15" t="str">
        <f>IF(AND(ClientDB[[#This Row],[Start Year]]&lt;2016,ClientDB[[#This Row],[Events]]&gt;=6),"Gift","")</f>
        <v/>
      </c>
      <c r="M28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81" s="15">
        <v>3</v>
      </c>
      <c r="O281" s="32">
        <f>ClientDB[[#This Row],[Days]]*IF(ClientDB[[#This Row],[Days]]&gt;1,$V$8,$V$7)</f>
        <v>900</v>
      </c>
      <c r="P28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81" s="15" t="s">
        <v>901</v>
      </c>
      <c r="R281" s="15" t="str">
        <f>INDEX(seat_table,MATCH(ClientDB[[#This Row],[Country Code]],seat_country_code,0),MATCH(ClientDB[[#This Row],[Meal]],meal,0))</f>
        <v>E</v>
      </c>
    </row>
    <row r="282" spans="1:18" x14ac:dyDescent="0.25">
      <c r="A282" s="10">
        <v>32699</v>
      </c>
      <c r="B282" t="s">
        <v>597</v>
      </c>
      <c r="C282" t="s">
        <v>598</v>
      </c>
      <c r="D282" s="18">
        <v>43314</v>
      </c>
      <c r="E282" s="10">
        <f>YEAR(ClientDB[[#This Row],[Start Date]])</f>
        <v>2018</v>
      </c>
      <c r="F282" t="s">
        <v>803</v>
      </c>
      <c r="G282" t="str">
        <f>VLOOKUP(ClientDB[[#This Row],[Org Code]],organization_table[],2)</f>
        <v>Colot</v>
      </c>
      <c r="H282" s="10" t="s">
        <v>163</v>
      </c>
      <c r="I282" s="10" t="str">
        <f>INDEX(Country,MATCH(ClientDB[[#This Row],[Country Code]],Country_Codes,0),1)</f>
        <v>Jordan</v>
      </c>
      <c r="J282" s="15">
        <v>3</v>
      </c>
      <c r="K282" s="15" t="str">
        <f>IF(ClientDB[[#This Row],[Start Date]]&gt;=$U$14,"New","")</f>
        <v/>
      </c>
      <c r="L282" s="15" t="str">
        <f>IF(AND(ClientDB[[#This Row],[Start Year]]&lt;2016,ClientDB[[#This Row],[Events]]&gt;=6),"Gift","")</f>
        <v/>
      </c>
      <c r="M28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82" s="15">
        <v>2</v>
      </c>
      <c r="O282" s="32">
        <f>ClientDB[[#This Row],[Days]]*IF(ClientDB[[#This Row],[Days]]&gt;1,$V$8,$V$7)</f>
        <v>600</v>
      </c>
      <c r="P28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82" s="15" t="s">
        <v>901</v>
      </c>
      <c r="R282" s="15" t="str">
        <f>INDEX(seat_table,MATCH(ClientDB[[#This Row],[Country Code]],seat_country_code,0),MATCH(ClientDB[[#This Row],[Meal]],meal,0))</f>
        <v>F</v>
      </c>
    </row>
    <row r="283" spans="1:18" x14ac:dyDescent="0.25">
      <c r="A283" s="10">
        <v>32721</v>
      </c>
      <c r="B283" t="s">
        <v>285</v>
      </c>
      <c r="C283" t="s">
        <v>286</v>
      </c>
      <c r="D283" s="18">
        <v>43268</v>
      </c>
      <c r="E283" s="10">
        <f>YEAR(ClientDB[[#This Row],[Start Date]])</f>
        <v>2018</v>
      </c>
      <c r="F283" t="s">
        <v>798</v>
      </c>
      <c r="G283" t="str">
        <f>VLOOKUP(ClientDB[[#This Row],[Org Code]],organization_table[],2)</f>
        <v>Axell Group</v>
      </c>
      <c r="H283" s="10" t="s">
        <v>146</v>
      </c>
      <c r="I283" s="10" t="str">
        <f>INDEX(Country,MATCH(ClientDB[[#This Row],[Country Code]],Country_Codes,0),1)</f>
        <v>Russia</v>
      </c>
      <c r="J283" s="15">
        <v>11</v>
      </c>
      <c r="K283" s="15" t="str">
        <f>IF(ClientDB[[#This Row],[Start Date]]&gt;=$U$14,"New","")</f>
        <v/>
      </c>
      <c r="L283" s="15" t="str">
        <f>IF(AND(ClientDB[[#This Row],[Start Year]]&lt;2016,ClientDB[[#This Row],[Events]]&gt;=6),"Gift","")</f>
        <v/>
      </c>
      <c r="M28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83" s="15">
        <v>1</v>
      </c>
      <c r="O283" s="32">
        <f>ClientDB[[#This Row],[Days]]*IF(ClientDB[[#This Row],[Days]]&gt;1,$V$8,$V$7)</f>
        <v>350</v>
      </c>
      <c r="P28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283" s="15" t="s">
        <v>902</v>
      </c>
      <c r="R283" s="15" t="str">
        <f>INDEX(seat_table,MATCH(ClientDB[[#This Row],[Country Code]],seat_country_code,0),MATCH(ClientDB[[#This Row],[Meal]],meal,0))</f>
        <v>C</v>
      </c>
    </row>
    <row r="284" spans="1:18" x14ac:dyDescent="0.25">
      <c r="A284" s="10">
        <v>32780</v>
      </c>
      <c r="B284" t="s">
        <v>501</v>
      </c>
      <c r="C284" t="s">
        <v>502</v>
      </c>
      <c r="D284" s="18">
        <v>43377</v>
      </c>
      <c r="E284" s="10">
        <f>YEAR(ClientDB[[#This Row],[Start Date]])</f>
        <v>2018</v>
      </c>
      <c r="F284" t="s">
        <v>833</v>
      </c>
      <c r="G284" t="str">
        <f>VLOOKUP(ClientDB[[#This Row],[Org Code]],organization_table[],2)</f>
        <v>UON</v>
      </c>
      <c r="H284" s="10" t="s">
        <v>46</v>
      </c>
      <c r="I284" s="10" t="str">
        <f>INDEX(Country,MATCH(ClientDB[[#This Row],[Country Code]],Country_Codes,0),1)</f>
        <v>Germany</v>
      </c>
      <c r="J284" s="15">
        <v>4</v>
      </c>
      <c r="K284" s="15" t="str">
        <f>IF(ClientDB[[#This Row],[Start Date]]&gt;=$U$14,"New","")</f>
        <v/>
      </c>
      <c r="L284" s="15" t="str">
        <f>IF(AND(ClientDB[[#This Row],[Start Year]]&lt;2016,ClientDB[[#This Row],[Events]]&gt;=6),"Gift","")</f>
        <v/>
      </c>
      <c r="M28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84" s="15">
        <v>2</v>
      </c>
      <c r="O284" s="32">
        <f>ClientDB[[#This Row],[Days]]*IF(ClientDB[[#This Row],[Days]]&gt;1,$V$8,$V$7)</f>
        <v>600</v>
      </c>
      <c r="P28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84" s="15" t="s">
        <v>901</v>
      </c>
      <c r="R284" s="15" t="str">
        <f>INDEX(seat_table,MATCH(ClientDB[[#This Row],[Country Code]],seat_country_code,0),MATCH(ClientDB[[#This Row],[Meal]],meal,0))</f>
        <v>D</v>
      </c>
    </row>
    <row r="285" spans="1:18" x14ac:dyDescent="0.25">
      <c r="A285" s="10">
        <v>32910</v>
      </c>
      <c r="B285" t="s">
        <v>732</v>
      </c>
      <c r="C285" t="s">
        <v>733</v>
      </c>
      <c r="D285" s="18">
        <v>43552</v>
      </c>
      <c r="E285" s="10">
        <f>YEAR(ClientDB[[#This Row],[Start Date]])</f>
        <v>2019</v>
      </c>
      <c r="F285" t="s">
        <v>803</v>
      </c>
      <c r="G285" t="str">
        <f>VLOOKUP(ClientDB[[#This Row],[Org Code]],organization_table[],2)</f>
        <v>Colot</v>
      </c>
      <c r="H285" s="10" t="s">
        <v>11</v>
      </c>
      <c r="I285" s="10" t="str">
        <f>INDEX(Country,MATCH(ClientDB[[#This Row],[Country Code]],Country_Codes,0),1)</f>
        <v>Austria</v>
      </c>
      <c r="J285" s="15">
        <v>8</v>
      </c>
      <c r="K285" s="15" t="str">
        <f>IF(ClientDB[[#This Row],[Start Date]]&gt;=$U$14,"New","")</f>
        <v/>
      </c>
      <c r="L285" s="15" t="str">
        <f>IF(AND(ClientDB[[#This Row],[Start Year]]&lt;2016,ClientDB[[#This Row],[Events]]&gt;=6),"Gift","")</f>
        <v/>
      </c>
      <c r="M28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85" s="15">
        <v>2</v>
      </c>
      <c r="O285" s="32">
        <f>ClientDB[[#This Row],[Days]]*IF(ClientDB[[#This Row],[Days]]&gt;1,$V$8,$V$7)</f>
        <v>600</v>
      </c>
      <c r="P28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85" s="15" t="s">
        <v>900</v>
      </c>
      <c r="R285" s="15" t="str">
        <f>INDEX(seat_table,MATCH(ClientDB[[#This Row],[Country Code]],seat_country_code,0),MATCH(ClientDB[[#This Row],[Meal]],meal,0))</f>
        <v>A</v>
      </c>
    </row>
    <row r="286" spans="1:18" x14ac:dyDescent="0.25">
      <c r="A286" s="10">
        <v>32957</v>
      </c>
      <c r="B286" t="s">
        <v>357</v>
      </c>
      <c r="C286" t="s">
        <v>358</v>
      </c>
      <c r="D286" s="18">
        <v>43441</v>
      </c>
      <c r="E286" s="10">
        <f>YEAR(ClientDB[[#This Row],[Start Date]])</f>
        <v>2018</v>
      </c>
      <c r="F286" t="s">
        <v>832</v>
      </c>
      <c r="G286" t="str">
        <f>VLOOKUP(ClientDB[[#This Row],[Org Code]],organization_table[],2)</f>
        <v>TQ Processes</v>
      </c>
      <c r="H286" s="10" t="s">
        <v>34</v>
      </c>
      <c r="I286" s="10" t="str">
        <f>INDEX(Country,MATCH(ClientDB[[#This Row],[Country Code]],Country_Codes,0),1)</f>
        <v>United States</v>
      </c>
      <c r="J286" s="15">
        <v>8</v>
      </c>
      <c r="K286" s="15" t="str">
        <f>IF(ClientDB[[#This Row],[Start Date]]&gt;=$U$14,"New","")</f>
        <v/>
      </c>
      <c r="L286" s="15" t="str">
        <f>IF(AND(ClientDB[[#This Row],[Start Year]]&lt;2016,ClientDB[[#This Row],[Events]]&gt;=6),"Gift","")</f>
        <v/>
      </c>
      <c r="M28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86" s="15">
        <v>3</v>
      </c>
      <c r="O286" s="32">
        <f>ClientDB[[#This Row],[Days]]*IF(ClientDB[[#This Row],[Days]]&gt;1,$V$8,$V$7)</f>
        <v>900</v>
      </c>
      <c r="P28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286" s="15" t="s">
        <v>899</v>
      </c>
      <c r="R286" s="15" t="str">
        <f>INDEX(seat_table,MATCH(ClientDB[[#This Row],[Country Code]],seat_country_code,0),MATCH(ClientDB[[#This Row],[Meal]],meal,0))</f>
        <v>F</v>
      </c>
    </row>
    <row r="287" spans="1:18" x14ac:dyDescent="0.25">
      <c r="A287" s="10">
        <v>32987</v>
      </c>
      <c r="B287" t="s">
        <v>334</v>
      </c>
      <c r="C287" t="s">
        <v>335</v>
      </c>
      <c r="D287" s="18">
        <v>42187</v>
      </c>
      <c r="E287" s="10">
        <f>YEAR(ClientDB[[#This Row],[Start Date]])</f>
        <v>2015</v>
      </c>
      <c r="F287" t="s">
        <v>827</v>
      </c>
      <c r="G287" t="str">
        <f>VLOOKUP(ClientDB[[#This Row],[Org Code]],organization_table[],2)</f>
        <v>Ripple Com</v>
      </c>
      <c r="H287" s="10" t="s">
        <v>15</v>
      </c>
      <c r="I287" s="10" t="str">
        <f>INDEX(Country,MATCH(ClientDB[[#This Row],[Country Code]],Country_Codes,0),1)</f>
        <v>United Kingdom</v>
      </c>
      <c r="J287" s="15">
        <v>21</v>
      </c>
      <c r="K287" s="15" t="str">
        <f>IF(ClientDB[[#This Row],[Start Date]]&gt;=$U$14,"New","")</f>
        <v/>
      </c>
      <c r="L287" s="15" t="str">
        <f>IF(AND(ClientDB[[#This Row],[Start Year]]&lt;2016,ClientDB[[#This Row],[Events]]&gt;=6),"Gift","")</f>
        <v>Gift</v>
      </c>
      <c r="M28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287" s="15">
        <v>3</v>
      </c>
      <c r="O287" s="32">
        <f>ClientDB[[#This Row],[Days]]*IF(ClientDB[[#This Row],[Days]]&gt;1,$V$8,$V$7)</f>
        <v>900</v>
      </c>
      <c r="P28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720</v>
      </c>
      <c r="Q287" s="15" t="s">
        <v>902</v>
      </c>
      <c r="R287" s="15" t="str">
        <f>INDEX(seat_table,MATCH(ClientDB[[#This Row],[Country Code]],seat_country_code,0),MATCH(ClientDB[[#This Row],[Meal]],meal,0))</f>
        <v>B</v>
      </c>
    </row>
    <row r="288" spans="1:18" x14ac:dyDescent="0.25">
      <c r="A288" s="10">
        <v>33008</v>
      </c>
      <c r="B288" t="s">
        <v>326</v>
      </c>
      <c r="C288" t="s">
        <v>327</v>
      </c>
      <c r="D288" s="18">
        <v>42875</v>
      </c>
      <c r="E288" s="10">
        <f>YEAR(ClientDB[[#This Row],[Start Date]])</f>
        <v>2017</v>
      </c>
      <c r="F288" t="s">
        <v>836</v>
      </c>
      <c r="G288" t="str">
        <f>VLOOKUP(ClientDB[[#This Row],[Org Code]],organization_table[],2)</f>
        <v>Wiz Labs</v>
      </c>
      <c r="H288" s="10" t="s">
        <v>7</v>
      </c>
      <c r="I288" s="10" t="str">
        <f>INDEX(Country,MATCH(ClientDB[[#This Row],[Country Code]],Country_Codes,0),1)</f>
        <v>Iran</v>
      </c>
      <c r="J288" s="15">
        <v>3</v>
      </c>
      <c r="K288" s="15" t="str">
        <f>IF(ClientDB[[#This Row],[Start Date]]&gt;=$U$14,"New","")</f>
        <v/>
      </c>
      <c r="L288" s="15" t="str">
        <f>IF(AND(ClientDB[[#This Row],[Start Year]]&lt;2016,ClientDB[[#This Row],[Events]]&gt;=6),"Gift","")</f>
        <v/>
      </c>
      <c r="M28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88" s="15">
        <v>3</v>
      </c>
      <c r="O288" s="32">
        <f>ClientDB[[#This Row],[Days]]*IF(ClientDB[[#This Row],[Days]]&gt;1,$V$8,$V$7)</f>
        <v>900</v>
      </c>
      <c r="P28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88" s="15" t="s">
        <v>901</v>
      </c>
      <c r="R288" s="15" t="str">
        <f>INDEX(seat_table,MATCH(ClientDB[[#This Row],[Country Code]],seat_country_code,0),MATCH(ClientDB[[#This Row],[Meal]],meal,0))</f>
        <v>F</v>
      </c>
    </row>
    <row r="289" spans="1:18" x14ac:dyDescent="0.25">
      <c r="A289" s="10">
        <v>33074</v>
      </c>
      <c r="B289" t="s">
        <v>20</v>
      </c>
      <c r="C289" t="s">
        <v>21</v>
      </c>
      <c r="D289" s="18">
        <v>43246</v>
      </c>
      <c r="E289" s="10">
        <f>YEAR(ClientDB[[#This Row],[Start Date]])</f>
        <v>2018</v>
      </c>
      <c r="F289" t="s">
        <v>827</v>
      </c>
      <c r="G289" t="str">
        <f>VLOOKUP(ClientDB[[#This Row],[Org Code]],organization_table[],2)</f>
        <v>Ripple Com</v>
      </c>
      <c r="H289" s="10" t="s">
        <v>15</v>
      </c>
      <c r="I289" s="10" t="str">
        <f>INDEX(Country,MATCH(ClientDB[[#This Row],[Country Code]],Country_Codes,0),1)</f>
        <v>United Kingdom</v>
      </c>
      <c r="J289" s="15">
        <v>4</v>
      </c>
      <c r="K289" s="15" t="str">
        <f>IF(ClientDB[[#This Row],[Start Date]]&gt;=$U$14,"New","")</f>
        <v/>
      </c>
      <c r="L289" s="15" t="str">
        <f>IF(AND(ClientDB[[#This Row],[Start Year]]&lt;2016,ClientDB[[#This Row],[Events]]&gt;=6),"Gift","")</f>
        <v/>
      </c>
      <c r="M28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89" s="15">
        <v>3</v>
      </c>
      <c r="O289" s="32">
        <f>ClientDB[[#This Row],[Days]]*IF(ClientDB[[#This Row],[Days]]&gt;1,$V$8,$V$7)</f>
        <v>900</v>
      </c>
      <c r="P28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89" s="15" t="s">
        <v>899</v>
      </c>
      <c r="R289" s="15" t="str">
        <f>INDEX(seat_table,MATCH(ClientDB[[#This Row],[Country Code]],seat_country_code,0),MATCH(ClientDB[[#This Row],[Meal]],meal,0))</f>
        <v>A</v>
      </c>
    </row>
    <row r="290" spans="1:18" x14ac:dyDescent="0.25">
      <c r="A290" s="10">
        <v>33131</v>
      </c>
      <c r="B290" t="s">
        <v>112</v>
      </c>
      <c r="C290" t="s">
        <v>113</v>
      </c>
      <c r="D290" s="18">
        <v>43240</v>
      </c>
      <c r="E290" s="10">
        <f>YEAR(ClientDB[[#This Row],[Start Date]])</f>
        <v>2018</v>
      </c>
      <c r="F290" t="s">
        <v>822</v>
      </c>
      <c r="G290" t="str">
        <f>VLOOKUP(ClientDB[[#This Row],[Org Code]],organization_table[],2)</f>
        <v>PicSure</v>
      </c>
      <c r="H290" s="10" t="s">
        <v>59</v>
      </c>
      <c r="I290" s="10" t="str">
        <f>INDEX(Country,MATCH(ClientDB[[#This Row],[Country Code]],Country_Codes,0),1)</f>
        <v>Netherlands</v>
      </c>
      <c r="J290" s="15">
        <v>11</v>
      </c>
      <c r="K290" s="15" t="str">
        <f>IF(ClientDB[[#This Row],[Start Date]]&gt;=$U$14,"New","")</f>
        <v/>
      </c>
      <c r="L290" s="15" t="str">
        <f>IF(AND(ClientDB[[#This Row],[Start Year]]&lt;2016,ClientDB[[#This Row],[Events]]&gt;=6),"Gift","")</f>
        <v/>
      </c>
      <c r="M29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290" s="15">
        <v>1</v>
      </c>
      <c r="O290" s="32">
        <f>ClientDB[[#This Row],[Days]]*IF(ClientDB[[#This Row],[Days]]&gt;1,$V$8,$V$7)</f>
        <v>350</v>
      </c>
      <c r="P29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290" s="15" t="s">
        <v>899</v>
      </c>
      <c r="R290" s="15" t="str">
        <f>INDEX(seat_table,MATCH(ClientDB[[#This Row],[Country Code]],seat_country_code,0),MATCH(ClientDB[[#This Row],[Meal]],meal,0))</f>
        <v>B</v>
      </c>
    </row>
    <row r="291" spans="1:18" x14ac:dyDescent="0.25">
      <c r="A291" s="10">
        <v>33141</v>
      </c>
      <c r="B291" t="s">
        <v>667</v>
      </c>
      <c r="C291" t="s">
        <v>668</v>
      </c>
      <c r="D291" s="18">
        <v>42495</v>
      </c>
      <c r="E291" s="10">
        <f>YEAR(ClientDB[[#This Row],[Start Date]])</f>
        <v>2016</v>
      </c>
      <c r="F291" t="s">
        <v>830</v>
      </c>
      <c r="G291" t="str">
        <f>VLOOKUP(ClientDB[[#This Row],[Org Code]],organization_table[],2)</f>
        <v>Steps IT Training</v>
      </c>
      <c r="H291" s="10" t="s">
        <v>565</v>
      </c>
      <c r="I291" s="10" t="str">
        <f>INDEX(Country,MATCH(ClientDB[[#This Row],[Country Code]],Country_Codes,0),1)</f>
        <v>Syria</v>
      </c>
      <c r="J291" s="15">
        <v>7</v>
      </c>
      <c r="K291" s="15" t="str">
        <f>IF(ClientDB[[#This Row],[Start Date]]&gt;=$U$14,"New","")</f>
        <v/>
      </c>
      <c r="L291" s="15" t="str">
        <f>IF(AND(ClientDB[[#This Row],[Start Year]]&lt;2016,ClientDB[[#This Row],[Events]]&gt;=6),"Gift","")</f>
        <v/>
      </c>
      <c r="M29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1" s="15">
        <v>1</v>
      </c>
      <c r="O291" s="32">
        <f>ClientDB[[#This Row],[Days]]*IF(ClientDB[[#This Row],[Days]]&gt;1,$V$8,$V$7)</f>
        <v>350</v>
      </c>
      <c r="P29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91" s="15" t="s">
        <v>901</v>
      </c>
      <c r="R291" s="15" t="str">
        <f>INDEX(seat_table,MATCH(ClientDB[[#This Row],[Country Code]],seat_country_code,0),MATCH(ClientDB[[#This Row],[Meal]],meal,0))</f>
        <v>G</v>
      </c>
    </row>
    <row r="292" spans="1:18" x14ac:dyDescent="0.25">
      <c r="A292" s="10">
        <v>33466</v>
      </c>
      <c r="B292" t="s">
        <v>16</v>
      </c>
      <c r="C292" t="s">
        <v>17</v>
      </c>
      <c r="D292" s="18">
        <v>43362</v>
      </c>
      <c r="E292" s="10">
        <f>YEAR(ClientDB[[#This Row],[Start Date]])</f>
        <v>2018</v>
      </c>
      <c r="F292" t="s">
        <v>814</v>
      </c>
      <c r="G292" t="str">
        <f>VLOOKUP(ClientDB[[#This Row],[Org Code]],organization_table[],2)</f>
        <v>IPI Bucharest</v>
      </c>
      <c r="H292" s="10" t="s">
        <v>19</v>
      </c>
      <c r="I292" s="10" t="str">
        <f>INDEX(Country,MATCH(ClientDB[[#This Row],[Country Code]],Country_Codes,0),1)</f>
        <v>Japan</v>
      </c>
      <c r="J292" s="15">
        <v>2</v>
      </c>
      <c r="K292" s="15" t="str">
        <f>IF(ClientDB[[#This Row],[Start Date]]&gt;=$U$14,"New","")</f>
        <v/>
      </c>
      <c r="L292" s="15" t="str">
        <f>IF(AND(ClientDB[[#This Row],[Start Year]]&lt;2016,ClientDB[[#This Row],[Events]]&gt;=6),"Gift","")</f>
        <v/>
      </c>
      <c r="M29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2" s="15">
        <v>2</v>
      </c>
      <c r="O292" s="32">
        <f>ClientDB[[#This Row],[Days]]*IF(ClientDB[[#This Row],[Days]]&gt;1,$V$8,$V$7)</f>
        <v>600</v>
      </c>
      <c r="P29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92" s="15" t="s">
        <v>900</v>
      </c>
      <c r="R292" s="15" t="str">
        <f>INDEX(seat_table,MATCH(ClientDB[[#This Row],[Country Code]],seat_country_code,0),MATCH(ClientDB[[#This Row],[Meal]],meal,0))</f>
        <v>C</v>
      </c>
    </row>
    <row r="293" spans="1:18" x14ac:dyDescent="0.25">
      <c r="A293" s="10">
        <v>33526</v>
      </c>
      <c r="B293" t="s">
        <v>736</v>
      </c>
      <c r="C293" t="s">
        <v>737</v>
      </c>
      <c r="D293" s="18">
        <v>44003</v>
      </c>
      <c r="E293" s="10">
        <f>YEAR(ClientDB[[#This Row],[Start Date]])</f>
        <v>2020</v>
      </c>
      <c r="F293" t="s">
        <v>824</v>
      </c>
      <c r="G293" t="str">
        <f>VLOOKUP(ClientDB[[#This Row],[Org Code]],organization_table[],2)</f>
        <v>Pink Cloud Networks</v>
      </c>
      <c r="H293" s="10" t="s">
        <v>163</v>
      </c>
      <c r="I293" s="10" t="str">
        <f>INDEX(Country,MATCH(ClientDB[[#This Row],[Country Code]],Country_Codes,0),1)</f>
        <v>Jordan</v>
      </c>
      <c r="J293" s="15">
        <v>1</v>
      </c>
      <c r="K293" s="15" t="str">
        <f>IF(ClientDB[[#This Row],[Start Date]]&gt;=$U$14,"New","")</f>
        <v>New</v>
      </c>
      <c r="L293" s="15" t="str">
        <f>IF(AND(ClientDB[[#This Row],[Start Year]]&lt;2016,ClientDB[[#This Row],[Events]]&gt;=6),"Gift","")</f>
        <v/>
      </c>
      <c r="M29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3" s="15">
        <v>3</v>
      </c>
      <c r="O293" s="32">
        <f>ClientDB[[#This Row],[Days]]*IF(ClientDB[[#This Row],[Days]]&gt;1,$V$8,$V$7)</f>
        <v>900</v>
      </c>
      <c r="P29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293" s="15" t="s">
        <v>902</v>
      </c>
      <c r="R293" s="15" t="str">
        <f>INDEX(seat_table,MATCH(ClientDB[[#This Row],[Country Code]],seat_country_code,0),MATCH(ClientDB[[#This Row],[Meal]],meal,0))</f>
        <v>C</v>
      </c>
    </row>
    <row r="294" spans="1:18" x14ac:dyDescent="0.25">
      <c r="A294" s="10">
        <v>33729</v>
      </c>
      <c r="B294" t="s">
        <v>330</v>
      </c>
      <c r="C294" t="s">
        <v>331</v>
      </c>
      <c r="D294" s="18">
        <v>43714</v>
      </c>
      <c r="E294" s="10">
        <f>YEAR(ClientDB[[#This Row],[Start Date]])</f>
        <v>2019</v>
      </c>
      <c r="F294" t="s">
        <v>827</v>
      </c>
      <c r="G294" t="str">
        <f>VLOOKUP(ClientDB[[#This Row],[Org Code]],organization_table[],2)</f>
        <v>Ripple Com</v>
      </c>
      <c r="H294" s="10" t="s">
        <v>15</v>
      </c>
      <c r="I294" s="10" t="str">
        <f>INDEX(Country,MATCH(ClientDB[[#This Row],[Country Code]],Country_Codes,0),1)</f>
        <v>United Kingdom</v>
      </c>
      <c r="J294" s="15">
        <v>3</v>
      </c>
      <c r="K294" s="15" t="str">
        <f>IF(ClientDB[[#This Row],[Start Date]]&gt;=$U$14,"New","")</f>
        <v/>
      </c>
      <c r="L294" s="15" t="str">
        <f>IF(AND(ClientDB[[#This Row],[Start Year]]&lt;2016,ClientDB[[#This Row],[Events]]&gt;=6),"Gift","")</f>
        <v/>
      </c>
      <c r="M29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4" s="15">
        <v>2</v>
      </c>
      <c r="O294" s="32">
        <f>ClientDB[[#This Row],[Days]]*IF(ClientDB[[#This Row],[Days]]&gt;1,$V$8,$V$7)</f>
        <v>600</v>
      </c>
      <c r="P29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94" s="15" t="s">
        <v>899</v>
      </c>
      <c r="R294" s="15" t="str">
        <f>INDEX(seat_table,MATCH(ClientDB[[#This Row],[Country Code]],seat_country_code,0),MATCH(ClientDB[[#This Row],[Meal]],meal,0))</f>
        <v>A</v>
      </c>
    </row>
    <row r="295" spans="1:18" x14ac:dyDescent="0.25">
      <c r="A295" s="10">
        <v>33836</v>
      </c>
      <c r="B295" t="s">
        <v>518</v>
      </c>
      <c r="C295" t="s">
        <v>519</v>
      </c>
      <c r="D295" s="18">
        <v>43713</v>
      </c>
      <c r="E295" s="10">
        <f>YEAR(ClientDB[[#This Row],[Start Date]])</f>
        <v>2019</v>
      </c>
      <c r="F295" t="s">
        <v>819</v>
      </c>
      <c r="G295" t="str">
        <f>VLOOKUP(ClientDB[[#This Row],[Org Code]],organization_table[],2)</f>
        <v>NetaAssist</v>
      </c>
      <c r="H295" s="10" t="s">
        <v>46</v>
      </c>
      <c r="I295" s="10" t="str">
        <f>INDEX(Country,MATCH(ClientDB[[#This Row],[Country Code]],Country_Codes,0),1)</f>
        <v>Germany</v>
      </c>
      <c r="J295" s="15">
        <v>8</v>
      </c>
      <c r="K295" s="15" t="str">
        <f>IF(ClientDB[[#This Row],[Start Date]]&gt;=$U$14,"New","")</f>
        <v/>
      </c>
      <c r="L295" s="15" t="str">
        <f>IF(AND(ClientDB[[#This Row],[Start Year]]&lt;2016,ClientDB[[#This Row],[Events]]&gt;=6),"Gift","")</f>
        <v/>
      </c>
      <c r="M29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5" s="15">
        <v>2</v>
      </c>
      <c r="O295" s="32">
        <f>ClientDB[[#This Row],[Days]]*IF(ClientDB[[#This Row],[Days]]&gt;1,$V$8,$V$7)</f>
        <v>600</v>
      </c>
      <c r="P29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95" s="15" t="s">
        <v>900</v>
      </c>
      <c r="R295" s="15" t="str">
        <f>INDEX(seat_table,MATCH(ClientDB[[#This Row],[Country Code]],seat_country_code,0),MATCH(ClientDB[[#This Row],[Meal]],meal,0))</f>
        <v>A</v>
      </c>
    </row>
    <row r="296" spans="1:18" x14ac:dyDescent="0.25">
      <c r="A296" s="10">
        <v>33888</v>
      </c>
      <c r="B296" t="s">
        <v>306</v>
      </c>
      <c r="C296" t="s">
        <v>307</v>
      </c>
      <c r="D296" s="18">
        <v>43213</v>
      </c>
      <c r="E296" s="10">
        <f>YEAR(ClientDB[[#This Row],[Start Date]])</f>
        <v>2018</v>
      </c>
      <c r="F296" t="s">
        <v>825</v>
      </c>
      <c r="G296" t="str">
        <f>VLOOKUP(ClientDB[[#This Row],[Org Code]],organization_table[],2)</f>
        <v>Qinisar</v>
      </c>
      <c r="H296" s="10" t="s">
        <v>155</v>
      </c>
      <c r="I296" s="10" t="str">
        <f>INDEX(Country,MATCH(ClientDB[[#This Row],[Country Code]],Country_Codes,0),1)</f>
        <v>United Arab Emirates</v>
      </c>
      <c r="J296" s="15">
        <v>7</v>
      </c>
      <c r="K296" s="15" t="str">
        <f>IF(ClientDB[[#This Row],[Start Date]]&gt;=$U$14,"New","")</f>
        <v/>
      </c>
      <c r="L296" s="15" t="str">
        <f>IF(AND(ClientDB[[#This Row],[Start Year]]&lt;2016,ClientDB[[#This Row],[Events]]&gt;=6),"Gift","")</f>
        <v/>
      </c>
      <c r="M29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6" s="15">
        <v>1</v>
      </c>
      <c r="O296" s="32">
        <f>ClientDB[[#This Row],[Days]]*IF(ClientDB[[#This Row],[Days]]&gt;1,$V$8,$V$7)</f>
        <v>350</v>
      </c>
      <c r="P29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296" s="15" t="s">
        <v>902</v>
      </c>
      <c r="R296" s="15" t="str">
        <f>INDEX(seat_table,MATCH(ClientDB[[#This Row],[Country Code]],seat_country_code,0),MATCH(ClientDB[[#This Row],[Meal]],meal,0))</f>
        <v>B</v>
      </c>
    </row>
    <row r="297" spans="1:18" x14ac:dyDescent="0.25">
      <c r="A297" s="10">
        <v>33952</v>
      </c>
      <c r="B297" t="s">
        <v>144</v>
      </c>
      <c r="C297" t="s">
        <v>145</v>
      </c>
      <c r="D297" s="18">
        <v>42396</v>
      </c>
      <c r="E297" s="10">
        <f>YEAR(ClientDB[[#This Row],[Start Date]])</f>
        <v>2016</v>
      </c>
      <c r="F297" t="s">
        <v>827</v>
      </c>
      <c r="G297" t="str">
        <f>VLOOKUP(ClientDB[[#This Row],[Org Code]],organization_table[],2)</f>
        <v>Ripple Com</v>
      </c>
      <c r="H297" s="10" t="s">
        <v>146</v>
      </c>
      <c r="I297" s="10" t="str">
        <f>INDEX(Country,MATCH(ClientDB[[#This Row],[Country Code]],Country_Codes,0),1)</f>
        <v>Russia</v>
      </c>
      <c r="J297" s="15">
        <v>3</v>
      </c>
      <c r="K297" s="15" t="str">
        <f>IF(ClientDB[[#This Row],[Start Date]]&gt;=$U$14,"New","")</f>
        <v/>
      </c>
      <c r="L297" s="15" t="str">
        <f>IF(AND(ClientDB[[#This Row],[Start Year]]&lt;2016,ClientDB[[#This Row],[Events]]&gt;=6),"Gift","")</f>
        <v/>
      </c>
      <c r="M29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7" s="15">
        <v>1</v>
      </c>
      <c r="O297" s="32">
        <f>ClientDB[[#This Row],[Days]]*IF(ClientDB[[#This Row],[Days]]&gt;1,$V$8,$V$7)</f>
        <v>350</v>
      </c>
      <c r="P29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297" s="15" t="s">
        <v>901</v>
      </c>
      <c r="R297" s="15" t="str">
        <f>INDEX(seat_table,MATCH(ClientDB[[#This Row],[Country Code]],seat_country_code,0),MATCH(ClientDB[[#This Row],[Meal]],meal,0))</f>
        <v>G</v>
      </c>
    </row>
    <row r="298" spans="1:18" x14ac:dyDescent="0.25">
      <c r="A298" s="10">
        <v>33952</v>
      </c>
      <c r="B298" t="s">
        <v>514</v>
      </c>
      <c r="C298" t="s">
        <v>515</v>
      </c>
      <c r="D298" s="18">
        <v>43341</v>
      </c>
      <c r="E298" s="10">
        <f>YEAR(ClientDB[[#This Row],[Start Date]])</f>
        <v>2018</v>
      </c>
      <c r="F298" t="s">
        <v>827</v>
      </c>
      <c r="G298" t="str">
        <f>VLOOKUP(ClientDB[[#This Row],[Org Code]],organization_table[],2)</f>
        <v>Ripple Com</v>
      </c>
      <c r="H298" s="10" t="s">
        <v>15</v>
      </c>
      <c r="I298" s="10" t="str">
        <f>INDEX(Country,MATCH(ClientDB[[#This Row],[Country Code]],Country_Codes,0),1)</f>
        <v>United Kingdom</v>
      </c>
      <c r="J298" s="15">
        <v>4</v>
      </c>
      <c r="K298" s="15" t="str">
        <f>IF(ClientDB[[#This Row],[Start Date]]&gt;=$U$14,"New","")</f>
        <v/>
      </c>
      <c r="L298" s="15" t="str">
        <f>IF(AND(ClientDB[[#This Row],[Start Year]]&lt;2016,ClientDB[[#This Row],[Events]]&gt;=6),"Gift","")</f>
        <v/>
      </c>
      <c r="M29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8" s="15">
        <v>2</v>
      </c>
      <c r="O298" s="32">
        <f>ClientDB[[#This Row],[Days]]*IF(ClientDB[[#This Row],[Days]]&gt;1,$V$8,$V$7)</f>
        <v>600</v>
      </c>
      <c r="P29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298" s="15" t="s">
        <v>901</v>
      </c>
      <c r="R298" s="15" t="str">
        <f>INDEX(seat_table,MATCH(ClientDB[[#This Row],[Country Code]],seat_country_code,0),MATCH(ClientDB[[#This Row],[Meal]],meal,0))</f>
        <v>E</v>
      </c>
    </row>
    <row r="299" spans="1:18" x14ac:dyDescent="0.25">
      <c r="A299" s="10">
        <v>34099</v>
      </c>
      <c r="B299" t="s">
        <v>270</v>
      </c>
      <c r="C299" t="s">
        <v>271</v>
      </c>
      <c r="D299" s="18">
        <v>42715</v>
      </c>
      <c r="E299" s="10">
        <f>YEAR(ClientDB[[#This Row],[Start Date]])</f>
        <v>2016</v>
      </c>
      <c r="F299" t="s">
        <v>829</v>
      </c>
      <c r="G299" t="str">
        <f>VLOOKUP(ClientDB[[#This Row],[Org Code]],organization_table[],2)</f>
        <v>Steps IT Training</v>
      </c>
      <c r="H299" s="10" t="s">
        <v>97</v>
      </c>
      <c r="I299" s="10" t="str">
        <f>INDEX(Country,MATCH(ClientDB[[#This Row],[Country Code]],Country_Codes,0),1)</f>
        <v>Ireland</v>
      </c>
      <c r="J299" s="15">
        <v>7</v>
      </c>
      <c r="K299" s="15" t="str">
        <f>IF(ClientDB[[#This Row],[Start Date]]&gt;=$U$14,"New","")</f>
        <v/>
      </c>
      <c r="L299" s="15" t="str">
        <f>IF(AND(ClientDB[[#This Row],[Start Year]]&lt;2016,ClientDB[[#This Row],[Events]]&gt;=6),"Gift","")</f>
        <v/>
      </c>
      <c r="M29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299" s="15">
        <v>2</v>
      </c>
      <c r="O299" s="32">
        <f>ClientDB[[#This Row],[Days]]*IF(ClientDB[[#This Row],[Days]]&gt;1,$V$8,$V$7)</f>
        <v>600</v>
      </c>
      <c r="P29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299" s="15" t="s">
        <v>901</v>
      </c>
      <c r="R299" s="15" t="str">
        <f>INDEX(seat_table,MATCH(ClientDB[[#This Row],[Country Code]],seat_country_code,0),MATCH(ClientDB[[#This Row],[Meal]],meal,0))</f>
        <v>F</v>
      </c>
    </row>
    <row r="300" spans="1:18" x14ac:dyDescent="0.25">
      <c r="A300" s="10">
        <v>34153</v>
      </c>
      <c r="B300" t="s">
        <v>255</v>
      </c>
      <c r="C300" t="s">
        <v>451</v>
      </c>
      <c r="D300" s="18">
        <v>43485</v>
      </c>
      <c r="E300" s="10">
        <f>YEAR(ClientDB[[#This Row],[Start Date]])</f>
        <v>2019</v>
      </c>
      <c r="F300" t="s">
        <v>815</v>
      </c>
      <c r="G300" t="str">
        <f>VLOOKUP(ClientDB[[#This Row],[Org Code]],organization_table[],2)</f>
        <v>Intelligence Systems</v>
      </c>
      <c r="H300" s="10" t="s">
        <v>34</v>
      </c>
      <c r="I300" s="10" t="str">
        <f>INDEX(Country,MATCH(ClientDB[[#This Row],[Country Code]],Country_Codes,0),1)</f>
        <v>United States</v>
      </c>
      <c r="J300" s="15">
        <v>1</v>
      </c>
      <c r="K300" s="15" t="str">
        <f>IF(ClientDB[[#This Row],[Start Date]]&gt;=$U$14,"New","")</f>
        <v/>
      </c>
      <c r="L300" s="15" t="str">
        <f>IF(AND(ClientDB[[#This Row],[Start Year]]&lt;2016,ClientDB[[#This Row],[Events]]&gt;=6),"Gift","")</f>
        <v/>
      </c>
      <c r="M30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0" s="15">
        <v>2</v>
      </c>
      <c r="O300" s="32">
        <f>ClientDB[[#This Row],[Days]]*IF(ClientDB[[#This Row],[Days]]&gt;1,$V$8,$V$7)</f>
        <v>600</v>
      </c>
      <c r="P30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00" s="15" t="s">
        <v>901</v>
      </c>
      <c r="R300" s="15" t="str">
        <f>INDEX(seat_table,MATCH(ClientDB[[#This Row],[Country Code]],seat_country_code,0),MATCH(ClientDB[[#This Row],[Meal]],meal,0))</f>
        <v>G</v>
      </c>
    </row>
    <row r="301" spans="1:18" x14ac:dyDescent="0.25">
      <c r="A301" s="10">
        <v>34274</v>
      </c>
      <c r="B301" t="s">
        <v>412</v>
      </c>
      <c r="C301" t="s">
        <v>413</v>
      </c>
      <c r="D301" s="18">
        <v>42411</v>
      </c>
      <c r="E301" s="10">
        <f>YEAR(ClientDB[[#This Row],[Start Date]])</f>
        <v>2016</v>
      </c>
      <c r="F301" t="s">
        <v>823</v>
      </c>
      <c r="G301" t="str">
        <f>VLOOKUP(ClientDB[[#This Row],[Org Code]],organization_table[],2)</f>
        <v>Pink Cloud Networks</v>
      </c>
      <c r="H301" s="10" t="s">
        <v>34</v>
      </c>
      <c r="I301" s="10" t="str">
        <f>INDEX(Country,MATCH(ClientDB[[#This Row],[Country Code]],Country_Codes,0),1)</f>
        <v>United States</v>
      </c>
      <c r="J301" s="15">
        <v>7</v>
      </c>
      <c r="K301" s="15" t="str">
        <f>IF(ClientDB[[#This Row],[Start Date]]&gt;=$U$14,"New","")</f>
        <v/>
      </c>
      <c r="L301" s="15" t="str">
        <f>IF(AND(ClientDB[[#This Row],[Start Year]]&lt;2016,ClientDB[[#This Row],[Events]]&gt;=6),"Gift","")</f>
        <v/>
      </c>
      <c r="M30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1" s="15">
        <v>1</v>
      </c>
      <c r="O301" s="32">
        <f>ClientDB[[#This Row],[Days]]*IF(ClientDB[[#This Row],[Days]]&gt;1,$V$8,$V$7)</f>
        <v>350</v>
      </c>
      <c r="P30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301" s="15" t="s">
        <v>900</v>
      </c>
      <c r="R301" s="15" t="str">
        <f>INDEX(seat_table,MATCH(ClientDB[[#This Row],[Country Code]],seat_country_code,0),MATCH(ClientDB[[#This Row],[Meal]],meal,0))</f>
        <v>F</v>
      </c>
    </row>
    <row r="302" spans="1:18" x14ac:dyDescent="0.25">
      <c r="A302" s="10">
        <v>34403</v>
      </c>
      <c r="B302" t="s">
        <v>372</v>
      </c>
      <c r="C302" t="s">
        <v>426</v>
      </c>
      <c r="D302" s="18">
        <v>42789</v>
      </c>
      <c r="E302" s="10">
        <f>YEAR(ClientDB[[#This Row],[Start Date]])</f>
        <v>2017</v>
      </c>
      <c r="F302" t="s">
        <v>827</v>
      </c>
      <c r="G302" t="str">
        <f>VLOOKUP(ClientDB[[#This Row],[Org Code]],organization_table[],2)</f>
        <v>Ripple Com</v>
      </c>
      <c r="H302" s="10" t="s">
        <v>15</v>
      </c>
      <c r="I302" s="10" t="str">
        <f>INDEX(Country,MATCH(ClientDB[[#This Row],[Country Code]],Country_Codes,0),1)</f>
        <v>United Kingdom</v>
      </c>
      <c r="J302" s="15">
        <v>2</v>
      </c>
      <c r="K302" s="15" t="str">
        <f>IF(ClientDB[[#This Row],[Start Date]]&gt;=$U$14,"New","")</f>
        <v/>
      </c>
      <c r="L302" s="15" t="str">
        <f>IF(AND(ClientDB[[#This Row],[Start Year]]&lt;2016,ClientDB[[#This Row],[Events]]&gt;=6),"Gift","")</f>
        <v/>
      </c>
      <c r="M30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2" s="15">
        <v>1</v>
      </c>
      <c r="O302" s="32">
        <f>ClientDB[[#This Row],[Days]]*IF(ClientDB[[#This Row],[Days]]&gt;1,$V$8,$V$7)</f>
        <v>350</v>
      </c>
      <c r="P30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02" s="15" t="s">
        <v>900</v>
      </c>
      <c r="R302" s="15" t="str">
        <f>INDEX(seat_table,MATCH(ClientDB[[#This Row],[Country Code]],seat_country_code,0),MATCH(ClientDB[[#This Row],[Meal]],meal,0))</f>
        <v>A</v>
      </c>
    </row>
    <row r="303" spans="1:18" x14ac:dyDescent="0.25">
      <c r="A303" s="10">
        <v>34625</v>
      </c>
      <c r="B303" t="s">
        <v>460</v>
      </c>
      <c r="C303" t="s">
        <v>461</v>
      </c>
      <c r="D303" s="18">
        <v>43003</v>
      </c>
      <c r="E303" s="10">
        <f>YEAR(ClientDB[[#This Row],[Start Date]])</f>
        <v>2017</v>
      </c>
      <c r="F303" t="s">
        <v>838</v>
      </c>
      <c r="G303" t="str">
        <f>VLOOKUP(ClientDB[[#This Row],[Org Code]],organization_table[],2)</f>
        <v>xLAN Internet Exchange</v>
      </c>
      <c r="H303" s="10" t="s">
        <v>54</v>
      </c>
      <c r="I303" s="10" t="str">
        <f>INDEX(Country,MATCH(ClientDB[[#This Row],[Country Code]],Country_Codes,0),1)</f>
        <v>Romania</v>
      </c>
      <c r="J303" s="15">
        <v>4</v>
      </c>
      <c r="K303" s="15" t="str">
        <f>IF(ClientDB[[#This Row],[Start Date]]&gt;=$U$14,"New","")</f>
        <v/>
      </c>
      <c r="L303" s="15" t="str">
        <f>IF(AND(ClientDB[[#This Row],[Start Year]]&lt;2016,ClientDB[[#This Row],[Events]]&gt;=6),"Gift","")</f>
        <v/>
      </c>
      <c r="M30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3" s="15">
        <v>2</v>
      </c>
      <c r="O303" s="32">
        <f>ClientDB[[#This Row],[Days]]*IF(ClientDB[[#This Row],[Days]]&gt;1,$V$8,$V$7)</f>
        <v>600</v>
      </c>
      <c r="P30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03" s="15" t="s">
        <v>902</v>
      </c>
      <c r="R303" s="15" t="str">
        <f>INDEX(seat_table,MATCH(ClientDB[[#This Row],[Country Code]],seat_country_code,0),MATCH(ClientDB[[#This Row],[Meal]],meal,0))</f>
        <v>C</v>
      </c>
    </row>
    <row r="304" spans="1:18" x14ac:dyDescent="0.25">
      <c r="A304" s="10">
        <v>34658</v>
      </c>
      <c r="B304" t="s">
        <v>309</v>
      </c>
      <c r="C304" t="s">
        <v>310</v>
      </c>
      <c r="D304" s="18">
        <v>43164</v>
      </c>
      <c r="E304" s="10">
        <f>YEAR(ClientDB[[#This Row],[Start Date]])</f>
        <v>2018</v>
      </c>
      <c r="F304" t="s">
        <v>813</v>
      </c>
      <c r="G304" t="str">
        <f>VLOOKUP(ClientDB[[#This Row],[Org Code]],organization_table[],2)</f>
        <v>HeatProof</v>
      </c>
      <c r="H304" s="10" t="s">
        <v>311</v>
      </c>
      <c r="I304" s="10" t="str">
        <f>INDEX(Country,MATCH(ClientDB[[#This Row],[Country Code]],Country_Codes,0),1)</f>
        <v>France</v>
      </c>
      <c r="J304" s="15">
        <v>5</v>
      </c>
      <c r="K304" s="15" t="str">
        <f>IF(ClientDB[[#This Row],[Start Date]]&gt;=$U$14,"New","")</f>
        <v/>
      </c>
      <c r="L304" s="15" t="str">
        <f>IF(AND(ClientDB[[#This Row],[Start Year]]&lt;2016,ClientDB[[#This Row],[Events]]&gt;=6),"Gift","")</f>
        <v/>
      </c>
      <c r="M30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4" s="15">
        <v>1</v>
      </c>
      <c r="O304" s="32">
        <f>ClientDB[[#This Row],[Days]]*IF(ClientDB[[#This Row],[Days]]&gt;1,$V$8,$V$7)</f>
        <v>350</v>
      </c>
      <c r="P30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304" s="15" t="s">
        <v>901</v>
      </c>
      <c r="R304" s="15" t="str">
        <f>INDEX(seat_table,MATCH(ClientDB[[#This Row],[Country Code]],seat_country_code,0),MATCH(ClientDB[[#This Row],[Meal]],meal,0))</f>
        <v>D</v>
      </c>
    </row>
    <row r="305" spans="1:18" x14ac:dyDescent="0.25">
      <c r="A305" s="10">
        <v>34701</v>
      </c>
      <c r="B305" t="s">
        <v>47</v>
      </c>
      <c r="C305" t="s">
        <v>635</v>
      </c>
      <c r="D305" s="18">
        <v>42675</v>
      </c>
      <c r="E305" s="10">
        <f>YEAR(ClientDB[[#This Row],[Start Date]])</f>
        <v>2016</v>
      </c>
      <c r="F305" t="s">
        <v>805</v>
      </c>
      <c r="G305" t="str">
        <f>VLOOKUP(ClientDB[[#This Row],[Org Code]],organization_table[],2)</f>
        <v>DENIL</v>
      </c>
      <c r="H305" s="10" t="s">
        <v>59</v>
      </c>
      <c r="I305" s="10" t="str">
        <f>INDEX(Country,MATCH(ClientDB[[#This Row],[Country Code]],Country_Codes,0),1)</f>
        <v>Netherlands</v>
      </c>
      <c r="J305" s="15">
        <v>5</v>
      </c>
      <c r="K305" s="15" t="str">
        <f>IF(ClientDB[[#This Row],[Start Date]]&gt;=$U$14,"New","")</f>
        <v/>
      </c>
      <c r="L305" s="15" t="str">
        <f>IF(AND(ClientDB[[#This Row],[Start Year]]&lt;2016,ClientDB[[#This Row],[Events]]&gt;=6),"Gift","")</f>
        <v/>
      </c>
      <c r="M30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5" s="15">
        <v>2</v>
      </c>
      <c r="O305" s="32">
        <f>ClientDB[[#This Row],[Days]]*IF(ClientDB[[#This Row],[Days]]&gt;1,$V$8,$V$7)</f>
        <v>600</v>
      </c>
      <c r="P30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305" s="15" t="s">
        <v>902</v>
      </c>
      <c r="R305" s="15" t="str">
        <f>INDEX(seat_table,MATCH(ClientDB[[#This Row],[Country Code]],seat_country_code,0),MATCH(ClientDB[[#This Row],[Meal]],meal,0))</f>
        <v>C</v>
      </c>
    </row>
    <row r="306" spans="1:18" x14ac:dyDescent="0.25">
      <c r="A306" s="10">
        <v>34787</v>
      </c>
      <c r="B306" t="s">
        <v>699</v>
      </c>
      <c r="C306" t="s">
        <v>700</v>
      </c>
      <c r="D306" s="18">
        <v>43941</v>
      </c>
      <c r="E306" s="10">
        <f>YEAR(ClientDB[[#This Row],[Start Date]])</f>
        <v>2020</v>
      </c>
      <c r="F306" t="s">
        <v>826</v>
      </c>
      <c r="G306" t="str">
        <f>VLOOKUP(ClientDB[[#This Row],[Org Code]],organization_table[],2)</f>
        <v>Ripple Com</v>
      </c>
      <c r="H306" s="10" t="s">
        <v>155</v>
      </c>
      <c r="I306" s="10" t="str">
        <f>INDEX(Country,MATCH(ClientDB[[#This Row],[Country Code]],Country_Codes,0),1)</f>
        <v>United Arab Emirates</v>
      </c>
      <c r="J306" s="15">
        <v>1</v>
      </c>
      <c r="K306" s="15" t="str">
        <f>IF(ClientDB[[#This Row],[Start Date]]&gt;=$U$14,"New","")</f>
        <v>New</v>
      </c>
      <c r="L306" s="15" t="str">
        <f>IF(AND(ClientDB[[#This Row],[Start Year]]&lt;2016,ClientDB[[#This Row],[Events]]&gt;=6),"Gift","")</f>
        <v/>
      </c>
      <c r="M30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6" s="15">
        <v>1</v>
      </c>
      <c r="O306" s="32">
        <f>ClientDB[[#This Row],[Days]]*IF(ClientDB[[#This Row],[Days]]&gt;1,$V$8,$V$7)</f>
        <v>350</v>
      </c>
      <c r="P30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06" s="15" t="s">
        <v>902</v>
      </c>
      <c r="R306" s="15" t="str">
        <f>INDEX(seat_table,MATCH(ClientDB[[#This Row],[Country Code]],seat_country_code,0),MATCH(ClientDB[[#This Row],[Meal]],meal,0))</f>
        <v>B</v>
      </c>
    </row>
    <row r="307" spans="1:18" x14ac:dyDescent="0.25">
      <c r="A307" s="10">
        <v>34974</v>
      </c>
      <c r="B307" t="s">
        <v>472</v>
      </c>
      <c r="C307" t="s">
        <v>473</v>
      </c>
      <c r="D307" s="18">
        <v>42762</v>
      </c>
      <c r="E307" s="10">
        <f>YEAR(ClientDB[[#This Row],[Start Date]])</f>
        <v>2017</v>
      </c>
      <c r="F307" t="s">
        <v>815</v>
      </c>
      <c r="G307" t="str">
        <f>VLOOKUP(ClientDB[[#This Row],[Org Code]],organization_table[],2)</f>
        <v>Intelligence Systems</v>
      </c>
      <c r="H307" s="10" t="s">
        <v>124</v>
      </c>
      <c r="I307" s="10" t="str">
        <f>INDEX(Country,MATCH(ClientDB[[#This Row],[Country Code]],Country_Codes,0),1)</f>
        <v>Lebanon</v>
      </c>
      <c r="J307" s="15">
        <v>3</v>
      </c>
      <c r="K307" s="15" t="str">
        <f>IF(ClientDB[[#This Row],[Start Date]]&gt;=$U$14,"New","")</f>
        <v/>
      </c>
      <c r="L307" s="15" t="str">
        <f>IF(AND(ClientDB[[#This Row],[Start Year]]&lt;2016,ClientDB[[#This Row],[Events]]&gt;=6),"Gift","")</f>
        <v/>
      </c>
      <c r="M30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7" s="15">
        <v>3</v>
      </c>
      <c r="O307" s="32">
        <f>ClientDB[[#This Row],[Days]]*IF(ClientDB[[#This Row],[Days]]&gt;1,$V$8,$V$7)</f>
        <v>900</v>
      </c>
      <c r="P30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07" s="15" t="s">
        <v>902</v>
      </c>
      <c r="R307" s="15" t="str">
        <f>INDEX(seat_table,MATCH(ClientDB[[#This Row],[Country Code]],seat_country_code,0),MATCH(ClientDB[[#This Row],[Meal]],meal,0))</f>
        <v>C</v>
      </c>
    </row>
    <row r="308" spans="1:18" x14ac:dyDescent="0.25">
      <c r="A308" s="10">
        <v>35066</v>
      </c>
      <c r="B308" t="s">
        <v>406</v>
      </c>
      <c r="C308" t="s">
        <v>482</v>
      </c>
      <c r="D308" s="18">
        <v>42939</v>
      </c>
      <c r="E308" s="10">
        <f>YEAR(ClientDB[[#This Row],[Start Date]])</f>
        <v>2017</v>
      </c>
      <c r="F308" t="s">
        <v>820</v>
      </c>
      <c r="G308" t="str">
        <f>VLOOKUP(ClientDB[[#This Row],[Org Code]],organization_table[],2)</f>
        <v>Oglev</v>
      </c>
      <c r="H308" s="10" t="s">
        <v>124</v>
      </c>
      <c r="I308" s="10" t="str">
        <f>INDEX(Country,MATCH(ClientDB[[#This Row],[Country Code]],Country_Codes,0),1)</f>
        <v>Lebanon</v>
      </c>
      <c r="J308" s="15">
        <v>3</v>
      </c>
      <c r="K308" s="15" t="str">
        <f>IF(ClientDB[[#This Row],[Start Date]]&gt;=$U$14,"New","")</f>
        <v/>
      </c>
      <c r="L308" s="15" t="str">
        <f>IF(AND(ClientDB[[#This Row],[Start Year]]&lt;2016,ClientDB[[#This Row],[Events]]&gt;=6),"Gift","")</f>
        <v/>
      </c>
      <c r="M30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8" s="15">
        <v>2</v>
      </c>
      <c r="O308" s="32">
        <f>ClientDB[[#This Row],[Days]]*IF(ClientDB[[#This Row],[Days]]&gt;1,$V$8,$V$7)</f>
        <v>600</v>
      </c>
      <c r="P30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08" s="15" t="s">
        <v>899</v>
      </c>
      <c r="R308" s="15" t="str">
        <f>INDEX(seat_table,MATCH(ClientDB[[#This Row],[Country Code]],seat_country_code,0),MATCH(ClientDB[[#This Row],[Meal]],meal,0))</f>
        <v>B</v>
      </c>
    </row>
    <row r="309" spans="1:18" x14ac:dyDescent="0.25">
      <c r="A309" s="10">
        <v>35074</v>
      </c>
      <c r="B309" t="s">
        <v>414</v>
      </c>
      <c r="C309" t="s">
        <v>415</v>
      </c>
      <c r="D309" s="18">
        <v>42209</v>
      </c>
      <c r="E309" s="10">
        <f>YEAR(ClientDB[[#This Row],[Start Date]])</f>
        <v>2015</v>
      </c>
      <c r="F309" t="s">
        <v>820</v>
      </c>
      <c r="G309" t="str">
        <f>VLOOKUP(ClientDB[[#This Row],[Org Code]],organization_table[],2)</f>
        <v>Oglev</v>
      </c>
      <c r="H309" s="10" t="s">
        <v>416</v>
      </c>
      <c r="I309" s="10" t="str">
        <f>INDEX(Country,MATCH(ClientDB[[#This Row],[Country Code]],Country_Codes,0),1)</f>
        <v>Kenya</v>
      </c>
      <c r="J309" s="15">
        <v>8</v>
      </c>
      <c r="K309" s="15" t="str">
        <f>IF(ClientDB[[#This Row],[Start Date]]&gt;=$U$14,"New","")</f>
        <v/>
      </c>
      <c r="L309" s="15" t="str">
        <f>IF(AND(ClientDB[[#This Row],[Start Year]]&lt;2016,ClientDB[[#This Row],[Events]]&gt;=6),"Gift","")</f>
        <v>Gift</v>
      </c>
      <c r="M30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09" s="15">
        <v>3</v>
      </c>
      <c r="O309" s="32">
        <f>ClientDB[[#This Row],[Days]]*IF(ClientDB[[#This Row],[Days]]&gt;1,$V$8,$V$7)</f>
        <v>900</v>
      </c>
      <c r="P30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09" s="15" t="s">
        <v>902</v>
      </c>
      <c r="R309" s="15" t="str">
        <f>INDEX(seat_table,MATCH(ClientDB[[#This Row],[Country Code]],seat_country_code,0),MATCH(ClientDB[[#This Row],[Meal]],meal,0))</f>
        <v>C</v>
      </c>
    </row>
    <row r="310" spans="1:18" x14ac:dyDescent="0.25">
      <c r="A310" s="10">
        <v>35075</v>
      </c>
      <c r="B310" t="s">
        <v>466</v>
      </c>
      <c r="C310" t="s">
        <v>458</v>
      </c>
      <c r="D310" s="18">
        <v>42780</v>
      </c>
      <c r="E310" s="10">
        <f>YEAR(ClientDB[[#This Row],[Start Date]])</f>
        <v>2017</v>
      </c>
      <c r="F310" t="s">
        <v>804</v>
      </c>
      <c r="G310" t="str">
        <f>VLOOKUP(ClientDB[[#This Row],[Org Code]],organization_table[],2)</f>
        <v>Cyber Data Processing</v>
      </c>
      <c r="H310" s="10" t="s">
        <v>155</v>
      </c>
      <c r="I310" s="10" t="str">
        <f>INDEX(Country,MATCH(ClientDB[[#This Row],[Country Code]],Country_Codes,0),1)</f>
        <v>United Arab Emirates</v>
      </c>
      <c r="J310" s="15">
        <v>3</v>
      </c>
      <c r="K310" s="15" t="str">
        <f>IF(ClientDB[[#This Row],[Start Date]]&gt;=$U$14,"New","")</f>
        <v/>
      </c>
      <c r="L310" s="15" t="str">
        <f>IF(AND(ClientDB[[#This Row],[Start Year]]&lt;2016,ClientDB[[#This Row],[Events]]&gt;=6),"Gift","")</f>
        <v/>
      </c>
      <c r="M31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0" s="15">
        <v>1</v>
      </c>
      <c r="O310" s="32">
        <f>ClientDB[[#This Row],[Days]]*IF(ClientDB[[#This Row],[Days]]&gt;1,$V$8,$V$7)</f>
        <v>350</v>
      </c>
      <c r="P31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10" s="15" t="s">
        <v>902</v>
      </c>
      <c r="R310" s="15" t="str">
        <f>INDEX(seat_table,MATCH(ClientDB[[#This Row],[Country Code]],seat_country_code,0),MATCH(ClientDB[[#This Row],[Meal]],meal,0))</f>
        <v>B</v>
      </c>
    </row>
    <row r="311" spans="1:18" x14ac:dyDescent="0.25">
      <c r="A311" s="10">
        <v>35131</v>
      </c>
      <c r="B311" t="s">
        <v>67</v>
      </c>
      <c r="C311" t="s">
        <v>68</v>
      </c>
      <c r="D311" s="18">
        <v>42886</v>
      </c>
      <c r="E311" s="10">
        <f>YEAR(ClientDB[[#This Row],[Start Date]])</f>
        <v>2017</v>
      </c>
      <c r="F311" t="s">
        <v>799</v>
      </c>
      <c r="G311" t="str">
        <f>VLOOKUP(ClientDB[[#This Row],[Org Code]],organization_table[],2)</f>
        <v>ByteSize</v>
      </c>
      <c r="H311" s="10" t="s">
        <v>15</v>
      </c>
      <c r="I311" s="10" t="str">
        <f>INDEX(Country,MATCH(ClientDB[[#This Row],[Country Code]],Country_Codes,0),1)</f>
        <v>United Kingdom</v>
      </c>
      <c r="J311" s="15">
        <v>8</v>
      </c>
      <c r="K311" s="15" t="str">
        <f>IF(ClientDB[[#This Row],[Start Date]]&gt;=$U$14,"New","")</f>
        <v/>
      </c>
      <c r="L311" s="15" t="str">
        <f>IF(AND(ClientDB[[#This Row],[Start Year]]&lt;2016,ClientDB[[#This Row],[Events]]&gt;=6),"Gift","")</f>
        <v/>
      </c>
      <c r="M31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1" s="15">
        <v>3</v>
      </c>
      <c r="O311" s="32">
        <f>ClientDB[[#This Row],[Days]]*IF(ClientDB[[#This Row],[Days]]&gt;1,$V$8,$V$7)</f>
        <v>900</v>
      </c>
      <c r="P31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11" s="15" t="s">
        <v>902</v>
      </c>
      <c r="R311" s="15" t="str">
        <f>INDEX(seat_table,MATCH(ClientDB[[#This Row],[Country Code]],seat_country_code,0),MATCH(ClientDB[[#This Row],[Meal]],meal,0))</f>
        <v>B</v>
      </c>
    </row>
    <row r="312" spans="1:18" x14ac:dyDescent="0.25">
      <c r="A312" s="10">
        <v>35160</v>
      </c>
      <c r="B312" t="s">
        <v>649</v>
      </c>
      <c r="C312" t="s">
        <v>650</v>
      </c>
      <c r="D312" s="18">
        <v>43954</v>
      </c>
      <c r="E312" s="10">
        <f>YEAR(ClientDB[[#This Row],[Start Date]])</f>
        <v>2020</v>
      </c>
      <c r="F312" t="s">
        <v>798</v>
      </c>
      <c r="G312" t="str">
        <f>VLOOKUP(ClientDB[[#This Row],[Org Code]],organization_table[],2)</f>
        <v>Axell Group</v>
      </c>
      <c r="H312" s="10" t="s">
        <v>78</v>
      </c>
      <c r="I312" s="10" t="str">
        <f>INDEX(Country,MATCH(ClientDB[[#This Row],[Country Code]],Country_Codes,0),1)</f>
        <v>Sweden</v>
      </c>
      <c r="J312" s="15">
        <v>2</v>
      </c>
      <c r="K312" s="15" t="str">
        <f>IF(ClientDB[[#This Row],[Start Date]]&gt;=$U$14,"New","")</f>
        <v>New</v>
      </c>
      <c r="L312" s="15" t="str">
        <f>IF(AND(ClientDB[[#This Row],[Start Year]]&lt;2016,ClientDB[[#This Row],[Events]]&gt;=6),"Gift","")</f>
        <v/>
      </c>
      <c r="M31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2" s="15">
        <v>2</v>
      </c>
      <c r="O312" s="32">
        <f>ClientDB[[#This Row],[Days]]*IF(ClientDB[[#This Row],[Days]]&gt;1,$V$8,$V$7)</f>
        <v>600</v>
      </c>
      <c r="P31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12" s="15" t="s">
        <v>901</v>
      </c>
      <c r="R312" s="15" t="str">
        <f>INDEX(seat_table,MATCH(ClientDB[[#This Row],[Country Code]],seat_country_code,0),MATCH(ClientDB[[#This Row],[Meal]],meal,0))</f>
        <v>G</v>
      </c>
    </row>
    <row r="313" spans="1:18" x14ac:dyDescent="0.25">
      <c r="A313" s="10">
        <v>35181</v>
      </c>
      <c r="B313" t="s">
        <v>55</v>
      </c>
      <c r="C313" t="s">
        <v>56</v>
      </c>
      <c r="D313" s="18">
        <v>43169</v>
      </c>
      <c r="E313" s="10">
        <f>YEAR(ClientDB[[#This Row],[Start Date]])</f>
        <v>2018</v>
      </c>
      <c r="F313" t="s">
        <v>806</v>
      </c>
      <c r="G313" t="str">
        <f>VLOOKUP(ClientDB[[#This Row],[Org Code]],organization_table[],2)</f>
        <v>DENIL</v>
      </c>
      <c r="H313" s="10" t="s">
        <v>34</v>
      </c>
      <c r="I313" s="10" t="str">
        <f>INDEX(Country,MATCH(ClientDB[[#This Row],[Country Code]],Country_Codes,0),1)</f>
        <v>United States</v>
      </c>
      <c r="J313" s="15">
        <v>2</v>
      </c>
      <c r="K313" s="15" t="str">
        <f>IF(ClientDB[[#This Row],[Start Date]]&gt;=$U$14,"New","")</f>
        <v/>
      </c>
      <c r="L313" s="15" t="str">
        <f>IF(AND(ClientDB[[#This Row],[Start Year]]&lt;2016,ClientDB[[#This Row],[Events]]&gt;=6),"Gift","")</f>
        <v/>
      </c>
      <c r="M31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3" s="15">
        <v>2</v>
      </c>
      <c r="O313" s="32">
        <f>ClientDB[[#This Row],[Days]]*IF(ClientDB[[#This Row],[Days]]&gt;1,$V$8,$V$7)</f>
        <v>600</v>
      </c>
      <c r="P31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13" s="15" t="s">
        <v>900</v>
      </c>
      <c r="R313" s="15" t="str">
        <f>INDEX(seat_table,MATCH(ClientDB[[#This Row],[Country Code]],seat_country_code,0),MATCH(ClientDB[[#This Row],[Meal]],meal,0))</f>
        <v>F</v>
      </c>
    </row>
    <row r="314" spans="1:18" x14ac:dyDescent="0.25">
      <c r="A314" s="10">
        <v>35213</v>
      </c>
      <c r="B314" t="s">
        <v>70</v>
      </c>
      <c r="C314" t="s">
        <v>71</v>
      </c>
      <c r="D314" s="18">
        <v>42757</v>
      </c>
      <c r="E314" s="10">
        <f>YEAR(ClientDB[[#This Row],[Start Date]])</f>
        <v>2017</v>
      </c>
      <c r="F314" t="s">
        <v>827</v>
      </c>
      <c r="G314" t="str">
        <f>VLOOKUP(ClientDB[[#This Row],[Org Code]],organization_table[],2)</f>
        <v>Ripple Com</v>
      </c>
      <c r="H314" s="10" t="s">
        <v>15</v>
      </c>
      <c r="I314" s="10" t="str">
        <f>INDEX(Country,MATCH(ClientDB[[#This Row],[Country Code]],Country_Codes,0),1)</f>
        <v>United Kingdom</v>
      </c>
      <c r="J314" s="15">
        <v>3</v>
      </c>
      <c r="K314" s="15" t="str">
        <f>IF(ClientDB[[#This Row],[Start Date]]&gt;=$U$14,"New","")</f>
        <v/>
      </c>
      <c r="L314" s="15" t="str">
        <f>IF(AND(ClientDB[[#This Row],[Start Year]]&lt;2016,ClientDB[[#This Row],[Events]]&gt;=6),"Gift","")</f>
        <v/>
      </c>
      <c r="M31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4" s="15">
        <v>3</v>
      </c>
      <c r="O314" s="32">
        <f>ClientDB[[#This Row],[Days]]*IF(ClientDB[[#This Row],[Days]]&gt;1,$V$8,$V$7)</f>
        <v>900</v>
      </c>
      <c r="P31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14" s="15" t="s">
        <v>899</v>
      </c>
      <c r="R314" s="15" t="str">
        <f>INDEX(seat_table,MATCH(ClientDB[[#This Row],[Country Code]],seat_country_code,0),MATCH(ClientDB[[#This Row],[Meal]],meal,0))</f>
        <v>A</v>
      </c>
    </row>
    <row r="315" spans="1:18" x14ac:dyDescent="0.25">
      <c r="A315" s="10">
        <v>35268</v>
      </c>
      <c r="B315" t="s">
        <v>212</v>
      </c>
      <c r="C315" t="s">
        <v>213</v>
      </c>
      <c r="D315" s="18">
        <v>43677</v>
      </c>
      <c r="E315" s="10">
        <f>YEAR(ClientDB[[#This Row],[Start Date]])</f>
        <v>2019</v>
      </c>
      <c r="F315" t="s">
        <v>796</v>
      </c>
      <c r="G315" t="str">
        <f>VLOOKUP(ClientDB[[#This Row],[Org Code]],organization_table[],2)</f>
        <v>Ares</v>
      </c>
      <c r="H315" s="10" t="s">
        <v>186</v>
      </c>
      <c r="I315" s="10" t="str">
        <f>INDEX(Country,MATCH(ClientDB[[#This Row],[Country Code]],Country_Codes,0),1)</f>
        <v>Slovenia</v>
      </c>
      <c r="J315" s="15">
        <v>4</v>
      </c>
      <c r="K315" s="15" t="str">
        <f>IF(ClientDB[[#This Row],[Start Date]]&gt;=$U$14,"New","")</f>
        <v/>
      </c>
      <c r="L315" s="15" t="str">
        <f>IF(AND(ClientDB[[#This Row],[Start Year]]&lt;2016,ClientDB[[#This Row],[Events]]&gt;=6),"Gift","")</f>
        <v/>
      </c>
      <c r="M31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5" s="15">
        <v>3</v>
      </c>
      <c r="O315" s="32">
        <f>ClientDB[[#This Row],[Days]]*IF(ClientDB[[#This Row],[Days]]&gt;1,$V$8,$V$7)</f>
        <v>900</v>
      </c>
      <c r="P31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15" s="15" t="s">
        <v>902</v>
      </c>
      <c r="R315" s="15" t="str">
        <f>INDEX(seat_table,MATCH(ClientDB[[#This Row],[Country Code]],seat_country_code,0),MATCH(ClientDB[[#This Row],[Meal]],meal,0))</f>
        <v>C</v>
      </c>
    </row>
    <row r="316" spans="1:18" x14ac:dyDescent="0.25">
      <c r="A316" s="10">
        <v>35410</v>
      </c>
      <c r="B316" t="s">
        <v>525</v>
      </c>
      <c r="C316" t="s">
        <v>526</v>
      </c>
      <c r="D316" s="18">
        <v>43462</v>
      </c>
      <c r="E316" s="10">
        <f>YEAR(ClientDB[[#This Row],[Start Date]])</f>
        <v>2018</v>
      </c>
      <c r="F316" t="s">
        <v>820</v>
      </c>
      <c r="G316" t="str">
        <f>VLOOKUP(ClientDB[[#This Row],[Org Code]],organization_table[],2)</f>
        <v>Oglev</v>
      </c>
      <c r="H316" s="10" t="s">
        <v>42</v>
      </c>
      <c r="I316" s="10" t="str">
        <f>INDEX(Country,MATCH(ClientDB[[#This Row],[Country Code]],Country_Codes,0),1)</f>
        <v>Slovakia</v>
      </c>
      <c r="J316" s="15">
        <v>2</v>
      </c>
      <c r="K316" s="15" t="str">
        <f>IF(ClientDB[[#This Row],[Start Date]]&gt;=$U$14,"New","")</f>
        <v/>
      </c>
      <c r="L316" s="15" t="str">
        <f>IF(AND(ClientDB[[#This Row],[Start Year]]&lt;2016,ClientDB[[#This Row],[Events]]&gt;=6),"Gift","")</f>
        <v/>
      </c>
      <c r="M31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6" s="15">
        <v>1</v>
      </c>
      <c r="O316" s="32">
        <f>ClientDB[[#This Row],[Days]]*IF(ClientDB[[#This Row],[Days]]&gt;1,$V$8,$V$7)</f>
        <v>350</v>
      </c>
      <c r="P31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16" s="15" t="s">
        <v>901</v>
      </c>
      <c r="R316" s="15" t="str">
        <f>INDEX(seat_table,MATCH(ClientDB[[#This Row],[Country Code]],seat_country_code,0),MATCH(ClientDB[[#This Row],[Meal]],meal,0))</f>
        <v>G</v>
      </c>
    </row>
    <row r="317" spans="1:18" x14ac:dyDescent="0.25">
      <c r="A317" s="10">
        <v>35444</v>
      </c>
      <c r="B317" t="s">
        <v>263</v>
      </c>
      <c r="C317" t="s">
        <v>606</v>
      </c>
      <c r="D317" s="18">
        <v>43795</v>
      </c>
      <c r="E317" s="10">
        <f>YEAR(ClientDB[[#This Row],[Start Date]])</f>
        <v>2019</v>
      </c>
      <c r="F317" t="s">
        <v>837</v>
      </c>
      <c r="G317" t="str">
        <f>VLOOKUP(ClientDB[[#This Row],[Org Code]],organization_table[],2)</f>
        <v>Verisize</v>
      </c>
      <c r="H317" s="10" t="s">
        <v>46</v>
      </c>
      <c r="I317" s="10" t="str">
        <f>INDEX(Country,MATCH(ClientDB[[#This Row],[Country Code]],Country_Codes,0),1)</f>
        <v>Germany</v>
      </c>
      <c r="J317" s="15">
        <v>3</v>
      </c>
      <c r="K317" s="15" t="str">
        <f>IF(ClientDB[[#This Row],[Start Date]]&gt;=$U$14,"New","")</f>
        <v/>
      </c>
      <c r="L317" s="15" t="str">
        <f>IF(AND(ClientDB[[#This Row],[Start Year]]&lt;2016,ClientDB[[#This Row],[Events]]&gt;=6),"Gift","")</f>
        <v/>
      </c>
      <c r="M31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7" s="15">
        <v>2</v>
      </c>
      <c r="O317" s="32">
        <f>ClientDB[[#This Row],[Days]]*IF(ClientDB[[#This Row],[Days]]&gt;1,$V$8,$V$7)</f>
        <v>600</v>
      </c>
      <c r="P31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17" s="15" t="s">
        <v>900</v>
      </c>
      <c r="R317" s="15" t="str">
        <f>INDEX(seat_table,MATCH(ClientDB[[#This Row],[Country Code]],seat_country_code,0),MATCH(ClientDB[[#This Row],[Meal]],meal,0))</f>
        <v>A</v>
      </c>
    </row>
    <row r="318" spans="1:18" x14ac:dyDescent="0.25">
      <c r="A318" s="10">
        <v>35525</v>
      </c>
      <c r="B318" t="s">
        <v>138</v>
      </c>
      <c r="C318" t="s">
        <v>139</v>
      </c>
      <c r="D318" s="18">
        <v>42935</v>
      </c>
      <c r="E318" s="10">
        <f>YEAR(ClientDB[[#This Row],[Start Date]])</f>
        <v>2017</v>
      </c>
      <c r="F318" t="s">
        <v>795</v>
      </c>
      <c r="G318" t="str">
        <f>VLOOKUP(ClientDB[[#This Row],[Org Code]],organization_table[],2)</f>
        <v>AHA Networks</v>
      </c>
      <c r="H318" s="10" t="s">
        <v>11</v>
      </c>
      <c r="I318" s="10" t="str">
        <f>INDEX(Country,MATCH(ClientDB[[#This Row],[Country Code]],Country_Codes,0),1)</f>
        <v>Austria</v>
      </c>
      <c r="J318" s="15">
        <v>11</v>
      </c>
      <c r="K318" s="15" t="str">
        <f>IF(ClientDB[[#This Row],[Start Date]]&gt;=$U$14,"New","")</f>
        <v/>
      </c>
      <c r="L318" s="15" t="str">
        <f>IF(AND(ClientDB[[#This Row],[Start Year]]&lt;2016,ClientDB[[#This Row],[Events]]&gt;=6),"Gift","")</f>
        <v/>
      </c>
      <c r="M31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18" s="15">
        <v>1</v>
      </c>
      <c r="O318" s="32">
        <f>ClientDB[[#This Row],[Days]]*IF(ClientDB[[#This Row],[Days]]&gt;1,$V$8,$V$7)</f>
        <v>350</v>
      </c>
      <c r="P31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18" s="15" t="s">
        <v>901</v>
      </c>
      <c r="R318" s="15" t="str">
        <f>INDEX(seat_table,MATCH(ClientDB[[#This Row],[Country Code]],seat_country_code,0),MATCH(ClientDB[[#This Row],[Meal]],meal,0))</f>
        <v>D</v>
      </c>
    </row>
    <row r="319" spans="1:18" x14ac:dyDescent="0.25">
      <c r="A319" s="10">
        <v>35718</v>
      </c>
      <c r="B319" t="s">
        <v>298</v>
      </c>
      <c r="C319" t="s">
        <v>299</v>
      </c>
      <c r="D319" s="18">
        <v>43485</v>
      </c>
      <c r="E319" s="10">
        <f>YEAR(ClientDB[[#This Row],[Start Date]])</f>
        <v>2019</v>
      </c>
      <c r="F319" t="s">
        <v>809</v>
      </c>
      <c r="G319" t="str">
        <f>VLOOKUP(ClientDB[[#This Row],[Org Code]],organization_table[],2)</f>
        <v>Epsilon Tech</v>
      </c>
      <c r="H319" s="10" t="s">
        <v>15</v>
      </c>
      <c r="I319" s="10" t="str">
        <f>INDEX(Country,MATCH(ClientDB[[#This Row],[Country Code]],Country_Codes,0),1)</f>
        <v>United Kingdom</v>
      </c>
      <c r="J319" s="15">
        <v>2</v>
      </c>
      <c r="K319" s="15" t="str">
        <f>IF(ClientDB[[#This Row],[Start Date]]&gt;=$U$14,"New","")</f>
        <v/>
      </c>
      <c r="L319" s="15" t="str">
        <f>IF(AND(ClientDB[[#This Row],[Start Year]]&lt;2016,ClientDB[[#This Row],[Events]]&gt;=6),"Gift","")</f>
        <v/>
      </c>
      <c r="M31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19" s="15">
        <v>1</v>
      </c>
      <c r="O319" s="32">
        <f>ClientDB[[#This Row],[Days]]*IF(ClientDB[[#This Row],[Days]]&gt;1,$V$8,$V$7)</f>
        <v>350</v>
      </c>
      <c r="P31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19" s="15" t="s">
        <v>900</v>
      </c>
      <c r="R319" s="15" t="str">
        <f>INDEX(seat_table,MATCH(ClientDB[[#This Row],[Country Code]],seat_country_code,0),MATCH(ClientDB[[#This Row],[Meal]],meal,0))</f>
        <v>A</v>
      </c>
    </row>
    <row r="320" spans="1:18" x14ac:dyDescent="0.25">
      <c r="A320" s="10">
        <v>35888</v>
      </c>
      <c r="B320" t="s">
        <v>376</v>
      </c>
      <c r="C320" t="s">
        <v>377</v>
      </c>
      <c r="D320" s="18">
        <v>42491</v>
      </c>
      <c r="E320" s="10">
        <f>YEAR(ClientDB[[#This Row],[Start Date]])</f>
        <v>2016</v>
      </c>
      <c r="F320" t="s">
        <v>827</v>
      </c>
      <c r="G320" t="str">
        <f>VLOOKUP(ClientDB[[#This Row],[Org Code]],organization_table[],2)</f>
        <v>Ripple Com</v>
      </c>
      <c r="H320" s="10" t="s">
        <v>34</v>
      </c>
      <c r="I320" s="10" t="str">
        <f>INDEX(Country,MATCH(ClientDB[[#This Row],[Country Code]],Country_Codes,0),1)</f>
        <v>United States</v>
      </c>
      <c r="J320" s="15">
        <v>9</v>
      </c>
      <c r="K320" s="15" t="str">
        <f>IF(ClientDB[[#This Row],[Start Date]]&gt;=$U$14,"New","")</f>
        <v/>
      </c>
      <c r="L320" s="15" t="str">
        <f>IF(AND(ClientDB[[#This Row],[Start Year]]&lt;2016,ClientDB[[#This Row],[Events]]&gt;=6),"Gift","")</f>
        <v/>
      </c>
      <c r="M32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20" s="15">
        <v>2</v>
      </c>
      <c r="O320" s="32">
        <f>ClientDB[[#This Row],[Days]]*IF(ClientDB[[#This Row],[Days]]&gt;1,$V$8,$V$7)</f>
        <v>600</v>
      </c>
      <c r="P32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320" s="15" t="s">
        <v>899</v>
      </c>
      <c r="R320" s="15" t="str">
        <f>INDEX(seat_table,MATCH(ClientDB[[#This Row],[Country Code]],seat_country_code,0),MATCH(ClientDB[[#This Row],[Meal]],meal,0))</f>
        <v>F</v>
      </c>
    </row>
    <row r="321" spans="1:18" x14ac:dyDescent="0.25">
      <c r="A321" s="10">
        <v>36037</v>
      </c>
      <c r="B321" t="s">
        <v>12</v>
      </c>
      <c r="C321" t="s">
        <v>13</v>
      </c>
      <c r="D321" s="18">
        <v>43264</v>
      </c>
      <c r="E321" s="10">
        <f>YEAR(ClientDB[[#This Row],[Start Date]])</f>
        <v>2018</v>
      </c>
      <c r="F321" t="s">
        <v>801</v>
      </c>
      <c r="G321" t="str">
        <f>VLOOKUP(ClientDB[[#This Row],[Org Code]],organization_table[],2)</f>
        <v>Colot</v>
      </c>
      <c r="H321" s="10" t="s">
        <v>15</v>
      </c>
      <c r="I321" s="10" t="str">
        <f>INDEX(Country,MATCH(ClientDB[[#This Row],[Country Code]],Country_Codes,0),1)</f>
        <v>United Kingdom</v>
      </c>
      <c r="J321" s="15">
        <v>3</v>
      </c>
      <c r="K321" s="15" t="str">
        <f>IF(ClientDB[[#This Row],[Start Date]]&gt;=$U$14,"New","")</f>
        <v/>
      </c>
      <c r="L321" s="15" t="str">
        <f>IF(AND(ClientDB[[#This Row],[Start Year]]&lt;2016,ClientDB[[#This Row],[Events]]&gt;=6),"Gift","")</f>
        <v/>
      </c>
      <c r="M32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21" s="15">
        <v>1</v>
      </c>
      <c r="O321" s="32">
        <f>ClientDB[[#This Row],[Days]]*IF(ClientDB[[#This Row],[Days]]&gt;1,$V$8,$V$7)</f>
        <v>350</v>
      </c>
      <c r="P32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21" s="15" t="s">
        <v>899</v>
      </c>
      <c r="R321" s="15" t="str">
        <f>INDEX(seat_table,MATCH(ClientDB[[#This Row],[Country Code]],seat_country_code,0),MATCH(ClientDB[[#This Row],[Meal]],meal,0))</f>
        <v>A</v>
      </c>
    </row>
    <row r="322" spans="1:18" x14ac:dyDescent="0.25">
      <c r="A322" s="10">
        <v>36207</v>
      </c>
      <c r="B322" t="s">
        <v>225</v>
      </c>
      <c r="C322" t="s">
        <v>226</v>
      </c>
      <c r="D322" s="18">
        <v>43054</v>
      </c>
      <c r="E322" s="10">
        <f>YEAR(ClientDB[[#This Row],[Start Date]])</f>
        <v>2017</v>
      </c>
      <c r="F322" t="s">
        <v>810</v>
      </c>
      <c r="G322" t="str">
        <f>VLOOKUP(ClientDB[[#This Row],[Org Code]],organization_table[],2)</f>
        <v>Euro-M</v>
      </c>
      <c r="H322" s="10" t="s">
        <v>7</v>
      </c>
      <c r="I322" s="10" t="str">
        <f>INDEX(Country,MATCH(ClientDB[[#This Row],[Country Code]],Country_Codes,0),1)</f>
        <v>Iran</v>
      </c>
      <c r="J322" s="15">
        <v>11</v>
      </c>
      <c r="K322" s="15" t="str">
        <f>IF(ClientDB[[#This Row],[Start Date]]&gt;=$U$14,"New","")</f>
        <v/>
      </c>
      <c r="L322" s="15" t="str">
        <f>IF(AND(ClientDB[[#This Row],[Start Year]]&lt;2016,ClientDB[[#This Row],[Events]]&gt;=6),"Gift","")</f>
        <v/>
      </c>
      <c r="M32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22" s="15">
        <v>2</v>
      </c>
      <c r="O322" s="32">
        <f>ClientDB[[#This Row],[Days]]*IF(ClientDB[[#This Row],[Days]]&gt;1,$V$8,$V$7)</f>
        <v>600</v>
      </c>
      <c r="P32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322" s="15" t="s">
        <v>900</v>
      </c>
      <c r="R322" s="15" t="str">
        <f>INDEX(seat_table,MATCH(ClientDB[[#This Row],[Country Code]],seat_country_code,0),MATCH(ClientDB[[#This Row],[Meal]],meal,0))</f>
        <v>A</v>
      </c>
    </row>
    <row r="323" spans="1:18" x14ac:dyDescent="0.25">
      <c r="A323" s="10">
        <v>36369</v>
      </c>
      <c r="B323" t="s">
        <v>456</v>
      </c>
      <c r="C323" t="s">
        <v>457</v>
      </c>
      <c r="D323" s="18">
        <v>42806</v>
      </c>
      <c r="E323" s="10">
        <f>YEAR(ClientDB[[#This Row],[Start Date]])</f>
        <v>2017</v>
      </c>
      <c r="F323" t="s">
        <v>832</v>
      </c>
      <c r="G323" t="str">
        <f>VLOOKUP(ClientDB[[#This Row],[Org Code]],organization_table[],2)</f>
        <v>TQ Processes</v>
      </c>
      <c r="H323" s="10" t="s">
        <v>15</v>
      </c>
      <c r="I323" s="10" t="str">
        <f>INDEX(Country,MATCH(ClientDB[[#This Row],[Country Code]],Country_Codes,0),1)</f>
        <v>United Kingdom</v>
      </c>
      <c r="J323" s="15">
        <v>5</v>
      </c>
      <c r="K323" s="15" t="str">
        <f>IF(ClientDB[[#This Row],[Start Date]]&gt;=$U$14,"New","")</f>
        <v/>
      </c>
      <c r="L323" s="15" t="str">
        <f>IF(AND(ClientDB[[#This Row],[Start Year]]&lt;2016,ClientDB[[#This Row],[Events]]&gt;=6),"Gift","")</f>
        <v/>
      </c>
      <c r="M32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23" s="15">
        <v>1</v>
      </c>
      <c r="O323" s="32">
        <f>ClientDB[[#This Row],[Days]]*IF(ClientDB[[#This Row],[Days]]&gt;1,$V$8,$V$7)</f>
        <v>350</v>
      </c>
      <c r="P32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323" s="15" t="s">
        <v>899</v>
      </c>
      <c r="R323" s="15" t="str">
        <f>INDEX(seat_table,MATCH(ClientDB[[#This Row],[Country Code]],seat_country_code,0),MATCH(ClientDB[[#This Row],[Meal]],meal,0))</f>
        <v>A</v>
      </c>
    </row>
    <row r="324" spans="1:18" x14ac:dyDescent="0.25">
      <c r="A324" s="10">
        <v>36477</v>
      </c>
      <c r="B324" t="s">
        <v>759</v>
      </c>
      <c r="C324" t="s">
        <v>760</v>
      </c>
      <c r="D324" s="18">
        <v>42121</v>
      </c>
      <c r="E324" s="10">
        <f>YEAR(ClientDB[[#This Row],[Start Date]])</f>
        <v>2015</v>
      </c>
      <c r="F324" t="s">
        <v>817</v>
      </c>
      <c r="G324" t="str">
        <f>VLOOKUP(ClientDB[[#This Row],[Org Code]],organization_table[],2)</f>
        <v>LACNE</v>
      </c>
      <c r="H324" s="10" t="s">
        <v>761</v>
      </c>
      <c r="I324" s="10" t="str">
        <f>INDEX(Country,MATCH(ClientDB[[#This Row],[Country Code]],Country_Codes,0),1)</f>
        <v>Uruguay</v>
      </c>
      <c r="J324" s="15">
        <v>9</v>
      </c>
      <c r="K324" s="15" t="str">
        <f>IF(ClientDB[[#This Row],[Start Date]]&gt;=$U$14,"New","")</f>
        <v/>
      </c>
      <c r="L324" s="15" t="str">
        <f>IF(AND(ClientDB[[#This Row],[Start Year]]&lt;2016,ClientDB[[#This Row],[Events]]&gt;=6),"Gift","")</f>
        <v>Gift</v>
      </c>
      <c r="M32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24" s="15">
        <v>3</v>
      </c>
      <c r="O324" s="32">
        <f>ClientDB[[#This Row],[Days]]*IF(ClientDB[[#This Row],[Days]]&gt;1,$V$8,$V$7)</f>
        <v>900</v>
      </c>
      <c r="P32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24" s="15" t="s">
        <v>901</v>
      </c>
      <c r="R324" s="15" t="str">
        <f>INDEX(seat_table,MATCH(ClientDB[[#This Row],[Country Code]],seat_country_code,0),MATCH(ClientDB[[#This Row],[Meal]],meal,0))</f>
        <v>G</v>
      </c>
    </row>
    <row r="325" spans="1:18" x14ac:dyDescent="0.25">
      <c r="A325" s="10">
        <v>36495</v>
      </c>
      <c r="B325" t="s">
        <v>317</v>
      </c>
      <c r="C325" t="s">
        <v>318</v>
      </c>
      <c r="D325" s="18">
        <v>43731</v>
      </c>
      <c r="E325" s="10">
        <f>YEAR(ClientDB[[#This Row],[Start Date]])</f>
        <v>2019</v>
      </c>
      <c r="F325" t="s">
        <v>839</v>
      </c>
      <c r="G325" t="str">
        <f>VLOOKUP(ClientDB[[#This Row],[Org Code]],organization_table[],2)</f>
        <v>Zconnect, Inc</v>
      </c>
      <c r="H325" s="10" t="s">
        <v>34</v>
      </c>
      <c r="I325" s="10" t="str">
        <f>INDEX(Country,MATCH(ClientDB[[#This Row],[Country Code]],Country_Codes,0),1)</f>
        <v>United States</v>
      </c>
      <c r="J325" s="15">
        <v>2</v>
      </c>
      <c r="K325" s="15" t="str">
        <f>IF(ClientDB[[#This Row],[Start Date]]&gt;=$U$14,"New","")</f>
        <v/>
      </c>
      <c r="L325" s="15" t="str">
        <f>IF(AND(ClientDB[[#This Row],[Start Year]]&lt;2016,ClientDB[[#This Row],[Events]]&gt;=6),"Gift","")</f>
        <v/>
      </c>
      <c r="M32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25" s="15">
        <v>1</v>
      </c>
      <c r="O325" s="32">
        <f>ClientDB[[#This Row],[Days]]*IF(ClientDB[[#This Row],[Days]]&gt;1,$V$8,$V$7)</f>
        <v>350</v>
      </c>
      <c r="P32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25" s="15" t="s">
        <v>902</v>
      </c>
      <c r="R325" s="15" t="str">
        <f>INDEX(seat_table,MATCH(ClientDB[[#This Row],[Country Code]],seat_country_code,0),MATCH(ClientDB[[#This Row],[Meal]],meal,0))</f>
        <v>F</v>
      </c>
    </row>
    <row r="326" spans="1:18" x14ac:dyDescent="0.25">
      <c r="A326" s="10">
        <v>36563</v>
      </c>
      <c r="B326" t="s">
        <v>348</v>
      </c>
      <c r="C326" t="s">
        <v>349</v>
      </c>
      <c r="D326" s="18">
        <v>43110</v>
      </c>
      <c r="E326" s="10">
        <f>YEAR(ClientDB[[#This Row],[Start Date]])</f>
        <v>2018</v>
      </c>
      <c r="F326" t="s">
        <v>827</v>
      </c>
      <c r="G326" t="str">
        <f>VLOOKUP(ClientDB[[#This Row],[Org Code]],organization_table[],2)</f>
        <v>Ripple Com</v>
      </c>
      <c r="H326" s="10" t="s">
        <v>15</v>
      </c>
      <c r="I326" s="10" t="str">
        <f>INDEX(Country,MATCH(ClientDB[[#This Row],[Country Code]],Country_Codes,0),1)</f>
        <v>United Kingdom</v>
      </c>
      <c r="J326" s="15">
        <v>11</v>
      </c>
      <c r="K326" s="15" t="str">
        <f>IF(ClientDB[[#This Row],[Start Date]]&gt;=$U$14,"New","")</f>
        <v/>
      </c>
      <c r="L326" s="15" t="str">
        <f>IF(AND(ClientDB[[#This Row],[Start Year]]&lt;2016,ClientDB[[#This Row],[Events]]&gt;=6),"Gift","")</f>
        <v/>
      </c>
      <c r="M32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26" s="15">
        <v>1</v>
      </c>
      <c r="O326" s="32">
        <f>ClientDB[[#This Row],[Days]]*IF(ClientDB[[#This Row],[Days]]&gt;1,$V$8,$V$7)</f>
        <v>350</v>
      </c>
      <c r="P32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26" s="15" t="s">
        <v>901</v>
      </c>
      <c r="R326" s="15" t="str">
        <f>INDEX(seat_table,MATCH(ClientDB[[#This Row],[Country Code]],seat_country_code,0),MATCH(ClientDB[[#This Row],[Meal]],meal,0))</f>
        <v>E</v>
      </c>
    </row>
    <row r="327" spans="1:18" x14ac:dyDescent="0.25">
      <c r="A327" s="10">
        <v>36573</v>
      </c>
      <c r="B327" t="s">
        <v>64</v>
      </c>
      <c r="C327" t="s">
        <v>65</v>
      </c>
      <c r="D327" s="18">
        <v>42658</v>
      </c>
      <c r="E327" s="10">
        <f>YEAR(ClientDB[[#This Row],[Start Date]])</f>
        <v>2016</v>
      </c>
      <c r="F327" t="s">
        <v>809</v>
      </c>
      <c r="G327" t="str">
        <f>VLOOKUP(ClientDB[[#This Row],[Org Code]],organization_table[],2)</f>
        <v>Epsilon Tech</v>
      </c>
      <c r="H327" s="10" t="s">
        <v>7</v>
      </c>
      <c r="I327" s="10" t="str">
        <f>INDEX(Country,MATCH(ClientDB[[#This Row],[Country Code]],Country_Codes,0),1)</f>
        <v>Iran</v>
      </c>
      <c r="J327" s="15">
        <v>3</v>
      </c>
      <c r="K327" s="15" t="str">
        <f>IF(ClientDB[[#This Row],[Start Date]]&gt;=$U$14,"New","")</f>
        <v/>
      </c>
      <c r="L327" s="15" t="str">
        <f>IF(AND(ClientDB[[#This Row],[Start Year]]&lt;2016,ClientDB[[#This Row],[Events]]&gt;=6),"Gift","")</f>
        <v/>
      </c>
      <c r="M32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27" s="15">
        <v>2</v>
      </c>
      <c r="O327" s="32">
        <f>ClientDB[[#This Row],[Days]]*IF(ClientDB[[#This Row],[Days]]&gt;1,$V$8,$V$7)</f>
        <v>600</v>
      </c>
      <c r="P32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27" s="15" t="s">
        <v>902</v>
      </c>
      <c r="R327" s="15" t="str">
        <f>INDEX(seat_table,MATCH(ClientDB[[#This Row],[Country Code]],seat_country_code,0),MATCH(ClientDB[[#This Row],[Meal]],meal,0))</f>
        <v>C</v>
      </c>
    </row>
    <row r="328" spans="1:18" x14ac:dyDescent="0.25">
      <c r="A328" s="10">
        <v>36642</v>
      </c>
      <c r="B328" t="s">
        <v>620</v>
      </c>
      <c r="C328" t="s">
        <v>621</v>
      </c>
      <c r="D328" s="18">
        <v>42098</v>
      </c>
      <c r="E328" s="10">
        <f>YEAR(ClientDB[[#This Row],[Start Date]])</f>
        <v>2015</v>
      </c>
      <c r="F328" t="s">
        <v>840</v>
      </c>
      <c r="G328" t="str">
        <f>VLOOKUP(ClientDB[[#This Row],[Org Code]],organization_table[],2)</f>
        <v>xLAN Internet Exchange</v>
      </c>
      <c r="H328" s="10" t="s">
        <v>34</v>
      </c>
      <c r="I328" s="10" t="str">
        <f>INDEX(Country,MATCH(ClientDB[[#This Row],[Country Code]],Country_Codes,0),1)</f>
        <v>United States</v>
      </c>
      <c r="J328" s="15">
        <v>7</v>
      </c>
      <c r="K328" s="15" t="str">
        <f>IF(ClientDB[[#This Row],[Start Date]]&gt;=$U$14,"New","")</f>
        <v/>
      </c>
      <c r="L328" s="15" t="str">
        <f>IF(AND(ClientDB[[#This Row],[Start Year]]&lt;2016,ClientDB[[#This Row],[Events]]&gt;=6),"Gift","")</f>
        <v>Gift</v>
      </c>
      <c r="M32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28" s="15">
        <v>2</v>
      </c>
      <c r="O328" s="32">
        <f>ClientDB[[#This Row],[Days]]*IF(ClientDB[[#This Row],[Days]]&gt;1,$V$8,$V$7)</f>
        <v>600</v>
      </c>
      <c r="P32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328" s="15" t="s">
        <v>901</v>
      </c>
      <c r="R328" s="15" t="str">
        <f>INDEX(seat_table,MATCH(ClientDB[[#This Row],[Country Code]],seat_country_code,0),MATCH(ClientDB[[#This Row],[Meal]],meal,0))</f>
        <v>G</v>
      </c>
    </row>
    <row r="329" spans="1:18" x14ac:dyDescent="0.25">
      <c r="A329" s="10">
        <v>36681</v>
      </c>
      <c r="B329" t="s">
        <v>663</v>
      </c>
      <c r="C329" t="s">
        <v>664</v>
      </c>
      <c r="D329" s="18">
        <v>43120</v>
      </c>
      <c r="E329" s="10">
        <f>YEAR(ClientDB[[#This Row],[Start Date]])</f>
        <v>2018</v>
      </c>
      <c r="F329" t="s">
        <v>828</v>
      </c>
      <c r="G329" t="str">
        <f>VLOOKUP(ClientDB[[#This Row],[Org Code]],organization_table[],2)</f>
        <v>Steps IT Training</v>
      </c>
      <c r="H329" s="10" t="s">
        <v>26</v>
      </c>
      <c r="I329" s="10" t="str">
        <f>INDEX(Country,MATCH(ClientDB[[#This Row],[Country Code]],Country_Codes,0),1)</f>
        <v>Ukraine</v>
      </c>
      <c r="J329" s="15">
        <v>3</v>
      </c>
      <c r="K329" s="15" t="str">
        <f>IF(ClientDB[[#This Row],[Start Date]]&gt;=$U$14,"New","")</f>
        <v/>
      </c>
      <c r="L329" s="15" t="str">
        <f>IF(AND(ClientDB[[#This Row],[Start Year]]&lt;2016,ClientDB[[#This Row],[Events]]&gt;=6),"Gift","")</f>
        <v/>
      </c>
      <c r="M32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29" s="15">
        <v>1</v>
      </c>
      <c r="O329" s="32">
        <f>ClientDB[[#This Row],[Days]]*IF(ClientDB[[#This Row],[Days]]&gt;1,$V$8,$V$7)</f>
        <v>350</v>
      </c>
      <c r="P32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29" s="15" t="s">
        <v>899</v>
      </c>
      <c r="R329" s="15" t="str">
        <f>INDEX(seat_table,MATCH(ClientDB[[#This Row],[Country Code]],seat_country_code,0),MATCH(ClientDB[[#This Row],[Meal]],meal,0))</f>
        <v>B</v>
      </c>
    </row>
    <row r="330" spans="1:18" x14ac:dyDescent="0.25">
      <c r="A330" s="10">
        <v>36774</v>
      </c>
      <c r="B330" t="s">
        <v>23</v>
      </c>
      <c r="C330" t="s">
        <v>267</v>
      </c>
      <c r="D330" s="18">
        <v>43028</v>
      </c>
      <c r="E330" s="10">
        <f>YEAR(ClientDB[[#This Row],[Start Date]])</f>
        <v>2017</v>
      </c>
      <c r="F330" t="s">
        <v>804</v>
      </c>
      <c r="G330" t="str">
        <f>VLOOKUP(ClientDB[[#This Row],[Org Code]],organization_table[],2)</f>
        <v>Cyber Data Processing</v>
      </c>
      <c r="H330" s="10" t="s">
        <v>26</v>
      </c>
      <c r="I330" s="10" t="str">
        <f>INDEX(Country,MATCH(ClientDB[[#This Row],[Country Code]],Country_Codes,0),1)</f>
        <v>Ukraine</v>
      </c>
      <c r="J330" s="15">
        <v>3</v>
      </c>
      <c r="K330" s="15" t="str">
        <f>IF(ClientDB[[#This Row],[Start Date]]&gt;=$U$14,"New","")</f>
        <v/>
      </c>
      <c r="L330" s="15" t="str">
        <f>IF(AND(ClientDB[[#This Row],[Start Year]]&lt;2016,ClientDB[[#This Row],[Events]]&gt;=6),"Gift","")</f>
        <v/>
      </c>
      <c r="M33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0" s="15">
        <v>1</v>
      </c>
      <c r="O330" s="32">
        <f>ClientDB[[#This Row],[Days]]*IF(ClientDB[[#This Row],[Days]]&gt;1,$V$8,$V$7)</f>
        <v>350</v>
      </c>
      <c r="P33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30" s="15" t="s">
        <v>901</v>
      </c>
      <c r="R330" s="15" t="str">
        <f>INDEX(seat_table,MATCH(ClientDB[[#This Row],[Country Code]],seat_country_code,0),MATCH(ClientDB[[#This Row],[Meal]],meal,0))</f>
        <v>G</v>
      </c>
    </row>
    <row r="331" spans="1:18" x14ac:dyDescent="0.25">
      <c r="A331" s="10">
        <v>36799</v>
      </c>
      <c r="B331" t="s">
        <v>87</v>
      </c>
      <c r="C331" t="s">
        <v>88</v>
      </c>
      <c r="D331" s="18">
        <v>43099</v>
      </c>
      <c r="E331" s="10">
        <f>YEAR(ClientDB[[#This Row],[Start Date]])</f>
        <v>2017</v>
      </c>
      <c r="F331" t="s">
        <v>827</v>
      </c>
      <c r="G331" t="str">
        <f>VLOOKUP(ClientDB[[#This Row],[Org Code]],organization_table[],2)</f>
        <v>Ripple Com</v>
      </c>
      <c r="H331" s="10" t="s">
        <v>15</v>
      </c>
      <c r="I331" s="10" t="str">
        <f>INDEX(Country,MATCH(ClientDB[[#This Row],[Country Code]],Country_Codes,0),1)</f>
        <v>United Kingdom</v>
      </c>
      <c r="J331" s="15">
        <v>4</v>
      </c>
      <c r="K331" s="15" t="str">
        <f>IF(ClientDB[[#This Row],[Start Date]]&gt;=$U$14,"New","")</f>
        <v/>
      </c>
      <c r="L331" s="15" t="str">
        <f>IF(AND(ClientDB[[#This Row],[Start Year]]&lt;2016,ClientDB[[#This Row],[Events]]&gt;=6),"Gift","")</f>
        <v/>
      </c>
      <c r="M33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1" s="15">
        <v>1</v>
      </c>
      <c r="O331" s="32">
        <f>ClientDB[[#This Row],[Days]]*IF(ClientDB[[#This Row],[Days]]&gt;1,$V$8,$V$7)</f>
        <v>350</v>
      </c>
      <c r="P33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31" s="15" t="s">
        <v>900</v>
      </c>
      <c r="R331" s="15" t="str">
        <f>INDEX(seat_table,MATCH(ClientDB[[#This Row],[Country Code]],seat_country_code,0),MATCH(ClientDB[[#This Row],[Meal]],meal,0))</f>
        <v>A</v>
      </c>
    </row>
    <row r="332" spans="1:18" x14ac:dyDescent="0.25">
      <c r="A332" s="10">
        <v>36870</v>
      </c>
      <c r="B332" t="s">
        <v>669</v>
      </c>
      <c r="C332" t="s">
        <v>670</v>
      </c>
      <c r="D332" s="18">
        <v>42134</v>
      </c>
      <c r="E332" s="10">
        <f>YEAR(ClientDB[[#This Row],[Start Date]])</f>
        <v>2015</v>
      </c>
      <c r="F332" t="s">
        <v>799</v>
      </c>
      <c r="G332" t="str">
        <f>VLOOKUP(ClientDB[[#This Row],[Org Code]],organization_table[],2)</f>
        <v>ByteSize</v>
      </c>
      <c r="H332" s="10" t="s">
        <v>155</v>
      </c>
      <c r="I332" s="10" t="str">
        <f>INDEX(Country,MATCH(ClientDB[[#This Row],[Country Code]],Country_Codes,0),1)</f>
        <v>United Arab Emirates</v>
      </c>
      <c r="J332" s="15">
        <v>14</v>
      </c>
      <c r="K332" s="15" t="str">
        <f>IF(ClientDB[[#This Row],[Start Date]]&gt;=$U$14,"New","")</f>
        <v/>
      </c>
      <c r="L332" s="15" t="str">
        <f>IF(AND(ClientDB[[#This Row],[Start Year]]&lt;2016,ClientDB[[#This Row],[Events]]&gt;=6),"Gift","")</f>
        <v>Gift</v>
      </c>
      <c r="M33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32" s="15">
        <v>1</v>
      </c>
      <c r="O332" s="32">
        <f>ClientDB[[#This Row],[Days]]*IF(ClientDB[[#This Row],[Days]]&gt;1,$V$8,$V$7)</f>
        <v>350</v>
      </c>
      <c r="P33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32" s="15" t="s">
        <v>902</v>
      </c>
      <c r="R332" s="15" t="str">
        <f>INDEX(seat_table,MATCH(ClientDB[[#This Row],[Country Code]],seat_country_code,0),MATCH(ClientDB[[#This Row],[Meal]],meal,0))</f>
        <v>B</v>
      </c>
    </row>
    <row r="333" spans="1:18" x14ac:dyDescent="0.25">
      <c r="A333" s="10">
        <v>36941</v>
      </c>
      <c r="B333" t="s">
        <v>8</v>
      </c>
      <c r="C333" t="s">
        <v>9</v>
      </c>
      <c r="D333" s="18">
        <v>42100</v>
      </c>
      <c r="E333" s="10">
        <f>YEAR(ClientDB[[#This Row],[Start Date]])</f>
        <v>2015</v>
      </c>
      <c r="F333" t="s">
        <v>806</v>
      </c>
      <c r="G333" t="str">
        <f>VLOOKUP(ClientDB[[#This Row],[Org Code]],organization_table[],2)</f>
        <v>DENIL</v>
      </c>
      <c r="H333" s="10" t="s">
        <v>11</v>
      </c>
      <c r="I333" s="10" t="str">
        <f>INDEX(Country,MATCH(ClientDB[[#This Row],[Country Code]],Country_Codes,0),1)</f>
        <v>Austria</v>
      </c>
      <c r="J333" s="15">
        <v>10</v>
      </c>
      <c r="K333" s="15" t="str">
        <f>IF(ClientDB[[#This Row],[Start Date]]&gt;=$U$14,"New","")</f>
        <v/>
      </c>
      <c r="L333" s="15" t="str">
        <f>IF(AND(ClientDB[[#This Row],[Start Year]]&lt;2016,ClientDB[[#This Row],[Events]]&gt;=6),"Gift","")</f>
        <v>Gift</v>
      </c>
      <c r="M33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33" s="15">
        <v>2</v>
      </c>
      <c r="O333" s="32">
        <f>ClientDB[[#This Row],[Days]]*IF(ClientDB[[#This Row],[Days]]&gt;1,$V$8,$V$7)</f>
        <v>600</v>
      </c>
      <c r="P33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333" s="15" t="s">
        <v>901</v>
      </c>
      <c r="R333" s="15" t="str">
        <f>INDEX(seat_table,MATCH(ClientDB[[#This Row],[Country Code]],seat_country_code,0),MATCH(ClientDB[[#This Row],[Meal]],meal,0))</f>
        <v>D</v>
      </c>
    </row>
    <row r="334" spans="1:18" x14ac:dyDescent="0.25">
      <c r="A334" s="10">
        <v>37017</v>
      </c>
      <c r="B334" t="s">
        <v>399</v>
      </c>
      <c r="C334" t="s">
        <v>400</v>
      </c>
      <c r="D334" s="18">
        <v>42116</v>
      </c>
      <c r="E334" s="10">
        <f>YEAR(ClientDB[[#This Row],[Start Date]])</f>
        <v>2015</v>
      </c>
      <c r="F334" t="s">
        <v>818</v>
      </c>
      <c r="G334" t="str">
        <f>VLOOKUP(ClientDB[[#This Row],[Org Code]],organization_table[],2)</f>
        <v>Mojbal</v>
      </c>
      <c r="H334" s="10" t="s">
        <v>30</v>
      </c>
      <c r="I334" s="10" t="str">
        <f>INDEX(Country,MATCH(ClientDB[[#This Row],[Country Code]],Country_Codes,0),1)</f>
        <v>Bahrain</v>
      </c>
      <c r="J334" s="15">
        <v>3</v>
      </c>
      <c r="K334" s="15" t="str">
        <f>IF(ClientDB[[#This Row],[Start Date]]&gt;=$U$14,"New","")</f>
        <v/>
      </c>
      <c r="L334" s="15" t="str">
        <f>IF(AND(ClientDB[[#This Row],[Start Year]]&lt;2016,ClientDB[[#This Row],[Events]]&gt;=6),"Gift","")</f>
        <v/>
      </c>
      <c r="M33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4" s="15">
        <v>3</v>
      </c>
      <c r="O334" s="32">
        <f>ClientDB[[#This Row],[Days]]*IF(ClientDB[[#This Row],[Days]]&gt;1,$V$8,$V$7)</f>
        <v>900</v>
      </c>
      <c r="P33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34" s="15" t="s">
        <v>901</v>
      </c>
      <c r="R334" s="15" t="str">
        <f>INDEX(seat_table,MATCH(ClientDB[[#This Row],[Country Code]],seat_country_code,0),MATCH(ClientDB[[#This Row],[Meal]],meal,0))</f>
        <v>D</v>
      </c>
    </row>
    <row r="335" spans="1:18" x14ac:dyDescent="0.25">
      <c r="A335" s="10">
        <v>37188</v>
      </c>
      <c r="B335" t="s">
        <v>328</v>
      </c>
      <c r="C335" t="s">
        <v>329</v>
      </c>
      <c r="D335" s="18">
        <v>42406</v>
      </c>
      <c r="E335" s="10">
        <f>YEAR(ClientDB[[#This Row],[Start Date]])</f>
        <v>2016</v>
      </c>
      <c r="F335" t="s">
        <v>823</v>
      </c>
      <c r="G335" t="str">
        <f>VLOOKUP(ClientDB[[#This Row],[Org Code]],organization_table[],2)</f>
        <v>Pink Cloud Networks</v>
      </c>
      <c r="H335" s="10" t="s">
        <v>59</v>
      </c>
      <c r="I335" s="10" t="str">
        <f>INDEX(Country,MATCH(ClientDB[[#This Row],[Country Code]],Country_Codes,0),1)</f>
        <v>Netherlands</v>
      </c>
      <c r="J335" s="15">
        <v>7</v>
      </c>
      <c r="K335" s="15" t="str">
        <f>IF(ClientDB[[#This Row],[Start Date]]&gt;=$U$14,"New","")</f>
        <v/>
      </c>
      <c r="L335" s="15" t="str">
        <f>IF(AND(ClientDB[[#This Row],[Start Year]]&lt;2016,ClientDB[[#This Row],[Events]]&gt;=6),"Gift","")</f>
        <v/>
      </c>
      <c r="M33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5" s="15">
        <v>1</v>
      </c>
      <c r="O335" s="32">
        <f>ClientDB[[#This Row],[Days]]*IF(ClientDB[[#This Row],[Days]]&gt;1,$V$8,$V$7)</f>
        <v>350</v>
      </c>
      <c r="P33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335" s="15" t="s">
        <v>901</v>
      </c>
      <c r="R335" s="15" t="str">
        <f>INDEX(seat_table,MATCH(ClientDB[[#This Row],[Country Code]],seat_country_code,0),MATCH(ClientDB[[#This Row],[Meal]],meal,0))</f>
        <v>F</v>
      </c>
    </row>
    <row r="336" spans="1:18" x14ac:dyDescent="0.25">
      <c r="A336" s="10">
        <v>37250</v>
      </c>
      <c r="B336" t="s">
        <v>470</v>
      </c>
      <c r="C336" t="s">
        <v>471</v>
      </c>
      <c r="D336" s="18">
        <v>42880</v>
      </c>
      <c r="E336" s="10">
        <f>YEAR(ClientDB[[#This Row],[Start Date]])</f>
        <v>2017</v>
      </c>
      <c r="F336" t="s">
        <v>819</v>
      </c>
      <c r="G336" t="str">
        <f>VLOOKUP(ClientDB[[#This Row],[Org Code]],organization_table[],2)</f>
        <v>NetaAssist</v>
      </c>
      <c r="H336" s="10" t="s">
        <v>26</v>
      </c>
      <c r="I336" s="10" t="str">
        <f>INDEX(Country,MATCH(ClientDB[[#This Row],[Country Code]],Country_Codes,0),1)</f>
        <v>Ukraine</v>
      </c>
      <c r="J336" s="15">
        <v>8</v>
      </c>
      <c r="K336" s="15" t="str">
        <f>IF(ClientDB[[#This Row],[Start Date]]&gt;=$U$14,"New","")</f>
        <v/>
      </c>
      <c r="L336" s="15" t="str">
        <f>IF(AND(ClientDB[[#This Row],[Start Year]]&lt;2016,ClientDB[[#This Row],[Events]]&gt;=6),"Gift","")</f>
        <v/>
      </c>
      <c r="M33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6" s="15">
        <v>3</v>
      </c>
      <c r="O336" s="32">
        <f>ClientDB[[#This Row],[Days]]*IF(ClientDB[[#This Row],[Days]]&gt;1,$V$8,$V$7)</f>
        <v>900</v>
      </c>
      <c r="P33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36" s="15" t="s">
        <v>901</v>
      </c>
      <c r="R336" s="15" t="str">
        <f>INDEX(seat_table,MATCH(ClientDB[[#This Row],[Country Code]],seat_country_code,0),MATCH(ClientDB[[#This Row],[Meal]],meal,0))</f>
        <v>G</v>
      </c>
    </row>
    <row r="337" spans="1:18" x14ac:dyDescent="0.25">
      <c r="A337" s="10">
        <v>37373</v>
      </c>
      <c r="B337" t="s">
        <v>410</v>
      </c>
      <c r="C337" t="s">
        <v>411</v>
      </c>
      <c r="D337" s="18">
        <v>43184</v>
      </c>
      <c r="E337" s="10">
        <f>YEAR(ClientDB[[#This Row],[Start Date]])</f>
        <v>2018</v>
      </c>
      <c r="F337" t="s">
        <v>832</v>
      </c>
      <c r="G337" t="str">
        <f>VLOOKUP(ClientDB[[#This Row],[Org Code]],organization_table[],2)</f>
        <v>TQ Processes</v>
      </c>
      <c r="H337" s="10" t="s">
        <v>15</v>
      </c>
      <c r="I337" s="10" t="str">
        <f>INDEX(Country,MATCH(ClientDB[[#This Row],[Country Code]],Country_Codes,0),1)</f>
        <v>United Kingdom</v>
      </c>
      <c r="J337" s="15">
        <v>2</v>
      </c>
      <c r="K337" s="15" t="str">
        <f>IF(ClientDB[[#This Row],[Start Date]]&gt;=$U$14,"New","")</f>
        <v/>
      </c>
      <c r="L337" s="15" t="str">
        <f>IF(AND(ClientDB[[#This Row],[Start Year]]&lt;2016,ClientDB[[#This Row],[Events]]&gt;=6),"Gift","")</f>
        <v/>
      </c>
      <c r="M33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7" s="15">
        <v>3</v>
      </c>
      <c r="O337" s="32">
        <f>ClientDB[[#This Row],[Days]]*IF(ClientDB[[#This Row],[Days]]&gt;1,$V$8,$V$7)</f>
        <v>900</v>
      </c>
      <c r="P33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37" s="15" t="s">
        <v>901</v>
      </c>
      <c r="R337" s="15" t="str">
        <f>INDEX(seat_table,MATCH(ClientDB[[#This Row],[Country Code]],seat_country_code,0),MATCH(ClientDB[[#This Row],[Meal]],meal,0))</f>
        <v>E</v>
      </c>
    </row>
    <row r="338" spans="1:18" x14ac:dyDescent="0.25">
      <c r="A338" s="10">
        <v>37393</v>
      </c>
      <c r="B338" t="s">
        <v>280</v>
      </c>
      <c r="C338" t="s">
        <v>281</v>
      </c>
      <c r="D338" s="18">
        <v>42384</v>
      </c>
      <c r="E338" s="10">
        <f>YEAR(ClientDB[[#This Row],[Start Date]])</f>
        <v>2016</v>
      </c>
      <c r="F338" t="s">
        <v>829</v>
      </c>
      <c r="G338" t="str">
        <f>VLOOKUP(ClientDB[[#This Row],[Org Code]],organization_table[],2)</f>
        <v>Steps IT Training</v>
      </c>
      <c r="H338" s="10" t="s">
        <v>282</v>
      </c>
      <c r="I338" s="10" t="str">
        <f>INDEX(Country,MATCH(ClientDB[[#This Row],[Country Code]],Country_Codes,0),1)</f>
        <v>Italy</v>
      </c>
      <c r="J338" s="15">
        <v>9</v>
      </c>
      <c r="K338" s="15" t="str">
        <f>IF(ClientDB[[#This Row],[Start Date]]&gt;=$U$14,"New","")</f>
        <v/>
      </c>
      <c r="L338" s="15" t="str">
        <f>IF(AND(ClientDB[[#This Row],[Start Year]]&lt;2016,ClientDB[[#This Row],[Events]]&gt;=6),"Gift","")</f>
        <v/>
      </c>
      <c r="M33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8" s="15">
        <v>2</v>
      </c>
      <c r="O338" s="32">
        <f>ClientDB[[#This Row],[Days]]*IF(ClientDB[[#This Row],[Days]]&gt;1,$V$8,$V$7)</f>
        <v>600</v>
      </c>
      <c r="P33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338" s="15" t="s">
        <v>901</v>
      </c>
      <c r="R338" s="15" t="str">
        <f>INDEX(seat_table,MATCH(ClientDB[[#This Row],[Country Code]],seat_country_code,0),MATCH(ClientDB[[#This Row],[Meal]],meal,0))</f>
        <v>F</v>
      </c>
    </row>
    <row r="339" spans="1:18" x14ac:dyDescent="0.25">
      <c r="A339" s="10">
        <v>37460</v>
      </c>
      <c r="B339" t="s">
        <v>70</v>
      </c>
      <c r="C339" t="s">
        <v>467</v>
      </c>
      <c r="D339" s="18">
        <v>42324</v>
      </c>
      <c r="E339" s="10">
        <f>YEAR(ClientDB[[#This Row],[Start Date]])</f>
        <v>2015</v>
      </c>
      <c r="F339" t="s">
        <v>801</v>
      </c>
      <c r="G339" t="str">
        <f>VLOOKUP(ClientDB[[#This Row],[Org Code]],organization_table[],2)</f>
        <v>Colot</v>
      </c>
      <c r="H339" s="10" t="s">
        <v>363</v>
      </c>
      <c r="I339" s="10" t="str">
        <f>INDEX(Country,MATCH(ClientDB[[#This Row],[Country Code]],Country_Codes,0),1)</f>
        <v>Hong Kong</v>
      </c>
      <c r="J339" s="15">
        <v>4</v>
      </c>
      <c r="K339" s="15" t="str">
        <f>IF(ClientDB[[#This Row],[Start Date]]&gt;=$U$14,"New","")</f>
        <v/>
      </c>
      <c r="L339" s="15" t="str">
        <f>IF(AND(ClientDB[[#This Row],[Start Year]]&lt;2016,ClientDB[[#This Row],[Events]]&gt;=6),"Gift","")</f>
        <v/>
      </c>
      <c r="M33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39" s="15">
        <v>2</v>
      </c>
      <c r="O339" s="32">
        <f>ClientDB[[#This Row],[Days]]*IF(ClientDB[[#This Row],[Days]]&gt;1,$V$8,$V$7)</f>
        <v>600</v>
      </c>
      <c r="P33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39" s="15" t="s">
        <v>899</v>
      </c>
      <c r="R339" s="15" t="str">
        <f>INDEX(seat_table,MATCH(ClientDB[[#This Row],[Country Code]],seat_country_code,0),MATCH(ClientDB[[#This Row],[Meal]],meal,0))</f>
        <v>A</v>
      </c>
    </row>
    <row r="340" spans="1:18" x14ac:dyDescent="0.25">
      <c r="A340" s="10">
        <v>37498</v>
      </c>
      <c r="B340" t="s">
        <v>609</v>
      </c>
      <c r="C340" t="s">
        <v>610</v>
      </c>
      <c r="D340" s="18">
        <v>43689</v>
      </c>
      <c r="E340" s="10">
        <f>YEAR(ClientDB[[#This Row],[Start Date]])</f>
        <v>2019</v>
      </c>
      <c r="F340" t="s">
        <v>801</v>
      </c>
      <c r="G340" t="str">
        <f>VLOOKUP(ClientDB[[#This Row],[Org Code]],organization_table[],2)</f>
        <v>Colot</v>
      </c>
      <c r="H340" s="10" t="s">
        <v>7</v>
      </c>
      <c r="I340" s="10" t="str">
        <f>INDEX(Country,MATCH(ClientDB[[#This Row],[Country Code]],Country_Codes,0),1)</f>
        <v>Iran</v>
      </c>
      <c r="J340" s="15">
        <v>3</v>
      </c>
      <c r="K340" s="15" t="str">
        <f>IF(ClientDB[[#This Row],[Start Date]]&gt;=$U$14,"New","")</f>
        <v/>
      </c>
      <c r="L340" s="15" t="str">
        <f>IF(AND(ClientDB[[#This Row],[Start Year]]&lt;2016,ClientDB[[#This Row],[Events]]&gt;=6),"Gift","")</f>
        <v/>
      </c>
      <c r="M34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0" s="15">
        <v>2</v>
      </c>
      <c r="O340" s="32">
        <f>ClientDB[[#This Row],[Days]]*IF(ClientDB[[#This Row],[Days]]&gt;1,$V$8,$V$7)</f>
        <v>600</v>
      </c>
      <c r="P34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40" s="15" t="s">
        <v>901</v>
      </c>
      <c r="R340" s="15" t="str">
        <f>INDEX(seat_table,MATCH(ClientDB[[#This Row],[Country Code]],seat_country_code,0),MATCH(ClientDB[[#This Row],[Meal]],meal,0))</f>
        <v>F</v>
      </c>
    </row>
    <row r="341" spans="1:18" x14ac:dyDescent="0.25">
      <c r="A341" s="10">
        <v>37529</v>
      </c>
      <c r="B341" t="s">
        <v>491</v>
      </c>
      <c r="C341" t="s">
        <v>492</v>
      </c>
      <c r="D341" s="18">
        <v>42193</v>
      </c>
      <c r="E341" s="10">
        <f>YEAR(ClientDB[[#This Row],[Start Date]])</f>
        <v>2015</v>
      </c>
      <c r="F341" t="s">
        <v>825</v>
      </c>
      <c r="G341" t="str">
        <f>VLOOKUP(ClientDB[[#This Row],[Org Code]],organization_table[],2)</f>
        <v>Qinisar</v>
      </c>
      <c r="H341" s="10" t="s">
        <v>26</v>
      </c>
      <c r="I341" s="10" t="str">
        <f>INDEX(Country,MATCH(ClientDB[[#This Row],[Country Code]],Country_Codes,0),1)</f>
        <v>Ukraine</v>
      </c>
      <c r="J341" s="15">
        <v>21</v>
      </c>
      <c r="K341" s="15" t="str">
        <f>IF(ClientDB[[#This Row],[Start Date]]&gt;=$U$14,"New","")</f>
        <v/>
      </c>
      <c r="L341" s="15" t="str">
        <f>IF(AND(ClientDB[[#This Row],[Start Year]]&lt;2016,ClientDB[[#This Row],[Events]]&gt;=6),"Gift","")</f>
        <v>Gift</v>
      </c>
      <c r="M34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341" s="15">
        <v>2</v>
      </c>
      <c r="O341" s="32">
        <f>ClientDB[[#This Row],[Days]]*IF(ClientDB[[#This Row],[Days]]&gt;1,$V$8,$V$7)</f>
        <v>600</v>
      </c>
      <c r="P34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341" s="15" t="s">
        <v>901</v>
      </c>
      <c r="R341" s="15" t="str">
        <f>INDEX(seat_table,MATCH(ClientDB[[#This Row],[Country Code]],seat_country_code,0),MATCH(ClientDB[[#This Row],[Meal]],meal,0))</f>
        <v>G</v>
      </c>
    </row>
    <row r="342" spans="1:18" x14ac:dyDescent="0.25">
      <c r="A342" s="10">
        <v>37563</v>
      </c>
      <c r="B342" t="s">
        <v>646</v>
      </c>
      <c r="C342" t="s">
        <v>647</v>
      </c>
      <c r="D342" s="18">
        <v>42784</v>
      </c>
      <c r="E342" s="10">
        <f>YEAR(ClientDB[[#This Row],[Start Date]])</f>
        <v>2017</v>
      </c>
      <c r="F342" t="s">
        <v>803</v>
      </c>
      <c r="G342" t="str">
        <f>VLOOKUP(ClientDB[[#This Row],[Org Code]],organization_table[],2)</f>
        <v>Colot</v>
      </c>
      <c r="H342" s="10" t="s">
        <v>648</v>
      </c>
      <c r="I342" s="10" t="str">
        <f>INDEX(Country,MATCH(ClientDB[[#This Row],[Country Code]],Country_Codes,0),1)</f>
        <v>Iraq</v>
      </c>
      <c r="J342" s="15">
        <v>7</v>
      </c>
      <c r="K342" s="15" t="str">
        <f>IF(ClientDB[[#This Row],[Start Date]]&gt;=$U$14,"New","")</f>
        <v/>
      </c>
      <c r="L342" s="15" t="str">
        <f>IF(AND(ClientDB[[#This Row],[Start Year]]&lt;2016,ClientDB[[#This Row],[Events]]&gt;=6),"Gift","")</f>
        <v/>
      </c>
      <c r="M34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2" s="15">
        <v>2</v>
      </c>
      <c r="O342" s="32">
        <f>ClientDB[[#This Row],[Days]]*IF(ClientDB[[#This Row],[Days]]&gt;1,$V$8,$V$7)</f>
        <v>600</v>
      </c>
      <c r="P34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342" s="15" t="s">
        <v>900</v>
      </c>
      <c r="R342" s="15" t="str">
        <f>INDEX(seat_table,MATCH(ClientDB[[#This Row],[Country Code]],seat_country_code,0),MATCH(ClientDB[[#This Row],[Meal]],meal,0))</f>
        <v>A</v>
      </c>
    </row>
    <row r="343" spans="1:18" x14ac:dyDescent="0.25">
      <c r="A343" s="10">
        <v>37567</v>
      </c>
      <c r="B343" t="s">
        <v>602</v>
      </c>
      <c r="C343" t="s">
        <v>603</v>
      </c>
      <c r="D343" s="18">
        <v>43150</v>
      </c>
      <c r="E343" s="10">
        <f>YEAR(ClientDB[[#This Row],[Start Date]])</f>
        <v>2018</v>
      </c>
      <c r="F343" t="s">
        <v>816</v>
      </c>
      <c r="G343" t="str">
        <f>VLOOKUP(ClientDB[[#This Row],[Org Code]],organization_table[],2)</f>
        <v>HeatProof</v>
      </c>
      <c r="H343" s="10" t="s">
        <v>54</v>
      </c>
      <c r="I343" s="10" t="str">
        <f>INDEX(Country,MATCH(ClientDB[[#This Row],[Country Code]],Country_Codes,0),1)</f>
        <v>Romania</v>
      </c>
      <c r="J343" s="15">
        <v>9</v>
      </c>
      <c r="K343" s="15" t="str">
        <f>IF(ClientDB[[#This Row],[Start Date]]&gt;=$U$14,"New","")</f>
        <v/>
      </c>
      <c r="L343" s="15" t="str">
        <f>IF(AND(ClientDB[[#This Row],[Start Year]]&lt;2016,ClientDB[[#This Row],[Events]]&gt;=6),"Gift","")</f>
        <v/>
      </c>
      <c r="M34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3" s="15">
        <v>3</v>
      </c>
      <c r="O343" s="32">
        <f>ClientDB[[#This Row],[Days]]*IF(ClientDB[[#This Row],[Days]]&gt;1,$V$8,$V$7)</f>
        <v>900</v>
      </c>
      <c r="P34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43" s="15" t="s">
        <v>901</v>
      </c>
      <c r="R343" s="15" t="str">
        <f>INDEX(seat_table,MATCH(ClientDB[[#This Row],[Country Code]],seat_country_code,0),MATCH(ClientDB[[#This Row],[Meal]],meal,0))</f>
        <v>G</v>
      </c>
    </row>
    <row r="344" spans="1:18" x14ac:dyDescent="0.25">
      <c r="A344" s="10">
        <v>37571</v>
      </c>
      <c r="B344" t="s">
        <v>85</v>
      </c>
      <c r="C344" t="s">
        <v>86</v>
      </c>
      <c r="D344" s="18">
        <v>43273</v>
      </c>
      <c r="E344" s="10">
        <f>YEAR(ClientDB[[#This Row],[Start Date]])</f>
        <v>2018</v>
      </c>
      <c r="F344" t="s">
        <v>799</v>
      </c>
      <c r="G344" t="str">
        <f>VLOOKUP(ClientDB[[#This Row],[Org Code]],organization_table[],2)</f>
        <v>ByteSize</v>
      </c>
      <c r="H344" s="10" t="s">
        <v>7</v>
      </c>
      <c r="I344" s="10" t="str">
        <f>INDEX(Country,MATCH(ClientDB[[#This Row],[Country Code]],Country_Codes,0),1)</f>
        <v>Iran</v>
      </c>
      <c r="J344" s="15">
        <v>5</v>
      </c>
      <c r="K344" s="15" t="str">
        <f>IF(ClientDB[[#This Row],[Start Date]]&gt;=$U$14,"New","")</f>
        <v/>
      </c>
      <c r="L344" s="15" t="str">
        <f>IF(AND(ClientDB[[#This Row],[Start Year]]&lt;2016,ClientDB[[#This Row],[Events]]&gt;=6),"Gift","")</f>
        <v/>
      </c>
      <c r="M34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4" s="15">
        <v>3</v>
      </c>
      <c r="O344" s="32">
        <f>ClientDB[[#This Row],[Days]]*IF(ClientDB[[#This Row],[Days]]&gt;1,$V$8,$V$7)</f>
        <v>900</v>
      </c>
      <c r="P34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44" s="15" t="s">
        <v>901</v>
      </c>
      <c r="R344" s="15" t="str">
        <f>INDEX(seat_table,MATCH(ClientDB[[#This Row],[Country Code]],seat_country_code,0),MATCH(ClientDB[[#This Row],[Meal]],meal,0))</f>
        <v>F</v>
      </c>
    </row>
    <row r="345" spans="1:18" x14ac:dyDescent="0.25">
      <c r="A345" s="10">
        <v>37598</v>
      </c>
      <c r="B345" t="s">
        <v>552</v>
      </c>
      <c r="C345" t="s">
        <v>553</v>
      </c>
      <c r="D345" s="18">
        <v>42313</v>
      </c>
      <c r="E345" s="10">
        <f>YEAR(ClientDB[[#This Row],[Start Date]])</f>
        <v>2015</v>
      </c>
      <c r="F345" t="s">
        <v>831</v>
      </c>
      <c r="G345" t="str">
        <f>VLOOKUP(ClientDB[[#This Row],[Org Code]],organization_table[],2)</f>
        <v>TatSan</v>
      </c>
      <c r="H345" s="10" t="s">
        <v>15</v>
      </c>
      <c r="I345" s="10" t="str">
        <f>INDEX(Country,MATCH(ClientDB[[#This Row],[Country Code]],Country_Codes,0),1)</f>
        <v>United Kingdom</v>
      </c>
      <c r="J345" s="15">
        <v>4</v>
      </c>
      <c r="K345" s="15" t="str">
        <f>IF(ClientDB[[#This Row],[Start Date]]&gt;=$U$14,"New","")</f>
        <v/>
      </c>
      <c r="L345" s="15" t="str">
        <f>IF(AND(ClientDB[[#This Row],[Start Year]]&lt;2016,ClientDB[[#This Row],[Events]]&gt;=6),"Gift","")</f>
        <v/>
      </c>
      <c r="M34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5" s="15">
        <v>3</v>
      </c>
      <c r="O345" s="32">
        <f>ClientDB[[#This Row],[Days]]*IF(ClientDB[[#This Row],[Days]]&gt;1,$V$8,$V$7)</f>
        <v>900</v>
      </c>
      <c r="P34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45" s="15" t="s">
        <v>902</v>
      </c>
      <c r="R345" s="15" t="str">
        <f>INDEX(seat_table,MATCH(ClientDB[[#This Row],[Country Code]],seat_country_code,0),MATCH(ClientDB[[#This Row],[Meal]],meal,0))</f>
        <v>B</v>
      </c>
    </row>
    <row r="346" spans="1:18" x14ac:dyDescent="0.25">
      <c r="A346" s="10">
        <v>37603</v>
      </c>
      <c r="B346" t="s">
        <v>474</v>
      </c>
      <c r="C346" t="s">
        <v>475</v>
      </c>
      <c r="D346" s="18">
        <v>43876</v>
      </c>
      <c r="E346" s="10">
        <f>YEAR(ClientDB[[#This Row],[Start Date]])</f>
        <v>2020</v>
      </c>
      <c r="F346" t="s">
        <v>810</v>
      </c>
      <c r="G346" t="str">
        <f>VLOOKUP(ClientDB[[#This Row],[Org Code]],organization_table[],2)</f>
        <v>Euro-M</v>
      </c>
      <c r="H346" s="10" t="s">
        <v>7</v>
      </c>
      <c r="I346" s="10" t="str">
        <f>INDEX(Country,MATCH(ClientDB[[#This Row],[Country Code]],Country_Codes,0),1)</f>
        <v>Iran</v>
      </c>
      <c r="J346" s="15">
        <v>1</v>
      </c>
      <c r="K346" s="15" t="str">
        <f>IF(ClientDB[[#This Row],[Start Date]]&gt;=$U$14,"New","")</f>
        <v>New</v>
      </c>
      <c r="L346" s="15" t="str">
        <f>IF(AND(ClientDB[[#This Row],[Start Year]]&lt;2016,ClientDB[[#This Row],[Events]]&gt;=6),"Gift","")</f>
        <v/>
      </c>
      <c r="M34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6" s="15">
        <v>1</v>
      </c>
      <c r="O346" s="32">
        <f>ClientDB[[#This Row],[Days]]*IF(ClientDB[[#This Row],[Days]]&gt;1,$V$8,$V$7)</f>
        <v>350</v>
      </c>
      <c r="P34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46" s="15" t="s">
        <v>901</v>
      </c>
      <c r="R346" s="15" t="str">
        <f>INDEX(seat_table,MATCH(ClientDB[[#This Row],[Country Code]],seat_country_code,0),MATCH(ClientDB[[#This Row],[Meal]],meal,0))</f>
        <v>F</v>
      </c>
    </row>
    <row r="347" spans="1:18" x14ac:dyDescent="0.25">
      <c r="A347" s="10">
        <v>37742</v>
      </c>
      <c r="B347" t="s">
        <v>255</v>
      </c>
      <c r="C347" t="s">
        <v>256</v>
      </c>
      <c r="D347" s="18">
        <v>43493</v>
      </c>
      <c r="E347" s="10">
        <f>YEAR(ClientDB[[#This Row],[Start Date]])</f>
        <v>2019</v>
      </c>
      <c r="F347" t="s">
        <v>834</v>
      </c>
      <c r="G347" t="str">
        <f>VLOOKUP(ClientDB[[#This Row],[Org Code]],organization_table[],2)</f>
        <v>Verisize</v>
      </c>
      <c r="H347" s="10" t="s">
        <v>34</v>
      </c>
      <c r="I347" s="10" t="str">
        <f>INDEX(Country,MATCH(ClientDB[[#This Row],[Country Code]],Country_Codes,0),1)</f>
        <v>United States</v>
      </c>
      <c r="J347" s="15">
        <v>2</v>
      </c>
      <c r="K347" s="15" t="str">
        <f>IF(ClientDB[[#This Row],[Start Date]]&gt;=$U$14,"New","")</f>
        <v/>
      </c>
      <c r="L347" s="15" t="str">
        <f>IF(AND(ClientDB[[#This Row],[Start Year]]&lt;2016,ClientDB[[#This Row],[Events]]&gt;=6),"Gift","")</f>
        <v/>
      </c>
      <c r="M34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7" s="15">
        <v>1</v>
      </c>
      <c r="O347" s="32">
        <f>ClientDB[[#This Row],[Days]]*IF(ClientDB[[#This Row],[Days]]&gt;1,$V$8,$V$7)</f>
        <v>350</v>
      </c>
      <c r="P34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47" s="15" t="s">
        <v>901</v>
      </c>
      <c r="R347" s="15" t="str">
        <f>INDEX(seat_table,MATCH(ClientDB[[#This Row],[Country Code]],seat_country_code,0),MATCH(ClientDB[[#This Row],[Meal]],meal,0))</f>
        <v>G</v>
      </c>
    </row>
    <row r="348" spans="1:18" x14ac:dyDescent="0.25">
      <c r="A348" s="10">
        <v>37780</v>
      </c>
      <c r="B348" t="s">
        <v>487</v>
      </c>
      <c r="C348" t="s">
        <v>488</v>
      </c>
      <c r="D348" s="18">
        <v>43356</v>
      </c>
      <c r="E348" s="10">
        <f>YEAR(ClientDB[[#This Row],[Start Date]])</f>
        <v>2018</v>
      </c>
      <c r="F348" t="s">
        <v>821</v>
      </c>
      <c r="G348" t="str">
        <f>VLOOKUP(ClientDB[[#This Row],[Org Code]],organization_table[],2)</f>
        <v>Parmis Technologies</v>
      </c>
      <c r="H348" s="10" t="s">
        <v>63</v>
      </c>
      <c r="I348" s="10" t="str">
        <f>INDEX(Country,MATCH(ClientDB[[#This Row],[Country Code]],Country_Codes,0),1)</f>
        <v>Armenia</v>
      </c>
      <c r="J348" s="15">
        <v>4</v>
      </c>
      <c r="K348" s="15" t="str">
        <f>IF(ClientDB[[#This Row],[Start Date]]&gt;=$U$14,"New","")</f>
        <v/>
      </c>
      <c r="L348" s="15" t="str">
        <f>IF(AND(ClientDB[[#This Row],[Start Year]]&lt;2016,ClientDB[[#This Row],[Events]]&gt;=6),"Gift","")</f>
        <v/>
      </c>
      <c r="M34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8" s="15">
        <v>1</v>
      </c>
      <c r="O348" s="32">
        <f>ClientDB[[#This Row],[Days]]*IF(ClientDB[[#This Row],[Days]]&gt;1,$V$8,$V$7)</f>
        <v>350</v>
      </c>
      <c r="P34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48" s="15" t="s">
        <v>901</v>
      </c>
      <c r="R348" s="15" t="str">
        <f>INDEX(seat_table,MATCH(ClientDB[[#This Row],[Country Code]],seat_country_code,0),MATCH(ClientDB[[#This Row],[Meal]],meal,0))</f>
        <v>D</v>
      </c>
    </row>
    <row r="349" spans="1:18" x14ac:dyDescent="0.25">
      <c r="A349" s="10">
        <v>37797</v>
      </c>
      <c r="B349" t="s">
        <v>75</v>
      </c>
      <c r="C349" t="s">
        <v>76</v>
      </c>
      <c r="D349" s="18">
        <v>43413</v>
      </c>
      <c r="E349" s="10">
        <f>YEAR(ClientDB[[#This Row],[Start Date]])</f>
        <v>2018</v>
      </c>
      <c r="F349" t="s">
        <v>798</v>
      </c>
      <c r="G349" t="str">
        <f>VLOOKUP(ClientDB[[#This Row],[Org Code]],organization_table[],2)</f>
        <v>Axell Group</v>
      </c>
      <c r="H349" s="10" t="s">
        <v>78</v>
      </c>
      <c r="I349" s="10" t="str">
        <f>INDEX(Country,MATCH(ClientDB[[#This Row],[Country Code]],Country_Codes,0),1)</f>
        <v>Sweden</v>
      </c>
      <c r="J349" s="15">
        <v>2</v>
      </c>
      <c r="K349" s="15" t="str">
        <f>IF(ClientDB[[#This Row],[Start Date]]&gt;=$U$14,"New","")</f>
        <v/>
      </c>
      <c r="L349" s="15" t="str">
        <f>IF(AND(ClientDB[[#This Row],[Start Year]]&lt;2016,ClientDB[[#This Row],[Events]]&gt;=6),"Gift","")</f>
        <v/>
      </c>
      <c r="M34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49" s="15">
        <v>3</v>
      </c>
      <c r="O349" s="32">
        <f>ClientDB[[#This Row],[Days]]*IF(ClientDB[[#This Row],[Days]]&gt;1,$V$8,$V$7)</f>
        <v>900</v>
      </c>
      <c r="P34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49" s="15" t="s">
        <v>900</v>
      </c>
      <c r="R349" s="15" t="str">
        <f>INDEX(seat_table,MATCH(ClientDB[[#This Row],[Country Code]],seat_country_code,0),MATCH(ClientDB[[#This Row],[Meal]],meal,0))</f>
        <v>C</v>
      </c>
    </row>
    <row r="350" spans="1:18" x14ac:dyDescent="0.25">
      <c r="A350" s="10">
        <v>37895</v>
      </c>
      <c r="B350" t="s">
        <v>341</v>
      </c>
      <c r="C350" t="s">
        <v>342</v>
      </c>
      <c r="D350" s="18">
        <v>42261</v>
      </c>
      <c r="E350" s="10">
        <f>YEAR(ClientDB[[#This Row],[Start Date]])</f>
        <v>2015</v>
      </c>
      <c r="F350" t="s">
        <v>827</v>
      </c>
      <c r="G350" t="str">
        <f>VLOOKUP(ClientDB[[#This Row],[Org Code]],organization_table[],2)</f>
        <v>Ripple Com</v>
      </c>
      <c r="H350" s="10" t="s">
        <v>15</v>
      </c>
      <c r="I350" s="10" t="str">
        <f>INDEX(Country,MATCH(ClientDB[[#This Row],[Country Code]],Country_Codes,0),1)</f>
        <v>United Kingdom</v>
      </c>
      <c r="J350" s="15">
        <v>7</v>
      </c>
      <c r="K350" s="15" t="str">
        <f>IF(ClientDB[[#This Row],[Start Date]]&gt;=$U$14,"New","")</f>
        <v/>
      </c>
      <c r="L350" s="15" t="str">
        <f>IF(AND(ClientDB[[#This Row],[Start Year]]&lt;2016,ClientDB[[#This Row],[Events]]&gt;=6),"Gift","")</f>
        <v>Gift</v>
      </c>
      <c r="M35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50" s="15">
        <v>2</v>
      </c>
      <c r="O350" s="32">
        <f>ClientDB[[#This Row],[Days]]*IF(ClientDB[[#This Row],[Days]]&gt;1,$V$8,$V$7)</f>
        <v>600</v>
      </c>
      <c r="P35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350" s="15" t="s">
        <v>901</v>
      </c>
      <c r="R350" s="15" t="str">
        <f>INDEX(seat_table,MATCH(ClientDB[[#This Row],[Country Code]],seat_country_code,0),MATCH(ClientDB[[#This Row],[Meal]],meal,0))</f>
        <v>E</v>
      </c>
    </row>
    <row r="351" spans="1:18" x14ac:dyDescent="0.25">
      <c r="A351" s="10">
        <v>37902</v>
      </c>
      <c r="B351" t="s">
        <v>296</v>
      </c>
      <c r="C351" t="s">
        <v>297</v>
      </c>
      <c r="D351" s="18">
        <v>42815</v>
      </c>
      <c r="E351" s="10">
        <f>YEAR(ClientDB[[#This Row],[Start Date]])</f>
        <v>2017</v>
      </c>
      <c r="F351" t="s">
        <v>796</v>
      </c>
      <c r="G351" t="str">
        <f>VLOOKUP(ClientDB[[#This Row],[Org Code]],organization_table[],2)</f>
        <v>Ares</v>
      </c>
      <c r="H351" s="10" t="s">
        <v>46</v>
      </c>
      <c r="I351" s="10" t="str">
        <f>INDEX(Country,MATCH(ClientDB[[#This Row],[Country Code]],Country_Codes,0),1)</f>
        <v>Germany</v>
      </c>
      <c r="J351" s="15">
        <v>9</v>
      </c>
      <c r="K351" s="15" t="str">
        <f>IF(ClientDB[[#This Row],[Start Date]]&gt;=$U$14,"New","")</f>
        <v/>
      </c>
      <c r="L351" s="15" t="str">
        <f>IF(AND(ClientDB[[#This Row],[Start Year]]&lt;2016,ClientDB[[#This Row],[Events]]&gt;=6),"Gift","")</f>
        <v/>
      </c>
      <c r="M35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51" s="15">
        <v>3</v>
      </c>
      <c r="O351" s="32">
        <f>ClientDB[[#This Row],[Days]]*IF(ClientDB[[#This Row],[Days]]&gt;1,$V$8,$V$7)</f>
        <v>900</v>
      </c>
      <c r="P35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51" s="15" t="s">
        <v>901</v>
      </c>
      <c r="R351" s="15" t="str">
        <f>INDEX(seat_table,MATCH(ClientDB[[#This Row],[Country Code]],seat_country_code,0),MATCH(ClientDB[[#This Row],[Meal]],meal,0))</f>
        <v>D</v>
      </c>
    </row>
    <row r="352" spans="1:18" x14ac:dyDescent="0.25">
      <c r="A352" s="10">
        <v>37959</v>
      </c>
      <c r="B352" t="s">
        <v>221</v>
      </c>
      <c r="C352" t="s">
        <v>222</v>
      </c>
      <c r="D352" s="18">
        <v>43259</v>
      </c>
      <c r="E352" s="10">
        <f>YEAR(ClientDB[[#This Row],[Start Date]])</f>
        <v>2018</v>
      </c>
      <c r="F352" t="s">
        <v>821</v>
      </c>
      <c r="G352" t="str">
        <f>VLOOKUP(ClientDB[[#This Row],[Org Code]],organization_table[],2)</f>
        <v>Parmis Technologies</v>
      </c>
      <c r="H352" s="10" t="s">
        <v>34</v>
      </c>
      <c r="I352" s="10" t="str">
        <f>INDEX(Country,MATCH(ClientDB[[#This Row],[Country Code]],Country_Codes,0),1)</f>
        <v>United States</v>
      </c>
      <c r="J352" s="15">
        <v>6</v>
      </c>
      <c r="K352" s="15" t="str">
        <f>IF(ClientDB[[#This Row],[Start Date]]&gt;=$U$14,"New","")</f>
        <v/>
      </c>
      <c r="L352" s="15" t="str">
        <f>IF(AND(ClientDB[[#This Row],[Start Year]]&lt;2016,ClientDB[[#This Row],[Events]]&gt;=6),"Gift","")</f>
        <v/>
      </c>
      <c r="M35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52" s="15">
        <v>1</v>
      </c>
      <c r="O352" s="32">
        <f>ClientDB[[#This Row],[Days]]*IF(ClientDB[[#This Row],[Days]]&gt;1,$V$8,$V$7)</f>
        <v>350</v>
      </c>
      <c r="P35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300</v>
      </c>
      <c r="Q352" s="15" t="s">
        <v>902</v>
      </c>
      <c r="R352" s="15" t="str">
        <f>INDEX(seat_table,MATCH(ClientDB[[#This Row],[Country Code]],seat_country_code,0),MATCH(ClientDB[[#This Row],[Meal]],meal,0))</f>
        <v>F</v>
      </c>
    </row>
    <row r="353" spans="1:18" x14ac:dyDescent="0.25">
      <c r="A353" s="10">
        <v>37974</v>
      </c>
      <c r="B353" t="s">
        <v>614</v>
      </c>
      <c r="C353" t="s">
        <v>615</v>
      </c>
      <c r="D353" s="18">
        <v>43951</v>
      </c>
      <c r="E353" s="10">
        <f>YEAR(ClientDB[[#This Row],[Start Date]])</f>
        <v>2020</v>
      </c>
      <c r="F353" t="s">
        <v>799</v>
      </c>
      <c r="G353" t="str">
        <f>VLOOKUP(ClientDB[[#This Row],[Org Code]],organization_table[],2)</f>
        <v>ByteSize</v>
      </c>
      <c r="H353" s="10" t="s">
        <v>38</v>
      </c>
      <c r="I353" s="10" t="str">
        <f>INDEX(Country,MATCH(ClientDB[[#This Row],[Country Code]],Country_Codes,0),1)</f>
        <v>Czech Republic</v>
      </c>
      <c r="J353" s="15">
        <v>2</v>
      </c>
      <c r="K353" s="15" t="str">
        <f>IF(ClientDB[[#This Row],[Start Date]]&gt;=$U$14,"New","")</f>
        <v>New</v>
      </c>
      <c r="L353" s="15" t="str">
        <f>IF(AND(ClientDB[[#This Row],[Start Year]]&lt;2016,ClientDB[[#This Row],[Events]]&gt;=6),"Gift","")</f>
        <v/>
      </c>
      <c r="M35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53" s="15">
        <v>3</v>
      </c>
      <c r="O353" s="32">
        <f>ClientDB[[#This Row],[Days]]*IF(ClientDB[[#This Row],[Days]]&gt;1,$V$8,$V$7)</f>
        <v>900</v>
      </c>
      <c r="P35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53" s="15" t="s">
        <v>901</v>
      </c>
      <c r="R353" s="15" t="str">
        <f>INDEX(seat_table,MATCH(ClientDB[[#This Row],[Country Code]],seat_country_code,0),MATCH(ClientDB[[#This Row],[Meal]],meal,0))</f>
        <v>D</v>
      </c>
    </row>
    <row r="354" spans="1:18" x14ac:dyDescent="0.25">
      <c r="A354" s="10">
        <v>38307</v>
      </c>
      <c r="B354" t="s">
        <v>677</v>
      </c>
      <c r="C354" t="s">
        <v>678</v>
      </c>
      <c r="D354" s="18">
        <v>43579</v>
      </c>
      <c r="E354" s="10">
        <f>YEAR(ClientDB[[#This Row],[Start Date]])</f>
        <v>2019</v>
      </c>
      <c r="F354" t="s">
        <v>831</v>
      </c>
      <c r="G354" t="str">
        <f>VLOOKUP(ClientDB[[#This Row],[Org Code]],organization_table[],2)</f>
        <v>TatSan</v>
      </c>
      <c r="H354" s="10" t="s">
        <v>155</v>
      </c>
      <c r="I354" s="10" t="str">
        <f>INDEX(Country,MATCH(ClientDB[[#This Row],[Country Code]],Country_Codes,0),1)</f>
        <v>United Arab Emirates</v>
      </c>
      <c r="J354" s="15">
        <v>3</v>
      </c>
      <c r="K354" s="15" t="str">
        <f>IF(ClientDB[[#This Row],[Start Date]]&gt;=$U$14,"New","")</f>
        <v/>
      </c>
      <c r="L354" s="15" t="str">
        <f>IF(AND(ClientDB[[#This Row],[Start Year]]&lt;2016,ClientDB[[#This Row],[Events]]&gt;=6),"Gift","")</f>
        <v/>
      </c>
      <c r="M35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54" s="15">
        <v>1</v>
      </c>
      <c r="O354" s="32">
        <f>ClientDB[[#This Row],[Days]]*IF(ClientDB[[#This Row],[Days]]&gt;1,$V$8,$V$7)</f>
        <v>350</v>
      </c>
      <c r="P35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54" s="15" t="s">
        <v>902</v>
      </c>
      <c r="R354" s="15" t="str">
        <f>INDEX(seat_table,MATCH(ClientDB[[#This Row],[Country Code]],seat_country_code,0),MATCH(ClientDB[[#This Row],[Meal]],meal,0))</f>
        <v>B</v>
      </c>
    </row>
    <row r="355" spans="1:18" x14ac:dyDescent="0.25">
      <c r="A355" s="10">
        <v>38372</v>
      </c>
      <c r="B355" t="s">
        <v>679</v>
      </c>
      <c r="C355" t="s">
        <v>680</v>
      </c>
      <c r="D355" s="18">
        <v>42668</v>
      </c>
      <c r="E355" s="10">
        <f>YEAR(ClientDB[[#This Row],[Start Date]])</f>
        <v>2016</v>
      </c>
      <c r="F355" t="s">
        <v>825</v>
      </c>
      <c r="G355" t="str">
        <f>VLOOKUP(ClientDB[[#This Row],[Org Code]],organization_table[],2)</f>
        <v>Qinisar</v>
      </c>
      <c r="H355" s="10" t="s">
        <v>54</v>
      </c>
      <c r="I355" s="10" t="str">
        <f>INDEX(Country,MATCH(ClientDB[[#This Row],[Country Code]],Country_Codes,0),1)</f>
        <v>Romania</v>
      </c>
      <c r="J355" s="15">
        <v>5</v>
      </c>
      <c r="K355" s="15" t="str">
        <f>IF(ClientDB[[#This Row],[Start Date]]&gt;=$U$14,"New","")</f>
        <v/>
      </c>
      <c r="L355" s="15" t="str">
        <f>IF(AND(ClientDB[[#This Row],[Start Year]]&lt;2016,ClientDB[[#This Row],[Events]]&gt;=6),"Gift","")</f>
        <v/>
      </c>
      <c r="M35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55" s="15">
        <v>2</v>
      </c>
      <c r="O355" s="32">
        <f>ClientDB[[#This Row],[Days]]*IF(ClientDB[[#This Row],[Days]]&gt;1,$V$8,$V$7)</f>
        <v>600</v>
      </c>
      <c r="P35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550</v>
      </c>
      <c r="Q355" s="15" t="s">
        <v>902</v>
      </c>
      <c r="R355" s="15" t="str">
        <f>INDEX(seat_table,MATCH(ClientDB[[#This Row],[Country Code]],seat_country_code,0),MATCH(ClientDB[[#This Row],[Meal]],meal,0))</f>
        <v>C</v>
      </c>
    </row>
    <row r="356" spans="1:18" x14ac:dyDescent="0.25">
      <c r="A356" s="10">
        <v>38639</v>
      </c>
      <c r="B356" t="s">
        <v>206</v>
      </c>
      <c r="C356" t="s">
        <v>207</v>
      </c>
      <c r="D356" s="18">
        <v>43365</v>
      </c>
      <c r="E356" s="10">
        <f>YEAR(ClientDB[[#This Row],[Start Date]])</f>
        <v>2018</v>
      </c>
      <c r="F356" t="s">
        <v>817</v>
      </c>
      <c r="G356" t="str">
        <f>VLOOKUP(ClientDB[[#This Row],[Org Code]],organization_table[],2)</f>
        <v>LACNE</v>
      </c>
      <c r="H356" s="10" t="s">
        <v>15</v>
      </c>
      <c r="I356" s="10" t="str">
        <f>INDEX(Country,MATCH(ClientDB[[#This Row],[Country Code]],Country_Codes,0),1)</f>
        <v>United Kingdom</v>
      </c>
      <c r="J356" s="15">
        <v>12</v>
      </c>
      <c r="K356" s="15" t="str">
        <f>IF(ClientDB[[#This Row],[Start Date]]&gt;=$U$14,"New","")</f>
        <v/>
      </c>
      <c r="L356" s="15" t="str">
        <f>IF(AND(ClientDB[[#This Row],[Start Year]]&lt;2016,ClientDB[[#This Row],[Events]]&gt;=6),"Gift","")</f>
        <v/>
      </c>
      <c r="M35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56" s="15">
        <v>1</v>
      </c>
      <c r="O356" s="32">
        <f>ClientDB[[#This Row],[Days]]*IF(ClientDB[[#This Row],[Days]]&gt;1,$V$8,$V$7)</f>
        <v>350</v>
      </c>
      <c r="P35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56" s="15" t="s">
        <v>901</v>
      </c>
      <c r="R356" s="15" t="str">
        <f>INDEX(seat_table,MATCH(ClientDB[[#This Row],[Country Code]],seat_country_code,0),MATCH(ClientDB[[#This Row],[Meal]],meal,0))</f>
        <v>E</v>
      </c>
    </row>
    <row r="357" spans="1:18" x14ac:dyDescent="0.25">
      <c r="A357" s="10">
        <v>38726</v>
      </c>
      <c r="B357" t="s">
        <v>350</v>
      </c>
      <c r="C357" t="s">
        <v>351</v>
      </c>
      <c r="D357" s="18">
        <v>43379</v>
      </c>
      <c r="E357" s="10">
        <f>YEAR(ClientDB[[#This Row],[Start Date]])</f>
        <v>2018</v>
      </c>
      <c r="F357" t="s">
        <v>796</v>
      </c>
      <c r="G357" t="str">
        <f>VLOOKUP(ClientDB[[#This Row],[Org Code]],organization_table[],2)</f>
        <v>Ares</v>
      </c>
      <c r="H357" s="10" t="s">
        <v>38</v>
      </c>
      <c r="I357" s="10" t="str">
        <f>INDEX(Country,MATCH(ClientDB[[#This Row],[Country Code]],Country_Codes,0),1)</f>
        <v>Czech Republic</v>
      </c>
      <c r="J357" s="15">
        <v>30</v>
      </c>
      <c r="K357" s="15" t="str">
        <f>IF(ClientDB[[#This Row],[Start Date]]&gt;=$U$14,"New","")</f>
        <v/>
      </c>
      <c r="L357" s="15" t="str">
        <f>IF(AND(ClientDB[[#This Row],[Start Year]]&lt;2016,ClientDB[[#This Row],[Events]]&gt;=6),"Gift","")</f>
        <v/>
      </c>
      <c r="M35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Platinum</v>
      </c>
      <c r="N357" s="15">
        <v>1</v>
      </c>
      <c r="O357" s="32">
        <f>ClientDB[[#This Row],[Days]]*IF(ClientDB[[#This Row],[Days]]&gt;1,$V$8,$V$7)</f>
        <v>350</v>
      </c>
      <c r="P35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57" s="15" t="s">
        <v>901</v>
      </c>
      <c r="R357" s="15" t="str">
        <f>INDEX(seat_table,MATCH(ClientDB[[#This Row],[Country Code]],seat_country_code,0),MATCH(ClientDB[[#This Row],[Meal]],meal,0))</f>
        <v>D</v>
      </c>
    </row>
    <row r="358" spans="1:18" x14ac:dyDescent="0.25">
      <c r="A358" s="10">
        <v>38761</v>
      </c>
      <c r="B358" t="s">
        <v>263</v>
      </c>
      <c r="C358" t="s">
        <v>264</v>
      </c>
      <c r="D358" s="18">
        <v>42839</v>
      </c>
      <c r="E358" s="10">
        <f>YEAR(ClientDB[[#This Row],[Start Date]])</f>
        <v>2017</v>
      </c>
      <c r="F358" t="s">
        <v>805</v>
      </c>
      <c r="G358" t="str">
        <f>VLOOKUP(ClientDB[[#This Row],[Org Code]],organization_table[],2)</f>
        <v>DENIL</v>
      </c>
      <c r="H358" s="10" t="s">
        <v>46</v>
      </c>
      <c r="I358" s="10" t="str">
        <f>INDEX(Country,MATCH(ClientDB[[#This Row],[Country Code]],Country_Codes,0),1)</f>
        <v>Germany</v>
      </c>
      <c r="J358" s="15">
        <v>16</v>
      </c>
      <c r="K358" s="15" t="str">
        <f>IF(ClientDB[[#This Row],[Start Date]]&gt;=$U$14,"New","")</f>
        <v/>
      </c>
      <c r="L358" s="15" t="str">
        <f>IF(AND(ClientDB[[#This Row],[Start Year]]&lt;2016,ClientDB[[#This Row],[Events]]&gt;=6),"Gift","")</f>
        <v/>
      </c>
      <c r="M35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58" s="15">
        <v>1</v>
      </c>
      <c r="O358" s="32">
        <f>ClientDB[[#This Row],[Days]]*IF(ClientDB[[#This Row],[Days]]&gt;1,$V$8,$V$7)</f>
        <v>350</v>
      </c>
      <c r="P35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58" s="15" t="s">
        <v>902</v>
      </c>
      <c r="R358" s="15" t="str">
        <f>INDEX(seat_table,MATCH(ClientDB[[#This Row],[Country Code]],seat_country_code,0),MATCH(ClientDB[[#This Row],[Meal]],meal,0))</f>
        <v>B</v>
      </c>
    </row>
    <row r="359" spans="1:18" x14ac:dyDescent="0.25">
      <c r="A359" s="10">
        <v>38839</v>
      </c>
      <c r="B359" t="s">
        <v>176</v>
      </c>
      <c r="C359" t="s">
        <v>177</v>
      </c>
      <c r="D359" s="18">
        <v>44050</v>
      </c>
      <c r="E359" s="10">
        <f>YEAR(ClientDB[[#This Row],[Start Date]])</f>
        <v>2020</v>
      </c>
      <c r="F359" t="s">
        <v>809</v>
      </c>
      <c r="G359" t="str">
        <f>VLOOKUP(ClientDB[[#This Row],[Org Code]],organization_table[],2)</f>
        <v>Epsilon Tech</v>
      </c>
      <c r="H359" s="10" t="s">
        <v>178</v>
      </c>
      <c r="I359" s="10" t="str">
        <f>INDEX(Country,MATCH(ClientDB[[#This Row],[Country Code]],Country_Codes,0),1)</f>
        <v>Mauritius</v>
      </c>
      <c r="J359" s="15">
        <v>1</v>
      </c>
      <c r="K359" s="15" t="str">
        <f>IF(ClientDB[[#This Row],[Start Date]]&gt;=$U$14,"New","")</f>
        <v>New</v>
      </c>
      <c r="L359" s="15" t="str">
        <f>IF(AND(ClientDB[[#This Row],[Start Year]]&lt;2016,ClientDB[[#This Row],[Events]]&gt;=6),"Gift","")</f>
        <v/>
      </c>
      <c r="M359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59" s="15">
        <v>3</v>
      </c>
      <c r="O359" s="32">
        <f>ClientDB[[#This Row],[Days]]*IF(ClientDB[[#This Row],[Days]]&gt;1,$V$8,$V$7)</f>
        <v>900</v>
      </c>
      <c r="P359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59" s="15" t="s">
        <v>901</v>
      </c>
      <c r="R359" s="15" t="str">
        <f>INDEX(seat_table,MATCH(ClientDB[[#This Row],[Country Code]],seat_country_code,0),MATCH(ClientDB[[#This Row],[Meal]],meal,0))</f>
        <v>F</v>
      </c>
    </row>
    <row r="360" spans="1:18" x14ac:dyDescent="0.25">
      <c r="A360" s="10">
        <v>38892</v>
      </c>
      <c r="B360" t="s">
        <v>661</v>
      </c>
      <c r="C360" t="s">
        <v>662</v>
      </c>
      <c r="D360" s="18">
        <v>42402</v>
      </c>
      <c r="E360" s="10">
        <f>YEAR(ClientDB[[#This Row],[Start Date]])</f>
        <v>2016</v>
      </c>
      <c r="F360" t="s">
        <v>820</v>
      </c>
      <c r="G360" t="str">
        <f>VLOOKUP(ClientDB[[#This Row],[Org Code]],organization_table[],2)</f>
        <v>Oglev</v>
      </c>
      <c r="H360" s="10" t="s">
        <v>124</v>
      </c>
      <c r="I360" s="10" t="str">
        <f>INDEX(Country,MATCH(ClientDB[[#This Row],[Country Code]],Country_Codes,0),1)</f>
        <v>Lebanon</v>
      </c>
      <c r="J360" s="15">
        <v>18</v>
      </c>
      <c r="K360" s="15" t="str">
        <f>IF(ClientDB[[#This Row],[Start Date]]&gt;=$U$14,"New","")</f>
        <v/>
      </c>
      <c r="L360" s="15" t="str">
        <f>IF(AND(ClientDB[[#This Row],[Start Year]]&lt;2016,ClientDB[[#This Row],[Events]]&gt;=6),"Gift","")</f>
        <v/>
      </c>
      <c r="M360" s="15" t="str">
        <f>IF(ClientDB[[#This Row],[Events]]&lt;=9,$U$19,IF(AND(ClientDB[[#This Row],[Events]]&gt;=10,ClientDB[[#This Row],[Events]]&lt;=19),$U$20,IF(AND(ClientDB[[#This Row],[Events]]&gt;=20,ClientDB[[#This Row],[Events]]&lt;=29),$U$21,$U$22)))</f>
        <v>Silver</v>
      </c>
      <c r="N360" s="15">
        <v>1</v>
      </c>
      <c r="O360" s="32">
        <f>ClientDB[[#This Row],[Days]]*IF(ClientDB[[#This Row],[Days]]&gt;1,$V$8,$V$7)</f>
        <v>350</v>
      </c>
      <c r="P360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280</v>
      </c>
      <c r="Q360" s="15" t="s">
        <v>900</v>
      </c>
      <c r="R360" s="15" t="str">
        <f>INDEX(seat_table,MATCH(ClientDB[[#This Row],[Country Code]],seat_country_code,0),MATCH(ClientDB[[#This Row],[Meal]],meal,0))</f>
        <v>C</v>
      </c>
    </row>
    <row r="361" spans="1:18" x14ac:dyDescent="0.25">
      <c r="A361" s="10">
        <v>39126</v>
      </c>
      <c r="B361" t="s">
        <v>654</v>
      </c>
      <c r="C361" t="s">
        <v>655</v>
      </c>
      <c r="D361" s="18">
        <v>42272</v>
      </c>
      <c r="E361" s="10">
        <f>YEAR(ClientDB[[#This Row],[Start Date]])</f>
        <v>2015</v>
      </c>
      <c r="F361" t="s">
        <v>827</v>
      </c>
      <c r="G361" t="str">
        <f>VLOOKUP(ClientDB[[#This Row],[Org Code]],organization_table[],2)</f>
        <v>Ripple Com</v>
      </c>
      <c r="H361" s="10" t="s">
        <v>78</v>
      </c>
      <c r="I361" s="10" t="str">
        <f>INDEX(Country,MATCH(ClientDB[[#This Row],[Country Code]],Country_Codes,0),1)</f>
        <v>Sweden</v>
      </c>
      <c r="J361" s="15">
        <v>20</v>
      </c>
      <c r="K361" s="15" t="str">
        <f>IF(ClientDB[[#This Row],[Start Date]]&gt;=$U$14,"New","")</f>
        <v/>
      </c>
      <c r="L361" s="15" t="str">
        <f>IF(AND(ClientDB[[#This Row],[Start Year]]&lt;2016,ClientDB[[#This Row],[Events]]&gt;=6),"Gift","")</f>
        <v>Gift</v>
      </c>
      <c r="M361" s="15" t="str">
        <f>IF(ClientDB[[#This Row],[Events]]&lt;=9,$U$19,IF(AND(ClientDB[[#This Row],[Events]]&gt;=10,ClientDB[[#This Row],[Events]]&lt;=19),$U$20,IF(AND(ClientDB[[#This Row],[Events]]&gt;=20,ClientDB[[#This Row],[Events]]&lt;=29),$U$21,$U$22)))</f>
        <v>Gold</v>
      </c>
      <c r="N361" s="15">
        <v>2</v>
      </c>
      <c r="O361" s="32">
        <f>ClientDB[[#This Row],[Days]]*IF(ClientDB[[#This Row],[Days]]&gt;1,$V$8,$V$7)</f>
        <v>600</v>
      </c>
      <c r="P361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361" s="15" t="s">
        <v>902</v>
      </c>
      <c r="R361" s="15" t="str">
        <f>INDEX(seat_table,MATCH(ClientDB[[#This Row],[Country Code]],seat_country_code,0),MATCH(ClientDB[[#This Row],[Meal]],meal,0))</f>
        <v>C</v>
      </c>
    </row>
    <row r="362" spans="1:18" x14ac:dyDescent="0.25">
      <c r="A362" s="10">
        <v>39356</v>
      </c>
      <c r="B362" t="s">
        <v>291</v>
      </c>
      <c r="C362" t="s">
        <v>292</v>
      </c>
      <c r="D362" s="18">
        <v>42265</v>
      </c>
      <c r="E362" s="10">
        <f>YEAR(ClientDB[[#This Row],[Start Date]])</f>
        <v>2015</v>
      </c>
      <c r="F362" t="s">
        <v>814</v>
      </c>
      <c r="G362" t="str">
        <f>VLOOKUP(ClientDB[[#This Row],[Org Code]],organization_table[],2)</f>
        <v>IPI Bucharest</v>
      </c>
      <c r="H362" s="10" t="s">
        <v>15</v>
      </c>
      <c r="I362" s="10" t="str">
        <f>INDEX(Country,MATCH(ClientDB[[#This Row],[Country Code]],Country_Codes,0),1)</f>
        <v>United Kingdom</v>
      </c>
      <c r="J362" s="15">
        <v>36</v>
      </c>
      <c r="K362" s="15" t="str">
        <f>IF(ClientDB[[#This Row],[Start Date]]&gt;=$U$14,"New","")</f>
        <v/>
      </c>
      <c r="L362" s="15" t="str">
        <f>IF(AND(ClientDB[[#This Row],[Start Year]]&lt;2016,ClientDB[[#This Row],[Events]]&gt;=6),"Gift","")</f>
        <v>Gift</v>
      </c>
      <c r="M362" s="15" t="str">
        <f>IF(ClientDB[[#This Row],[Events]]&lt;=9,$U$19,IF(AND(ClientDB[[#This Row],[Events]]&gt;=10,ClientDB[[#This Row],[Events]]&lt;=19),$U$20,IF(AND(ClientDB[[#This Row],[Events]]&gt;=20,ClientDB[[#This Row],[Events]]&lt;=29),$U$21,$U$22)))</f>
        <v>Platinum</v>
      </c>
      <c r="N362" s="15">
        <v>2</v>
      </c>
      <c r="O362" s="32">
        <f>ClientDB[[#This Row],[Days]]*IF(ClientDB[[#This Row],[Days]]&gt;1,$V$8,$V$7)</f>
        <v>600</v>
      </c>
      <c r="P362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480</v>
      </c>
      <c r="Q362" s="15" t="s">
        <v>902</v>
      </c>
      <c r="R362" s="15" t="str">
        <f>INDEX(seat_table,MATCH(ClientDB[[#This Row],[Country Code]],seat_country_code,0),MATCH(ClientDB[[#This Row],[Meal]],meal,0))</f>
        <v>B</v>
      </c>
    </row>
    <row r="363" spans="1:18" x14ac:dyDescent="0.25">
      <c r="A363" s="10">
        <v>39376</v>
      </c>
      <c r="B363" t="s">
        <v>403</v>
      </c>
      <c r="C363" t="s">
        <v>404</v>
      </c>
      <c r="D363" s="18">
        <v>43976</v>
      </c>
      <c r="E363" s="10">
        <f>YEAR(ClientDB[[#This Row],[Start Date]])</f>
        <v>2020</v>
      </c>
      <c r="F363" t="s">
        <v>817</v>
      </c>
      <c r="G363" t="str">
        <f>VLOOKUP(ClientDB[[#This Row],[Org Code]],organization_table[],2)</f>
        <v>LACNE</v>
      </c>
      <c r="H363" s="10" t="s">
        <v>155</v>
      </c>
      <c r="I363" s="10" t="str">
        <f>INDEX(Country,MATCH(ClientDB[[#This Row],[Country Code]],Country_Codes,0),1)</f>
        <v>United Arab Emirates</v>
      </c>
      <c r="J363" s="15">
        <v>2</v>
      </c>
      <c r="K363" s="15" t="str">
        <f>IF(ClientDB[[#This Row],[Start Date]]&gt;=$U$14,"New","")</f>
        <v>New</v>
      </c>
      <c r="L363" s="15" t="str">
        <f>IF(AND(ClientDB[[#This Row],[Start Year]]&lt;2016,ClientDB[[#This Row],[Events]]&gt;=6),"Gift","")</f>
        <v/>
      </c>
      <c r="M363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63" s="15">
        <v>3</v>
      </c>
      <c r="O363" s="32">
        <f>ClientDB[[#This Row],[Days]]*IF(ClientDB[[#This Row],[Days]]&gt;1,$V$8,$V$7)</f>
        <v>900</v>
      </c>
      <c r="P363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63" s="15" t="s">
        <v>901</v>
      </c>
      <c r="R363" s="15" t="str">
        <f>INDEX(seat_table,MATCH(ClientDB[[#This Row],[Country Code]],seat_country_code,0),MATCH(ClientDB[[#This Row],[Meal]],meal,0))</f>
        <v>D</v>
      </c>
    </row>
    <row r="364" spans="1:18" x14ac:dyDescent="0.25">
      <c r="A364" s="10">
        <v>39407</v>
      </c>
      <c r="B364" t="s">
        <v>197</v>
      </c>
      <c r="C364" t="s">
        <v>198</v>
      </c>
      <c r="D364" s="18">
        <v>42756</v>
      </c>
      <c r="E364" s="10">
        <f>YEAR(ClientDB[[#This Row],[Start Date]])</f>
        <v>2017</v>
      </c>
      <c r="F364" t="s">
        <v>795</v>
      </c>
      <c r="G364" t="str">
        <f>VLOOKUP(ClientDB[[#This Row],[Org Code]],organization_table[],2)</f>
        <v>AHA Networks</v>
      </c>
      <c r="H364" s="10" t="s">
        <v>59</v>
      </c>
      <c r="I364" s="10" t="str">
        <f>INDEX(Country,MATCH(ClientDB[[#This Row],[Country Code]],Country_Codes,0),1)</f>
        <v>Netherlands</v>
      </c>
      <c r="J364" s="15">
        <v>2</v>
      </c>
      <c r="K364" s="15" t="str">
        <f>IF(ClientDB[[#This Row],[Start Date]]&gt;=$U$14,"New","")</f>
        <v/>
      </c>
      <c r="L364" s="15" t="str">
        <f>IF(AND(ClientDB[[#This Row],[Start Year]]&lt;2016,ClientDB[[#This Row],[Events]]&gt;=6),"Gift","")</f>
        <v/>
      </c>
      <c r="M364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64" s="15">
        <v>1</v>
      </c>
      <c r="O364" s="32">
        <f>ClientDB[[#This Row],[Days]]*IF(ClientDB[[#This Row],[Days]]&gt;1,$V$8,$V$7)</f>
        <v>350</v>
      </c>
      <c r="P364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350</v>
      </c>
      <c r="Q364" s="15" t="s">
        <v>899</v>
      </c>
      <c r="R364" s="15" t="str">
        <f>INDEX(seat_table,MATCH(ClientDB[[#This Row],[Country Code]],seat_country_code,0),MATCH(ClientDB[[#This Row],[Meal]],meal,0))</f>
        <v>B</v>
      </c>
    </row>
    <row r="365" spans="1:18" x14ac:dyDescent="0.25">
      <c r="A365" s="10">
        <v>39500</v>
      </c>
      <c r="B365" t="s">
        <v>600</v>
      </c>
      <c r="C365" t="s">
        <v>601</v>
      </c>
      <c r="D365" s="18">
        <v>43662</v>
      </c>
      <c r="E365" s="10">
        <f>YEAR(ClientDB[[#This Row],[Start Date]])</f>
        <v>2019</v>
      </c>
      <c r="F365" t="s">
        <v>805</v>
      </c>
      <c r="G365" t="str">
        <f>VLOOKUP(ClientDB[[#This Row],[Org Code]],organization_table[],2)</f>
        <v>DENIL</v>
      </c>
      <c r="H365" s="10" t="s">
        <v>15</v>
      </c>
      <c r="I365" s="10" t="str">
        <f>INDEX(Country,MATCH(ClientDB[[#This Row],[Country Code]],Country_Codes,0),1)</f>
        <v>United Kingdom</v>
      </c>
      <c r="J365" s="15">
        <v>3</v>
      </c>
      <c r="K365" s="15" t="str">
        <f>IF(ClientDB[[#This Row],[Start Date]]&gt;=$U$14,"New","")</f>
        <v/>
      </c>
      <c r="L365" s="15" t="str">
        <f>IF(AND(ClientDB[[#This Row],[Start Year]]&lt;2016,ClientDB[[#This Row],[Events]]&gt;=6),"Gift","")</f>
        <v/>
      </c>
      <c r="M365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65" s="15">
        <v>2</v>
      </c>
      <c r="O365" s="32">
        <f>ClientDB[[#This Row],[Days]]*IF(ClientDB[[#This Row],[Days]]&gt;1,$V$8,$V$7)</f>
        <v>600</v>
      </c>
      <c r="P365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65" s="15" t="s">
        <v>901</v>
      </c>
      <c r="R365" s="15" t="str">
        <f>INDEX(seat_table,MATCH(ClientDB[[#This Row],[Country Code]],seat_country_code,0),MATCH(ClientDB[[#This Row],[Meal]],meal,0))</f>
        <v>E</v>
      </c>
    </row>
    <row r="366" spans="1:18" x14ac:dyDescent="0.25">
      <c r="A366" s="10">
        <v>39668</v>
      </c>
      <c r="B366" t="s">
        <v>189</v>
      </c>
      <c r="C366" t="s">
        <v>190</v>
      </c>
      <c r="D366" s="18">
        <v>42773</v>
      </c>
      <c r="E366" s="10">
        <f>YEAR(ClientDB[[#This Row],[Start Date]])</f>
        <v>2017</v>
      </c>
      <c r="F366" t="s">
        <v>835</v>
      </c>
      <c r="G366" t="str">
        <f>VLOOKUP(ClientDB[[#This Row],[Org Code]],organization_table[],2)</f>
        <v>WWT</v>
      </c>
      <c r="H366" s="10" t="s">
        <v>192</v>
      </c>
      <c r="I366" s="10" t="str">
        <f>INDEX(Country,MATCH(ClientDB[[#This Row],[Country Code]],Country_Codes,0),1)</f>
        <v>Malaysia</v>
      </c>
      <c r="J366" s="15">
        <v>3</v>
      </c>
      <c r="K366" s="15" t="str">
        <f>IF(ClientDB[[#This Row],[Start Date]]&gt;=$U$14,"New","")</f>
        <v/>
      </c>
      <c r="L366" s="15" t="str">
        <f>IF(AND(ClientDB[[#This Row],[Start Year]]&lt;2016,ClientDB[[#This Row],[Events]]&gt;=6),"Gift","")</f>
        <v/>
      </c>
      <c r="M366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66" s="15">
        <v>3</v>
      </c>
      <c r="O366" s="32">
        <f>ClientDB[[#This Row],[Days]]*IF(ClientDB[[#This Row],[Days]]&gt;1,$V$8,$V$7)</f>
        <v>900</v>
      </c>
      <c r="P366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900</v>
      </c>
      <c r="Q366" s="15" t="s">
        <v>899</v>
      </c>
      <c r="R366" s="15" t="str">
        <f>INDEX(seat_table,MATCH(ClientDB[[#This Row],[Country Code]],seat_country_code,0),MATCH(ClientDB[[#This Row],[Meal]],meal,0))</f>
        <v>B</v>
      </c>
    </row>
    <row r="367" spans="1:18" x14ac:dyDescent="0.25">
      <c r="A367" s="10">
        <v>39680</v>
      </c>
      <c r="B367" t="s">
        <v>585</v>
      </c>
      <c r="C367" t="s">
        <v>586</v>
      </c>
      <c r="D367" s="18">
        <v>43561</v>
      </c>
      <c r="E367" s="10">
        <f>YEAR(ClientDB[[#This Row],[Start Date]])</f>
        <v>2019</v>
      </c>
      <c r="F367" t="s">
        <v>800</v>
      </c>
      <c r="G367" t="str">
        <f>VLOOKUP(ClientDB[[#This Row],[Org Code]],organization_table[],2)</f>
        <v>Colot</v>
      </c>
      <c r="H367" s="10" t="s">
        <v>15</v>
      </c>
      <c r="I367" s="10" t="str">
        <f>INDEX(Country,MATCH(ClientDB[[#This Row],[Country Code]],Country_Codes,0),1)</f>
        <v>United Kingdom</v>
      </c>
      <c r="J367" s="15">
        <v>4</v>
      </c>
      <c r="K367" s="15" t="str">
        <f>IF(ClientDB[[#This Row],[Start Date]]&gt;=$U$14,"New","")</f>
        <v/>
      </c>
      <c r="L367" s="15" t="str">
        <f>IF(AND(ClientDB[[#This Row],[Start Year]]&lt;2016,ClientDB[[#This Row],[Events]]&gt;=6),"Gift","")</f>
        <v/>
      </c>
      <c r="M367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67" s="15">
        <v>2</v>
      </c>
      <c r="O367" s="32">
        <f>ClientDB[[#This Row],[Days]]*IF(ClientDB[[#This Row],[Days]]&gt;1,$V$8,$V$7)</f>
        <v>600</v>
      </c>
      <c r="P367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600</v>
      </c>
      <c r="Q367" s="15" t="s">
        <v>901</v>
      </c>
      <c r="R367" s="15" t="str">
        <f>INDEX(seat_table,MATCH(ClientDB[[#This Row],[Country Code]],seat_country_code,0),MATCH(ClientDB[[#This Row],[Meal]],meal,0))</f>
        <v>E</v>
      </c>
    </row>
    <row r="368" spans="1:18" x14ac:dyDescent="0.25">
      <c r="A368" s="10">
        <v>39830</v>
      </c>
      <c r="B368" t="s">
        <v>707</v>
      </c>
      <c r="C368" t="s">
        <v>708</v>
      </c>
      <c r="D368" s="18">
        <v>43771</v>
      </c>
      <c r="E368" s="10">
        <f>YEAR(ClientDB[[#This Row],[Start Date]])</f>
        <v>2019</v>
      </c>
      <c r="F368" t="s">
        <v>827</v>
      </c>
      <c r="G368" t="str">
        <f>VLOOKUP(ClientDB[[#This Row],[Org Code]],organization_table[],2)</f>
        <v>Ripple Com</v>
      </c>
      <c r="H368" s="10" t="s">
        <v>15</v>
      </c>
      <c r="I368" s="10" t="str">
        <f>INDEX(Country,MATCH(ClientDB[[#This Row],[Country Code]],Country_Codes,0),1)</f>
        <v>United Kingdom</v>
      </c>
      <c r="J368" s="15">
        <v>6</v>
      </c>
      <c r="K368" s="15" t="str">
        <f>IF(ClientDB[[#This Row],[Start Date]]&gt;=$U$14,"New","")</f>
        <v/>
      </c>
      <c r="L368" s="15" t="str">
        <f>IF(AND(ClientDB[[#This Row],[Start Year]]&lt;2016,ClientDB[[#This Row],[Events]]&gt;=6),"Gift","")</f>
        <v/>
      </c>
      <c r="M368" s="15" t="str">
        <f>IF(ClientDB[[#This Row],[Events]]&lt;=9,$U$19,IF(AND(ClientDB[[#This Row],[Events]]&gt;=10,ClientDB[[#This Row],[Events]]&lt;=19),$U$20,IF(AND(ClientDB[[#This Row],[Events]]&gt;=20,ClientDB[[#This Row],[Events]]&lt;=29),$U$21,$U$22)))</f>
        <v>Bronze</v>
      </c>
      <c r="N368" s="15">
        <v>3</v>
      </c>
      <c r="O368" s="32">
        <f>ClientDB[[#This Row],[Days]]*IF(ClientDB[[#This Row],[Days]]&gt;1,$V$8,$V$7)</f>
        <v>900</v>
      </c>
      <c r="P368" s="32">
        <f>IF(AND(ClientDB[[#This Row],[Events]]&gt;=5,ClientDB[[#This Row],[Events]]&lt;=9),ClientDB[[#This Row],[Price]]-$V$12,IF(ClientDB[[#This Row],[Events]]&gt;=10,ClientDB[[#This Row],[Price]]-ClientDB[[#This Row],[Price]]*$V$11,ClientDB[[#This Row],[Price]]))</f>
        <v>850</v>
      </c>
      <c r="Q368" s="15" t="s">
        <v>900</v>
      </c>
      <c r="R368" s="15" t="str">
        <f>INDEX(seat_table,MATCH(ClientDB[[#This Row],[Country Code]],seat_country_code,0),MATCH(ClientDB[[#This Row],[Meal]],meal,0))</f>
        <v>A</v>
      </c>
    </row>
    <row r="369" spans="1:18" x14ac:dyDescent="0.25">
      <c r="A369" s="10" t="s">
        <v>920</v>
      </c>
      <c r="C369"/>
      <c r="D369" s="10"/>
      <c r="E369" s="10"/>
      <c r="F369"/>
      <c r="G369"/>
      <c r="H369" s="10"/>
      <c r="I369"/>
      <c r="J369" s="15"/>
      <c r="K369"/>
      <c r="L369"/>
      <c r="M369"/>
      <c r="N369" s="15"/>
      <c r="O369" s="54">
        <f>SUBTOTAL(109,ClientDB[Price])</f>
        <v>230050</v>
      </c>
      <c r="P369"/>
      <c r="Q369" s="15"/>
      <c r="R369"/>
    </row>
  </sheetData>
  <sortState xmlns:xlrd2="http://schemas.microsoft.com/office/spreadsheetml/2017/richdata2" ref="A7:R370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A45-3A47-4B48-BC0B-478B05A52E0A}">
  <dimension ref="A1:M59"/>
  <sheetViews>
    <sheetView topLeftCell="A28" workbookViewId="0">
      <selection activeCell="B14" sqref="B14"/>
    </sheetView>
  </sheetViews>
  <sheetFormatPr defaultRowHeight="13.8" x14ac:dyDescent="0.25"/>
  <cols>
    <col min="1" max="1" width="18.69921875" customWidth="1"/>
    <col min="2" max="2" width="19.296875" customWidth="1"/>
    <col min="3" max="3" width="5.09765625" customWidth="1"/>
    <col min="4" max="4" width="17.19921875" customWidth="1"/>
    <col min="5" max="5" width="13.09765625" style="15" bestFit="1" customWidth="1"/>
    <col min="6" max="6" width="9" customWidth="1"/>
    <col min="7" max="7" width="9.296875" customWidth="1"/>
    <col min="8" max="8" width="9.19921875" customWidth="1"/>
    <col min="9" max="9" width="11.8984375" customWidth="1"/>
  </cols>
  <sheetData>
    <row r="1" spans="1:13" s="2" customFormat="1" x14ac:dyDescent="0.25">
      <c r="A1" s="6"/>
      <c r="E1" s="11"/>
      <c r="L1"/>
      <c r="M1"/>
    </row>
    <row r="2" spans="1:13" s="2" customFormat="1" ht="6" customHeight="1" x14ac:dyDescent="0.25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25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25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25">
      <c r="A5" s="10"/>
      <c r="C5" s="1"/>
      <c r="D5" s="1"/>
    </row>
    <row r="6" spans="1:13" ht="16.2" thickBot="1" x14ac:dyDescent="0.3">
      <c r="A6" s="5" t="s">
        <v>793</v>
      </c>
      <c r="B6" s="5" t="s">
        <v>794</v>
      </c>
      <c r="D6" s="9" t="s">
        <v>3</v>
      </c>
      <c r="E6" s="9" t="s">
        <v>772</v>
      </c>
      <c r="G6" s="40" t="s">
        <v>3</v>
      </c>
      <c r="H6" s="41" t="s">
        <v>901</v>
      </c>
      <c r="I6" s="41" t="s">
        <v>902</v>
      </c>
      <c r="J6" s="41" t="s">
        <v>899</v>
      </c>
      <c r="K6" s="42" t="s">
        <v>900</v>
      </c>
    </row>
    <row r="7" spans="1:13" x14ac:dyDescent="0.25">
      <c r="A7" t="s">
        <v>795</v>
      </c>
      <c r="B7" t="s">
        <v>33</v>
      </c>
      <c r="D7" t="s">
        <v>844</v>
      </c>
      <c r="E7" s="15" t="s">
        <v>698</v>
      </c>
      <c r="G7" s="43" t="s">
        <v>155</v>
      </c>
      <c r="H7" s="44" t="s">
        <v>787</v>
      </c>
      <c r="I7" s="44" t="s">
        <v>776</v>
      </c>
      <c r="J7" s="44" t="s">
        <v>775</v>
      </c>
      <c r="K7" s="45" t="s">
        <v>775</v>
      </c>
    </row>
    <row r="8" spans="1:13" x14ac:dyDescent="0.25">
      <c r="A8" t="s">
        <v>796</v>
      </c>
      <c r="B8" t="s">
        <v>158</v>
      </c>
      <c r="D8" t="s">
        <v>843</v>
      </c>
      <c r="E8" s="15" t="s">
        <v>63</v>
      </c>
      <c r="G8" s="46" t="s">
        <v>63</v>
      </c>
      <c r="H8" s="47" t="s">
        <v>787</v>
      </c>
      <c r="I8" s="47" t="s">
        <v>776</v>
      </c>
      <c r="J8" s="47" t="s">
        <v>775</v>
      </c>
      <c r="K8" s="48" t="s">
        <v>775</v>
      </c>
    </row>
    <row r="9" spans="1:13" x14ac:dyDescent="0.25">
      <c r="A9" t="s">
        <v>797</v>
      </c>
      <c r="B9" t="s">
        <v>62</v>
      </c>
      <c r="D9" t="s">
        <v>846</v>
      </c>
      <c r="E9" s="15" t="s">
        <v>175</v>
      </c>
      <c r="G9" s="46" t="s">
        <v>698</v>
      </c>
      <c r="H9" s="49" t="s">
        <v>787</v>
      </c>
      <c r="I9" s="49" t="s">
        <v>776</v>
      </c>
      <c r="J9" s="49" t="s">
        <v>775</v>
      </c>
      <c r="K9" s="50" t="s">
        <v>775</v>
      </c>
    </row>
    <row r="10" spans="1:13" x14ac:dyDescent="0.25">
      <c r="A10" t="s">
        <v>798</v>
      </c>
      <c r="B10" t="s">
        <v>77</v>
      </c>
      <c r="D10" t="s">
        <v>845</v>
      </c>
      <c r="E10" s="15" t="s">
        <v>11</v>
      </c>
      <c r="G10" s="46" t="s">
        <v>11</v>
      </c>
      <c r="H10" s="47" t="s">
        <v>787</v>
      </c>
      <c r="I10" s="47" t="s">
        <v>776</v>
      </c>
      <c r="J10" s="47" t="s">
        <v>775</v>
      </c>
      <c r="K10" s="48" t="s">
        <v>775</v>
      </c>
    </row>
    <row r="11" spans="1:13" x14ac:dyDescent="0.25">
      <c r="A11" t="s">
        <v>799</v>
      </c>
      <c r="B11" t="s">
        <v>69</v>
      </c>
      <c r="D11" t="s">
        <v>849</v>
      </c>
      <c r="E11" s="15" t="s">
        <v>30</v>
      </c>
      <c r="G11" s="46" t="s">
        <v>175</v>
      </c>
      <c r="H11" s="49" t="s">
        <v>787</v>
      </c>
      <c r="I11" s="49" t="s">
        <v>776</v>
      </c>
      <c r="J11" s="49" t="s">
        <v>775</v>
      </c>
      <c r="K11" s="50" t="s">
        <v>775</v>
      </c>
    </row>
    <row r="12" spans="1:13" x14ac:dyDescent="0.25">
      <c r="A12" t="s">
        <v>800</v>
      </c>
      <c r="B12" t="s">
        <v>154</v>
      </c>
      <c r="D12" t="s">
        <v>847</v>
      </c>
      <c r="E12" s="15" t="s">
        <v>386</v>
      </c>
      <c r="G12" s="46" t="s">
        <v>386</v>
      </c>
      <c r="H12" s="47" t="s">
        <v>787</v>
      </c>
      <c r="I12" s="47" t="s">
        <v>776</v>
      </c>
      <c r="J12" s="47" t="s">
        <v>775</v>
      </c>
      <c r="K12" s="48" t="s">
        <v>775</v>
      </c>
    </row>
    <row r="13" spans="1:13" x14ac:dyDescent="0.25">
      <c r="A13" t="s">
        <v>801</v>
      </c>
      <c r="B13" t="s">
        <v>14</v>
      </c>
      <c r="D13" t="s">
        <v>848</v>
      </c>
      <c r="E13" s="15" t="s">
        <v>340</v>
      </c>
      <c r="G13" s="46" t="s">
        <v>340</v>
      </c>
      <c r="H13" s="49" t="s">
        <v>787</v>
      </c>
      <c r="I13" s="49" t="s">
        <v>776</v>
      </c>
      <c r="J13" s="49" t="s">
        <v>775</v>
      </c>
      <c r="K13" s="50" t="s">
        <v>775</v>
      </c>
    </row>
    <row r="14" spans="1:13" x14ac:dyDescent="0.25">
      <c r="A14" t="s">
        <v>802</v>
      </c>
      <c r="B14" t="s">
        <v>108</v>
      </c>
      <c r="D14" t="s">
        <v>850</v>
      </c>
      <c r="E14" s="15" t="s">
        <v>578</v>
      </c>
      <c r="G14" s="46" t="s">
        <v>30</v>
      </c>
      <c r="H14" s="47" t="s">
        <v>787</v>
      </c>
      <c r="I14" s="47" t="s">
        <v>776</v>
      </c>
      <c r="J14" s="47" t="s">
        <v>775</v>
      </c>
      <c r="K14" s="48" t="s">
        <v>775</v>
      </c>
    </row>
    <row r="15" spans="1:13" x14ac:dyDescent="0.25">
      <c r="A15" t="s">
        <v>804</v>
      </c>
      <c r="B15" t="s">
        <v>305</v>
      </c>
      <c r="D15" t="s">
        <v>852</v>
      </c>
      <c r="E15" s="15" t="s">
        <v>38</v>
      </c>
      <c r="G15" s="46" t="s">
        <v>578</v>
      </c>
      <c r="H15" s="49" t="s">
        <v>787</v>
      </c>
      <c r="I15" s="49" t="s">
        <v>776</v>
      </c>
      <c r="J15" s="49" t="s">
        <v>775</v>
      </c>
      <c r="K15" s="50" t="s">
        <v>775</v>
      </c>
    </row>
    <row r="16" spans="1:13" x14ac:dyDescent="0.25">
      <c r="A16" t="s">
        <v>805</v>
      </c>
      <c r="B16" t="s">
        <v>265</v>
      </c>
      <c r="D16" t="s">
        <v>854</v>
      </c>
      <c r="E16" s="15" t="s">
        <v>658</v>
      </c>
      <c r="G16" s="46" t="s">
        <v>239</v>
      </c>
      <c r="H16" s="47" t="s">
        <v>787</v>
      </c>
      <c r="I16" s="47" t="s">
        <v>776</v>
      </c>
      <c r="J16" s="47" t="s">
        <v>775</v>
      </c>
      <c r="K16" s="48" t="s">
        <v>775</v>
      </c>
    </row>
    <row r="17" spans="1:11" x14ac:dyDescent="0.25">
      <c r="A17" t="s">
        <v>806</v>
      </c>
      <c r="B17" t="s">
        <v>10</v>
      </c>
      <c r="D17" t="s">
        <v>855</v>
      </c>
      <c r="E17" s="15" t="s">
        <v>218</v>
      </c>
      <c r="G17" s="46" t="s">
        <v>38</v>
      </c>
      <c r="H17" s="49" t="s">
        <v>787</v>
      </c>
      <c r="I17" s="49" t="s">
        <v>776</v>
      </c>
      <c r="J17" s="49" t="s">
        <v>775</v>
      </c>
      <c r="K17" s="50" t="s">
        <v>775</v>
      </c>
    </row>
    <row r="18" spans="1:11" x14ac:dyDescent="0.25">
      <c r="A18" t="s">
        <v>807</v>
      </c>
      <c r="B18" t="s">
        <v>29</v>
      </c>
      <c r="D18" t="s">
        <v>857</v>
      </c>
      <c r="E18" s="15" t="s">
        <v>50</v>
      </c>
      <c r="G18" s="46" t="s">
        <v>46</v>
      </c>
      <c r="H18" s="47" t="s">
        <v>787</v>
      </c>
      <c r="I18" s="47" t="s">
        <v>776</v>
      </c>
      <c r="J18" s="47" t="s">
        <v>775</v>
      </c>
      <c r="K18" s="48" t="s">
        <v>775</v>
      </c>
    </row>
    <row r="19" spans="1:11" x14ac:dyDescent="0.25">
      <c r="A19" t="s">
        <v>808</v>
      </c>
      <c r="B19" t="s">
        <v>120</v>
      </c>
      <c r="D19" t="s">
        <v>858</v>
      </c>
      <c r="E19" s="15" t="s">
        <v>311</v>
      </c>
      <c r="G19" s="46" t="s">
        <v>658</v>
      </c>
      <c r="H19" s="49" t="s">
        <v>787</v>
      </c>
      <c r="I19" s="49" t="s">
        <v>776</v>
      </c>
      <c r="J19" s="49" t="s">
        <v>775</v>
      </c>
      <c r="K19" s="50" t="s">
        <v>775</v>
      </c>
    </row>
    <row r="20" spans="1:11" x14ac:dyDescent="0.25">
      <c r="A20" t="s">
        <v>809</v>
      </c>
      <c r="B20" t="s">
        <v>66</v>
      </c>
      <c r="D20" t="s">
        <v>853</v>
      </c>
      <c r="E20" s="15" t="s">
        <v>46</v>
      </c>
      <c r="G20" s="46" t="s">
        <v>218</v>
      </c>
      <c r="H20" s="47" t="s">
        <v>787</v>
      </c>
      <c r="I20" s="47" t="s">
        <v>776</v>
      </c>
      <c r="J20" s="47" t="s">
        <v>775</v>
      </c>
      <c r="K20" s="48" t="s">
        <v>775</v>
      </c>
    </row>
    <row r="21" spans="1:11" x14ac:dyDescent="0.25">
      <c r="A21" t="s">
        <v>810</v>
      </c>
      <c r="B21" t="s">
        <v>117</v>
      </c>
      <c r="D21" t="s">
        <v>860</v>
      </c>
      <c r="E21" s="15" t="s">
        <v>109</v>
      </c>
      <c r="G21" s="46" t="s">
        <v>274</v>
      </c>
      <c r="H21" s="49" t="s">
        <v>787</v>
      </c>
      <c r="I21" s="49" t="s">
        <v>776</v>
      </c>
      <c r="J21" s="49" t="s">
        <v>775</v>
      </c>
      <c r="K21" s="50" t="s">
        <v>775</v>
      </c>
    </row>
    <row r="22" spans="1:11" x14ac:dyDescent="0.25">
      <c r="A22" t="s">
        <v>811</v>
      </c>
      <c r="B22" t="s">
        <v>421</v>
      </c>
      <c r="D22" t="s">
        <v>861</v>
      </c>
      <c r="E22" s="15" t="s">
        <v>363</v>
      </c>
      <c r="G22" s="46" t="s">
        <v>50</v>
      </c>
      <c r="H22" s="47" t="s">
        <v>787</v>
      </c>
      <c r="I22" s="47" t="s">
        <v>776</v>
      </c>
      <c r="J22" s="47" t="s">
        <v>775</v>
      </c>
      <c r="K22" s="48" t="s">
        <v>775</v>
      </c>
    </row>
    <row r="23" spans="1:11" x14ac:dyDescent="0.25">
      <c r="A23" t="s">
        <v>812</v>
      </c>
      <c r="B23" t="s">
        <v>429</v>
      </c>
      <c r="D23" t="s">
        <v>862</v>
      </c>
      <c r="E23" s="15" t="s">
        <v>419</v>
      </c>
      <c r="G23" s="46" t="s">
        <v>311</v>
      </c>
      <c r="H23" s="49" t="s">
        <v>787</v>
      </c>
      <c r="I23" s="49" t="s">
        <v>776</v>
      </c>
      <c r="J23" s="49" t="s">
        <v>775</v>
      </c>
      <c r="K23" s="50" t="s">
        <v>775</v>
      </c>
    </row>
    <row r="24" spans="1:11" x14ac:dyDescent="0.25">
      <c r="A24" t="s">
        <v>813</v>
      </c>
      <c r="B24" t="s">
        <v>96</v>
      </c>
      <c r="D24" t="s">
        <v>865</v>
      </c>
      <c r="E24" s="15" t="s">
        <v>7</v>
      </c>
      <c r="G24" s="46" t="s">
        <v>15</v>
      </c>
      <c r="H24" s="47" t="s">
        <v>788</v>
      </c>
      <c r="I24" s="47" t="s">
        <v>776</v>
      </c>
      <c r="J24" s="47" t="s">
        <v>775</v>
      </c>
      <c r="K24" s="48" t="s">
        <v>775</v>
      </c>
    </row>
    <row r="25" spans="1:11" x14ac:dyDescent="0.25">
      <c r="A25" t="s">
        <v>814</v>
      </c>
      <c r="B25" t="s">
        <v>18</v>
      </c>
      <c r="D25" t="s">
        <v>864</v>
      </c>
      <c r="E25" s="15" t="s">
        <v>648</v>
      </c>
      <c r="G25" s="46" t="s">
        <v>109</v>
      </c>
      <c r="H25" s="49" t="s">
        <v>788</v>
      </c>
      <c r="I25" s="49" t="s">
        <v>774</v>
      </c>
      <c r="J25" s="49" t="s">
        <v>775</v>
      </c>
      <c r="K25" s="50" t="s">
        <v>775</v>
      </c>
    </row>
    <row r="26" spans="1:11" x14ac:dyDescent="0.25">
      <c r="A26" t="s">
        <v>815</v>
      </c>
      <c r="B26" t="s">
        <v>129</v>
      </c>
      <c r="D26" t="s">
        <v>863</v>
      </c>
      <c r="E26" s="15" t="s">
        <v>97</v>
      </c>
      <c r="G26" s="46" t="s">
        <v>363</v>
      </c>
      <c r="H26" s="47" t="s">
        <v>788</v>
      </c>
      <c r="I26" s="47" t="s">
        <v>774</v>
      </c>
      <c r="J26" s="47" t="s">
        <v>775</v>
      </c>
      <c r="K26" s="48" t="s">
        <v>775</v>
      </c>
    </row>
    <row r="27" spans="1:11" x14ac:dyDescent="0.25">
      <c r="A27" t="s">
        <v>816</v>
      </c>
      <c r="B27" t="s">
        <v>233</v>
      </c>
      <c r="D27" t="s">
        <v>866</v>
      </c>
      <c r="E27" s="15" t="s">
        <v>282</v>
      </c>
      <c r="G27" s="46" t="s">
        <v>419</v>
      </c>
      <c r="H27" s="49" t="s">
        <v>788</v>
      </c>
      <c r="I27" s="49" t="s">
        <v>774</v>
      </c>
      <c r="J27" s="49" t="s">
        <v>775</v>
      </c>
      <c r="K27" s="50" t="s">
        <v>775</v>
      </c>
    </row>
    <row r="28" spans="1:11" x14ac:dyDescent="0.25">
      <c r="A28" t="s">
        <v>817</v>
      </c>
      <c r="B28" t="s">
        <v>100</v>
      </c>
      <c r="D28" t="s">
        <v>868</v>
      </c>
      <c r="E28" s="15" t="s">
        <v>19</v>
      </c>
      <c r="G28" s="46" t="s">
        <v>97</v>
      </c>
      <c r="H28" s="47" t="s">
        <v>789</v>
      </c>
      <c r="I28" s="47" t="s">
        <v>774</v>
      </c>
      <c r="J28" s="47" t="s">
        <v>775</v>
      </c>
      <c r="K28" s="48" t="s">
        <v>775</v>
      </c>
    </row>
    <row r="29" spans="1:11" x14ac:dyDescent="0.25">
      <c r="A29" t="s">
        <v>818</v>
      </c>
      <c r="B29" t="s">
        <v>295</v>
      </c>
      <c r="D29" t="s">
        <v>867</v>
      </c>
      <c r="E29" s="15" t="s">
        <v>163</v>
      </c>
      <c r="G29" s="46" t="s">
        <v>648</v>
      </c>
      <c r="H29" s="49" t="s">
        <v>789</v>
      </c>
      <c r="I29" s="49" t="s">
        <v>774</v>
      </c>
      <c r="J29" s="49" t="s">
        <v>775</v>
      </c>
      <c r="K29" s="50" t="s">
        <v>775</v>
      </c>
    </row>
    <row r="30" spans="1:11" x14ac:dyDescent="0.25">
      <c r="A30" t="s">
        <v>819</v>
      </c>
      <c r="B30" t="s">
        <v>137</v>
      </c>
      <c r="D30" t="s">
        <v>869</v>
      </c>
      <c r="E30" s="15" t="s">
        <v>416</v>
      </c>
      <c r="G30" s="46" t="s">
        <v>7</v>
      </c>
      <c r="H30" s="47" t="s">
        <v>789</v>
      </c>
      <c r="I30" s="47" t="s">
        <v>774</v>
      </c>
      <c r="J30" s="47" t="s">
        <v>775</v>
      </c>
      <c r="K30" s="48" t="s">
        <v>775</v>
      </c>
    </row>
    <row r="31" spans="1:11" x14ac:dyDescent="0.25">
      <c r="A31" t="s">
        <v>820</v>
      </c>
      <c r="B31" t="s">
        <v>41</v>
      </c>
      <c r="D31" t="s">
        <v>870</v>
      </c>
      <c r="E31" s="15" t="s">
        <v>302</v>
      </c>
      <c r="G31" s="46" t="s">
        <v>282</v>
      </c>
      <c r="H31" s="49" t="s">
        <v>789</v>
      </c>
      <c r="I31" s="49" t="s">
        <v>774</v>
      </c>
      <c r="J31" s="49" t="s">
        <v>775</v>
      </c>
      <c r="K31" s="50" t="s">
        <v>775</v>
      </c>
    </row>
    <row r="32" spans="1:11" x14ac:dyDescent="0.25">
      <c r="A32" t="s">
        <v>821</v>
      </c>
      <c r="B32" t="s">
        <v>74</v>
      </c>
      <c r="D32" t="s">
        <v>871</v>
      </c>
      <c r="E32" s="15" t="s">
        <v>124</v>
      </c>
      <c r="G32" s="46" t="s">
        <v>163</v>
      </c>
      <c r="H32" s="47" t="s">
        <v>789</v>
      </c>
      <c r="I32" s="47" t="s">
        <v>774</v>
      </c>
      <c r="J32" s="47" t="s">
        <v>775</v>
      </c>
      <c r="K32" s="48" t="s">
        <v>775</v>
      </c>
    </row>
    <row r="33" spans="1:11" x14ac:dyDescent="0.25">
      <c r="A33" t="s">
        <v>822</v>
      </c>
      <c r="B33" t="s">
        <v>114</v>
      </c>
      <c r="D33" t="s">
        <v>872</v>
      </c>
      <c r="E33" s="15" t="s">
        <v>396</v>
      </c>
      <c r="G33" s="46" t="s">
        <v>19</v>
      </c>
      <c r="H33" s="49" t="s">
        <v>789</v>
      </c>
      <c r="I33" s="49" t="s">
        <v>774</v>
      </c>
      <c r="J33" s="49" t="s">
        <v>776</v>
      </c>
      <c r="K33" s="50" t="s">
        <v>774</v>
      </c>
    </row>
    <row r="34" spans="1:11" x14ac:dyDescent="0.25">
      <c r="A34" t="s">
        <v>823</v>
      </c>
      <c r="B34" t="s">
        <v>105</v>
      </c>
      <c r="D34" t="s">
        <v>874</v>
      </c>
      <c r="E34" s="15" t="s">
        <v>192</v>
      </c>
      <c r="G34" s="46" t="s">
        <v>416</v>
      </c>
      <c r="H34" s="47" t="s">
        <v>789</v>
      </c>
      <c r="I34" s="47" t="s">
        <v>774</v>
      </c>
      <c r="J34" s="47" t="s">
        <v>776</v>
      </c>
      <c r="K34" s="48" t="s">
        <v>774</v>
      </c>
    </row>
    <row r="35" spans="1:11" x14ac:dyDescent="0.25">
      <c r="A35" t="s">
        <v>824</v>
      </c>
      <c r="B35" t="s">
        <v>37</v>
      </c>
      <c r="D35" t="s">
        <v>873</v>
      </c>
      <c r="E35" s="15" t="s">
        <v>178</v>
      </c>
      <c r="G35" s="46" t="s">
        <v>302</v>
      </c>
      <c r="H35" s="49" t="s">
        <v>789</v>
      </c>
      <c r="I35" s="49" t="s">
        <v>774</v>
      </c>
      <c r="J35" s="49" t="s">
        <v>776</v>
      </c>
      <c r="K35" s="50" t="s">
        <v>774</v>
      </c>
    </row>
    <row r="36" spans="1:11" x14ac:dyDescent="0.25">
      <c r="A36" t="s">
        <v>825</v>
      </c>
      <c r="B36" t="s">
        <v>308</v>
      </c>
      <c r="D36" t="s">
        <v>875</v>
      </c>
      <c r="E36" s="15" t="s">
        <v>59</v>
      </c>
      <c r="G36" s="46" t="s">
        <v>124</v>
      </c>
      <c r="H36" s="47" t="s">
        <v>789</v>
      </c>
      <c r="I36" s="47" t="s">
        <v>774</v>
      </c>
      <c r="J36" s="47" t="s">
        <v>776</v>
      </c>
      <c r="K36" s="48" t="s">
        <v>774</v>
      </c>
    </row>
    <row r="37" spans="1:11" x14ac:dyDescent="0.25">
      <c r="A37" t="s">
        <v>826</v>
      </c>
      <c r="B37" t="s">
        <v>6</v>
      </c>
      <c r="D37" t="s">
        <v>877</v>
      </c>
      <c r="E37" s="15" t="s">
        <v>325</v>
      </c>
      <c r="G37" s="46" t="s">
        <v>396</v>
      </c>
      <c r="H37" s="49" t="s">
        <v>789</v>
      </c>
      <c r="I37" s="49" t="s">
        <v>774</v>
      </c>
      <c r="J37" s="49" t="s">
        <v>776</v>
      </c>
      <c r="K37" s="50" t="s">
        <v>774</v>
      </c>
    </row>
    <row r="38" spans="1:11" x14ac:dyDescent="0.25">
      <c r="A38" t="s">
        <v>827</v>
      </c>
      <c r="B38" t="s">
        <v>22</v>
      </c>
      <c r="D38" t="s">
        <v>876</v>
      </c>
      <c r="E38" s="15" t="s">
        <v>84</v>
      </c>
      <c r="G38" s="46" t="s">
        <v>178</v>
      </c>
      <c r="H38" s="47" t="s">
        <v>789</v>
      </c>
      <c r="I38" s="47" t="s">
        <v>774</v>
      </c>
      <c r="J38" s="47" t="s">
        <v>776</v>
      </c>
      <c r="K38" s="48" t="s">
        <v>774</v>
      </c>
    </row>
    <row r="39" spans="1:11" x14ac:dyDescent="0.25">
      <c r="A39" t="s">
        <v>828</v>
      </c>
      <c r="B39" t="s">
        <v>83</v>
      </c>
      <c r="D39" t="s">
        <v>878</v>
      </c>
      <c r="E39" s="15" t="s">
        <v>143</v>
      </c>
      <c r="G39" s="46" t="s">
        <v>192</v>
      </c>
      <c r="H39" s="49" t="s">
        <v>789</v>
      </c>
      <c r="I39" s="49" t="s">
        <v>774</v>
      </c>
      <c r="J39" s="49" t="s">
        <v>776</v>
      </c>
      <c r="K39" s="50" t="s">
        <v>774</v>
      </c>
    </row>
    <row r="40" spans="1:11" x14ac:dyDescent="0.25">
      <c r="A40" t="s">
        <v>829</v>
      </c>
      <c r="B40" t="s">
        <v>181</v>
      </c>
      <c r="D40" t="s">
        <v>880</v>
      </c>
      <c r="E40" s="15" t="s">
        <v>252</v>
      </c>
      <c r="G40" s="46" t="s">
        <v>59</v>
      </c>
      <c r="H40" s="47" t="s">
        <v>789</v>
      </c>
      <c r="I40" s="47" t="s">
        <v>774</v>
      </c>
      <c r="J40" s="47" t="s">
        <v>776</v>
      </c>
      <c r="K40" s="48" t="s">
        <v>774</v>
      </c>
    </row>
    <row r="41" spans="1:11" x14ac:dyDescent="0.25">
      <c r="A41" t="s">
        <v>830</v>
      </c>
      <c r="B41" t="s">
        <v>259</v>
      </c>
      <c r="D41" t="s">
        <v>879</v>
      </c>
      <c r="E41" s="15" t="s">
        <v>262</v>
      </c>
      <c r="G41" s="46" t="s">
        <v>84</v>
      </c>
      <c r="H41" s="49" t="s">
        <v>789</v>
      </c>
      <c r="I41" s="49" t="s">
        <v>774</v>
      </c>
      <c r="J41" s="49" t="s">
        <v>776</v>
      </c>
      <c r="K41" s="50" t="s">
        <v>774</v>
      </c>
    </row>
    <row r="42" spans="1:11" x14ac:dyDescent="0.25">
      <c r="A42" t="s">
        <v>831</v>
      </c>
      <c r="B42" t="s">
        <v>93</v>
      </c>
      <c r="D42" t="s">
        <v>881</v>
      </c>
      <c r="E42" s="15" t="s">
        <v>121</v>
      </c>
      <c r="G42" s="46" t="s">
        <v>325</v>
      </c>
      <c r="H42" s="47" t="s">
        <v>789</v>
      </c>
      <c r="I42" s="47" t="s">
        <v>774</v>
      </c>
      <c r="J42" s="47" t="s">
        <v>776</v>
      </c>
      <c r="K42" s="48" t="s">
        <v>774</v>
      </c>
    </row>
    <row r="43" spans="1:11" x14ac:dyDescent="0.25">
      <c r="A43" t="s">
        <v>832</v>
      </c>
      <c r="B43" t="s">
        <v>236</v>
      </c>
      <c r="D43" t="s">
        <v>882</v>
      </c>
      <c r="E43" s="15" t="s">
        <v>54</v>
      </c>
      <c r="G43" s="46" t="s">
        <v>143</v>
      </c>
      <c r="H43" s="49" t="s">
        <v>789</v>
      </c>
      <c r="I43" s="49" t="s">
        <v>774</v>
      </c>
      <c r="J43" s="49" t="s">
        <v>776</v>
      </c>
      <c r="K43" s="50" t="s">
        <v>774</v>
      </c>
    </row>
    <row r="44" spans="1:11" x14ac:dyDescent="0.25">
      <c r="A44" t="s">
        <v>833</v>
      </c>
      <c r="B44" t="s">
        <v>142</v>
      </c>
      <c r="D44" t="s">
        <v>883</v>
      </c>
      <c r="E44" s="15" t="s">
        <v>146</v>
      </c>
      <c r="G44" s="46" t="s">
        <v>262</v>
      </c>
      <c r="H44" s="47" t="s">
        <v>789</v>
      </c>
      <c r="I44" s="47" t="s">
        <v>774</v>
      </c>
      <c r="J44" s="47" t="s">
        <v>776</v>
      </c>
      <c r="K44" s="48" t="s">
        <v>774</v>
      </c>
    </row>
    <row r="45" spans="1:11" x14ac:dyDescent="0.25">
      <c r="A45" t="s">
        <v>834</v>
      </c>
      <c r="B45" t="s">
        <v>166</v>
      </c>
      <c r="D45" t="s">
        <v>884</v>
      </c>
      <c r="E45" s="15" t="s">
        <v>277</v>
      </c>
      <c r="G45" s="46" t="s">
        <v>252</v>
      </c>
      <c r="H45" s="49" t="s">
        <v>790</v>
      </c>
      <c r="I45" s="49" t="s">
        <v>774</v>
      </c>
      <c r="J45" s="49" t="s">
        <v>776</v>
      </c>
      <c r="K45" s="50" t="s">
        <v>774</v>
      </c>
    </row>
    <row r="46" spans="1:11" x14ac:dyDescent="0.25">
      <c r="A46" t="s">
        <v>835</v>
      </c>
      <c r="B46" t="s">
        <v>191</v>
      </c>
      <c r="D46" t="s">
        <v>888</v>
      </c>
      <c r="E46" s="15" t="s">
        <v>42</v>
      </c>
      <c r="G46" s="46" t="s">
        <v>121</v>
      </c>
      <c r="H46" s="47" t="s">
        <v>790</v>
      </c>
      <c r="I46" s="47" t="s">
        <v>774</v>
      </c>
      <c r="J46" s="47" t="s">
        <v>776</v>
      </c>
      <c r="K46" s="48" t="s">
        <v>774</v>
      </c>
    </row>
    <row r="47" spans="1:11" x14ac:dyDescent="0.25">
      <c r="A47" t="s">
        <v>836</v>
      </c>
      <c r="B47" t="s">
        <v>53</v>
      </c>
      <c r="D47" t="s">
        <v>887</v>
      </c>
      <c r="E47" s="15" t="s">
        <v>186</v>
      </c>
      <c r="G47" s="46" t="s">
        <v>54</v>
      </c>
      <c r="H47" s="49" t="s">
        <v>790</v>
      </c>
      <c r="I47" s="49" t="s">
        <v>774</v>
      </c>
      <c r="J47" s="49" t="s">
        <v>776</v>
      </c>
      <c r="K47" s="50" t="s">
        <v>774</v>
      </c>
    </row>
    <row r="48" spans="1:11" x14ac:dyDescent="0.25">
      <c r="A48" t="s">
        <v>837</v>
      </c>
      <c r="B48" t="s">
        <v>25</v>
      </c>
      <c r="D48" t="s">
        <v>856</v>
      </c>
      <c r="E48" s="15" t="s">
        <v>274</v>
      </c>
      <c r="G48" s="46" t="s">
        <v>146</v>
      </c>
      <c r="H48" s="47" t="s">
        <v>790</v>
      </c>
      <c r="I48" s="47" t="s">
        <v>774</v>
      </c>
      <c r="J48" s="47" t="s">
        <v>776</v>
      </c>
      <c r="K48" s="48" t="s">
        <v>774</v>
      </c>
    </row>
    <row r="49" spans="1:11" x14ac:dyDescent="0.25">
      <c r="A49" t="s">
        <v>838</v>
      </c>
      <c r="B49" t="s">
        <v>45</v>
      </c>
      <c r="D49" t="s">
        <v>885</v>
      </c>
      <c r="E49" s="15" t="s">
        <v>685</v>
      </c>
      <c r="G49" s="46" t="s">
        <v>277</v>
      </c>
      <c r="H49" s="49" t="s">
        <v>790</v>
      </c>
      <c r="I49" s="49" t="s">
        <v>774</v>
      </c>
      <c r="J49" s="49" t="s">
        <v>776</v>
      </c>
      <c r="K49" s="50" t="s">
        <v>774</v>
      </c>
    </row>
    <row r="50" spans="1:11" x14ac:dyDescent="0.25">
      <c r="A50" t="s">
        <v>839</v>
      </c>
      <c r="B50" t="s">
        <v>134</v>
      </c>
      <c r="D50" t="s">
        <v>886</v>
      </c>
      <c r="E50" s="15" t="s">
        <v>78</v>
      </c>
      <c r="G50" s="46" t="s">
        <v>685</v>
      </c>
      <c r="H50" s="47" t="s">
        <v>790</v>
      </c>
      <c r="I50" s="47" t="s">
        <v>774</v>
      </c>
      <c r="J50" s="47" t="s">
        <v>776</v>
      </c>
      <c r="K50" s="48" t="s">
        <v>774</v>
      </c>
    </row>
    <row r="51" spans="1:11" x14ac:dyDescent="0.25">
      <c r="A51" t="s">
        <v>840</v>
      </c>
      <c r="B51" t="s">
        <v>49</v>
      </c>
      <c r="D51" t="s">
        <v>851</v>
      </c>
      <c r="E51" s="15" t="s">
        <v>239</v>
      </c>
      <c r="G51" s="46" t="s">
        <v>78</v>
      </c>
      <c r="H51" s="49" t="s">
        <v>790</v>
      </c>
      <c r="I51" s="49" t="s">
        <v>774</v>
      </c>
      <c r="J51" s="49" t="s">
        <v>776</v>
      </c>
      <c r="K51" s="50" t="s">
        <v>774</v>
      </c>
    </row>
    <row r="52" spans="1:11" x14ac:dyDescent="0.25">
      <c r="A52" t="s">
        <v>803</v>
      </c>
      <c r="B52" t="s">
        <v>149</v>
      </c>
      <c r="D52" t="s">
        <v>889</v>
      </c>
      <c r="E52" s="15" t="s">
        <v>565</v>
      </c>
      <c r="G52" s="46" t="s">
        <v>186</v>
      </c>
      <c r="H52" s="47" t="s">
        <v>790</v>
      </c>
      <c r="I52" s="47" t="s">
        <v>774</v>
      </c>
      <c r="J52" s="47" t="s">
        <v>776</v>
      </c>
      <c r="K52" s="48" t="s">
        <v>774</v>
      </c>
    </row>
    <row r="53" spans="1:11" x14ac:dyDescent="0.25">
      <c r="D53" t="s">
        <v>890</v>
      </c>
      <c r="E53" s="15" t="s">
        <v>643</v>
      </c>
      <c r="G53" s="46" t="s">
        <v>42</v>
      </c>
      <c r="H53" s="49" t="s">
        <v>790</v>
      </c>
      <c r="I53" s="49" t="s">
        <v>774</v>
      </c>
      <c r="J53" s="49" t="s">
        <v>776</v>
      </c>
      <c r="K53" s="50" t="s">
        <v>774</v>
      </c>
    </row>
    <row r="54" spans="1:11" x14ac:dyDescent="0.25">
      <c r="D54" t="s">
        <v>892</v>
      </c>
      <c r="E54" s="15" t="s">
        <v>203</v>
      </c>
      <c r="G54" s="46" t="s">
        <v>565</v>
      </c>
      <c r="H54" s="47" t="s">
        <v>790</v>
      </c>
      <c r="I54" s="47" t="s">
        <v>774</v>
      </c>
      <c r="J54" s="47" t="s">
        <v>776</v>
      </c>
      <c r="K54" s="48" t="s">
        <v>774</v>
      </c>
    </row>
    <row r="55" spans="1:11" x14ac:dyDescent="0.25">
      <c r="D55" t="s">
        <v>891</v>
      </c>
      <c r="E55" s="15" t="s">
        <v>26</v>
      </c>
      <c r="G55" s="46" t="s">
        <v>643</v>
      </c>
      <c r="H55" s="49" t="s">
        <v>790</v>
      </c>
      <c r="I55" s="49" t="s">
        <v>774</v>
      </c>
      <c r="J55" s="49" t="s">
        <v>776</v>
      </c>
      <c r="K55" s="50" t="s">
        <v>774</v>
      </c>
    </row>
    <row r="56" spans="1:11" x14ac:dyDescent="0.25">
      <c r="D56" t="s">
        <v>842</v>
      </c>
      <c r="E56" s="15" t="s">
        <v>155</v>
      </c>
      <c r="G56" s="46" t="s">
        <v>26</v>
      </c>
      <c r="H56" s="47" t="s">
        <v>790</v>
      </c>
      <c r="I56" s="47" t="s">
        <v>774</v>
      </c>
      <c r="J56" s="47" t="s">
        <v>776</v>
      </c>
      <c r="K56" s="48" t="s">
        <v>774</v>
      </c>
    </row>
    <row r="57" spans="1:11" x14ac:dyDescent="0.25">
      <c r="D57" t="s">
        <v>859</v>
      </c>
      <c r="E57" s="15" t="s">
        <v>15</v>
      </c>
      <c r="G57" s="46" t="s">
        <v>203</v>
      </c>
      <c r="H57" s="49" t="s">
        <v>790</v>
      </c>
      <c r="I57" s="49" t="s">
        <v>774</v>
      </c>
      <c r="J57" s="49" t="s">
        <v>776</v>
      </c>
      <c r="K57" s="50" t="s">
        <v>774</v>
      </c>
    </row>
    <row r="58" spans="1:11" x14ac:dyDescent="0.25">
      <c r="D58" t="s">
        <v>893</v>
      </c>
      <c r="E58" s="15" t="s">
        <v>34</v>
      </c>
      <c r="G58" s="46" t="s">
        <v>34</v>
      </c>
      <c r="H58" s="47" t="s">
        <v>790</v>
      </c>
      <c r="I58" s="47" t="s">
        <v>789</v>
      </c>
      <c r="J58" s="47" t="s">
        <v>789</v>
      </c>
      <c r="K58" s="48" t="s">
        <v>789</v>
      </c>
    </row>
    <row r="59" spans="1:11" ht="14.4" thickBot="1" x14ac:dyDescent="0.3">
      <c r="D59" t="s">
        <v>894</v>
      </c>
      <c r="E59" s="15" t="s">
        <v>761</v>
      </c>
      <c r="G59" s="51" t="s">
        <v>761</v>
      </c>
      <c r="H59" s="52" t="s">
        <v>790</v>
      </c>
      <c r="I59" s="52" t="s">
        <v>790</v>
      </c>
      <c r="J59" s="52" t="s">
        <v>790</v>
      </c>
      <c r="K59" s="53" t="s">
        <v>790</v>
      </c>
    </row>
  </sheetData>
  <sortState xmlns:xlrd2="http://schemas.microsoft.com/office/spreadsheetml/2017/richdata2" ref="D6:E56">
    <sortCondition ref="D6"/>
  </sortState>
  <conditionalFormatting sqref="A7:A51">
    <cfRule type="duplicateValues" dxfId="1" priority="5"/>
  </conditionalFormatting>
  <conditionalFormatting sqref="A52">
    <cfRule type="duplicateValues" dxfId="0" priority="1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Attendees</vt:lpstr>
      <vt:lpstr>Lookup Lists</vt:lpstr>
      <vt:lpstr>Country</vt:lpstr>
      <vt:lpstr>Country_Codes</vt:lpstr>
      <vt:lpstr>country_table</vt:lpstr>
      <vt:lpstr>meal</vt:lpstr>
      <vt:lpstr>Organisation_Code</vt:lpstr>
      <vt:lpstr>Organisation_Name</vt:lpstr>
      <vt:lpstr>seat_country_code</vt:lpstr>
      <vt:lpstr>seat_table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Hieu Nguyen</cp:lastModifiedBy>
  <dcterms:created xsi:type="dcterms:W3CDTF">2017-08-25T00:55:05Z</dcterms:created>
  <dcterms:modified xsi:type="dcterms:W3CDTF">2024-03-19T18:21:20Z</dcterms:modified>
</cp:coreProperties>
</file>