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wiehl/Desktop/Python/Final Publication/"/>
    </mc:Choice>
  </mc:AlternateContent>
  <xr:revisionPtr revIDLastSave="0" documentId="13_ncr:1_{0A611D7F-FCB3-FC4C-9ADA-0D6D96E4E515}" xr6:coauthVersionLast="47" xr6:coauthVersionMax="47" xr10:uidLastSave="{00000000-0000-0000-0000-000000000000}"/>
  <bookViews>
    <workbookView xWindow="5580" yWindow="2380" windowWidth="26400" windowHeight="16340" xr2:uid="{C885ADC1-1BBE-2B43-82EE-089BF4087DD0}"/>
  </bookViews>
  <sheets>
    <sheet name="python_inputs" sheetId="5" r:id="rId1"/>
    <sheet name="read_me " sheetId="14" r:id="rId2"/>
    <sheet name="vertical_input" sheetId="4" r:id="rId3"/>
    <sheet name="adjustment_explanation" sheetId="15" r:id="rId4"/>
  </sheets>
  <externalReferences>
    <externalReference r:id="rId5"/>
  </externalReferences>
  <definedNames>
    <definedName name="NCVb_fuel">[1]Assumption!$E$7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EW24" i="4" l="1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AW6" i="4"/>
  <c r="AV6" i="4"/>
  <c r="EV325" i="4"/>
  <c r="CO19" i="4" l="1"/>
  <c r="CO18" i="4"/>
  <c r="CN19" i="4"/>
  <c r="CN18" i="4"/>
  <c r="CM19" i="4"/>
  <c r="CM18" i="4"/>
  <c r="CL19" i="4"/>
  <c r="CL18" i="4"/>
  <c r="CK19" i="4"/>
  <c r="CK18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CX39" i="4"/>
  <c r="CY39" i="4"/>
  <c r="CZ39" i="4"/>
  <c r="DA39" i="4"/>
  <c r="DB39" i="4"/>
  <c r="DC39" i="4"/>
  <c r="DD39" i="4"/>
  <c r="DE39" i="4"/>
  <c r="DF39" i="4"/>
  <c r="DJ39" i="4"/>
  <c r="DK39" i="4"/>
  <c r="CX180" i="4"/>
  <c r="CZ180" i="4"/>
  <c r="DA180" i="4"/>
  <c r="DB180" i="4"/>
  <c r="DC180" i="4"/>
  <c r="DD180" i="4"/>
  <c r="DE180" i="4"/>
  <c r="DF180" i="4"/>
  <c r="DJ180" i="4"/>
  <c r="DJ325" i="4"/>
  <c r="DM184" i="4"/>
  <c r="AZ9" i="4"/>
  <c r="F39" i="4" l="1"/>
  <c r="F180" i="4" s="1"/>
  <c r="F9" i="4"/>
  <c r="E39" i="4"/>
  <c r="E180" i="4" s="1"/>
  <c r="E9" i="4"/>
  <c r="D39" i="4"/>
  <c r="D180" i="4" s="1"/>
  <c r="D9" i="4"/>
  <c r="C39" i="4"/>
  <c r="C180" i="4" s="1"/>
  <c r="C9" i="4"/>
  <c r="AW39" i="4"/>
  <c r="AW269" i="4"/>
  <c r="AW184" i="4"/>
  <c r="AW9" i="4"/>
  <c r="AV269" i="4"/>
  <c r="AV184" i="4"/>
  <c r="AV39" i="4"/>
  <c r="AV9" i="4"/>
  <c r="G9" i="4" l="1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S9" i="4"/>
  <c r="AT9" i="4"/>
  <c r="AU9" i="4"/>
  <c r="AX9" i="4"/>
  <c r="AY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CA9" i="4"/>
  <c r="CB9" i="4"/>
  <c r="CC9" i="4"/>
  <c r="CD9" i="4"/>
  <c r="CE9" i="4"/>
  <c r="CF9" i="4"/>
  <c r="CG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EA9" i="4"/>
  <c r="EB9" i="4"/>
  <c r="EC9" i="4"/>
  <c r="ED9" i="4"/>
  <c r="EE9" i="4"/>
  <c r="EF9" i="4"/>
  <c r="EG9" i="4"/>
  <c r="EH9" i="4"/>
  <c r="EI9" i="4"/>
  <c r="EJ9" i="4"/>
  <c r="EK9" i="4"/>
  <c r="EL9" i="4"/>
  <c r="EM9" i="4"/>
  <c r="AR20" i="4" l="1"/>
  <c r="AR9" i="4" l="1"/>
  <c r="AR24" i="4"/>
  <c r="BQ183" i="4"/>
  <c r="BQ180" i="4"/>
  <c r="BQ40" i="4"/>
  <c r="BE39" i="4"/>
  <c r="BE180" i="4" s="1"/>
  <c r="CH39" i="4"/>
  <c r="CH180" i="4" s="1"/>
  <c r="CH20" i="4"/>
  <c r="CH19" i="4"/>
  <c r="CH18" i="4"/>
  <c r="CH9" i="4" l="1"/>
  <c r="CH24" i="4"/>
  <c r="EM183" i="4"/>
  <c r="EM41" i="4"/>
  <c r="EM40" i="4"/>
  <c r="EM39" i="4"/>
  <c r="EK40" i="4"/>
  <c r="EK39" i="4"/>
  <c r="EK225" i="4"/>
  <c r="EJ232" i="4"/>
  <c r="EJ225" i="4"/>
  <c r="EJ229" i="4"/>
  <c r="EL232" i="4"/>
  <c r="EL229" i="4"/>
  <c r="EL183" i="4"/>
  <c r="EL82" i="4"/>
  <c r="EJ181" i="4"/>
  <c r="EJ180" i="4"/>
  <c r="EI232" i="4"/>
  <c r="EI183" i="4"/>
  <c r="EI229" i="4"/>
  <c r="EK229" i="4"/>
  <c r="EJ39" i="4"/>
  <c r="EJ40" i="4"/>
  <c r="EK82" i="4"/>
  <c r="EJ82" i="4"/>
  <c r="EI82" i="4"/>
  <c r="EK183" i="4"/>
  <c r="EJ183" i="4"/>
  <c r="BX39" i="4" l="1"/>
  <c r="BX180" i="4" s="1"/>
  <c r="BW180" i="4"/>
  <c r="BU180" i="4"/>
  <c r="BV180" i="4"/>
  <c r="BD39" i="4"/>
  <c r="BD180" i="4" s="1"/>
  <c r="BC39" i="4"/>
  <c r="BC180" i="4" s="1"/>
  <c r="DZ180" i="4" l="1"/>
  <c r="DP39" i="4"/>
  <c r="DM39" i="4"/>
  <c r="DL39" i="4"/>
  <c r="EA202" i="4" l="1"/>
  <c r="EA39" i="4"/>
  <c r="EA180" i="4" s="1"/>
  <c r="DZ202" i="4"/>
  <c r="DZ39" i="4"/>
  <c r="DY229" i="4"/>
  <c r="DY39" i="4"/>
  <c r="DY180" i="4" s="1"/>
  <c r="DX181" i="4" l="1"/>
  <c r="DX180" i="4"/>
  <c r="DX230" i="4"/>
  <c r="DX223" i="4"/>
  <c r="DX83" i="4"/>
  <c r="DX76" i="4"/>
  <c r="DX70" i="4"/>
  <c r="DX40" i="4"/>
  <c r="DX39" i="4"/>
  <c r="DW181" i="4"/>
  <c r="DW180" i="4"/>
  <c r="DW230" i="4"/>
  <c r="DW223" i="4"/>
  <c r="DW83" i="4"/>
  <c r="DW76" i="4"/>
  <c r="DW70" i="4"/>
  <c r="DW40" i="4"/>
  <c r="DW39" i="4"/>
  <c r="DV230" i="4"/>
  <c r="DV223" i="4"/>
  <c r="DV40" i="4"/>
  <c r="DV70" i="4"/>
  <c r="DV76" i="4"/>
  <c r="DV83" i="4"/>
  <c r="DV181" i="4"/>
  <c r="DV180" i="4"/>
  <c r="DV39" i="4"/>
  <c r="DU180" i="4"/>
  <c r="DU39" i="4"/>
  <c r="DT180" i="4"/>
  <c r="DT39" i="4"/>
  <c r="DS180" i="4"/>
  <c r="DS39" i="4"/>
  <c r="DR180" i="4"/>
  <c r="DR39" i="4"/>
  <c r="DQ180" i="4"/>
  <c r="DQ39" i="4"/>
  <c r="DP180" i="4"/>
  <c r="DO180" i="4"/>
  <c r="DO39" i="4"/>
  <c r="DN180" i="4"/>
  <c r="DN39" i="4"/>
  <c r="CE39" i="4" l="1"/>
  <c r="CE180" i="4" s="1"/>
  <c r="CD39" i="4"/>
  <c r="CD180" i="4" s="1"/>
  <c r="CC39" i="4"/>
  <c r="CC180" i="4" s="1"/>
  <c r="CB39" i="4"/>
  <c r="CB180" i="4" s="1"/>
  <c r="BY39" i="4" l="1"/>
  <c r="BY180" i="4" s="1"/>
  <c r="BT39" i="4" l="1"/>
  <c r="BT180" i="4" s="1"/>
  <c r="BR39" i="4"/>
  <c r="BR180" i="4" s="1"/>
  <c r="BS39" i="4"/>
  <c r="BS180" i="4" s="1"/>
  <c r="BP180" i="4" l="1"/>
  <c r="BP39" i="4"/>
  <c r="AU40" i="4" l="1"/>
  <c r="AU39" i="4"/>
  <c r="AU183" i="4"/>
  <c r="AY40" i="4" l="1"/>
  <c r="AX40" i="4"/>
  <c r="AU113" i="4"/>
  <c r="AU232" i="4"/>
  <c r="AY83" i="4" l="1"/>
  <c r="AX83" i="4"/>
  <c r="AT326" i="4" l="1"/>
  <c r="AS326" i="4"/>
  <c r="AS181" i="4"/>
  <c r="G180" i="4" l="1"/>
  <c r="AZ183" i="4" l="1"/>
  <c r="AZ182" i="4"/>
  <c r="AZ181" i="4"/>
  <c r="AZ41" i="4"/>
  <c r="AZ40" i="4"/>
  <c r="AT181" i="4"/>
  <c r="AT40" i="4"/>
  <c r="AS40" i="4"/>
  <c r="AR39" i="4"/>
  <c r="AR180" i="4" s="1"/>
  <c r="AQ39" i="4"/>
  <c r="AQ180" i="4" s="1"/>
  <c r="AF39" i="4"/>
  <c r="AF180" i="4" s="1"/>
  <c r="AG39" i="4"/>
  <c r="AG180" i="4" s="1"/>
  <c r="AH39" i="4"/>
  <c r="AH180" i="4" s="1"/>
  <c r="AI39" i="4"/>
  <c r="AI180" i="4" s="1"/>
  <c r="AJ39" i="4"/>
  <c r="AJ180" i="4" s="1"/>
  <c r="AK39" i="4"/>
  <c r="AK180" i="4" s="1"/>
  <c r="AL39" i="4"/>
  <c r="AL180" i="4" s="1"/>
  <c r="AM39" i="4"/>
  <c r="AM180" i="4" s="1"/>
  <c r="AN39" i="4"/>
  <c r="AN180" i="4" s="1"/>
  <c r="AO39" i="4"/>
  <c r="AO180" i="4" s="1"/>
  <c r="AP39" i="4"/>
  <c r="AP180" i="4" s="1"/>
  <c r="AE39" i="4"/>
  <c r="AE180" i="4" s="1"/>
  <c r="T180" i="4" l="1"/>
  <c r="U180" i="4"/>
  <c r="V180" i="4"/>
  <c r="W180" i="4"/>
  <c r="X180" i="4"/>
  <c r="Y180" i="4"/>
  <c r="Z180" i="4"/>
  <c r="AA180" i="4"/>
  <c r="AB180" i="4"/>
  <c r="AC180" i="4"/>
  <c r="AD180" i="4"/>
  <c r="S180" i="4"/>
  <c r="O180" i="4"/>
  <c r="P180" i="4"/>
  <c r="Q180" i="4"/>
  <c r="R180" i="4"/>
  <c r="M180" i="4"/>
  <c r="N180" i="4"/>
  <c r="K180" i="4"/>
  <c r="L180" i="4"/>
  <c r="I180" i="4"/>
  <c r="J180" i="4"/>
  <c r="H18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tc={64D66CE3-EB78-7443-9A86-40F1AC7DC390}</author>
    <author>tc={100716C0-93B4-ED40-B887-651586DF19BB}</author>
    <author>tc={6993682F-4077-5549-BB61-21E2676A242A}</author>
    <author>tc={55746310-44AA-A74A-99DF-338D05AB7165}</author>
    <author>tc={CA857FE8-659E-1849-8EAA-4E2023FD0FAF}</author>
    <author>tc={57B0965D-19F4-3E4C-9174-ED95DF756E89}</author>
    <author>tc={91AEAE9A-8A29-7F44-9AD1-50A3A40171BE}</author>
  </authors>
  <commentList>
    <comment ref="AV6" authorId="0" shapeId="0" xr:uid="{64D66CE3-EB78-7443-9A86-40F1AC7DC39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10884</t>
      </text>
    </comment>
    <comment ref="EM6" authorId="1" shapeId="0" xr:uid="{100716C0-93B4-ED40-B887-651586DF19BB}">
      <text>
        <t>[Threaded comment]
Your version of Excel allows you to read this threaded comment; however, any edits to it will get removed if the file is opened in a newer version of Excel. Learn more: https://go.microsoft.com/fwlink/?linkid=870924
Comment:
    Took 2022 projection</t>
      </text>
    </comment>
    <comment ref="AQ15" authorId="2" shapeId="0" xr:uid="{6993682F-4077-5549-BB61-21E2676A24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PDD list out the specific providence; but then use one fNRB value in MR</t>
      </text>
    </comment>
    <comment ref="CH20" authorId="3" shapeId="0" xr:uid="{55746310-44AA-A74A-99DF-338D05AB71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as this total number of stoves wasn’t deployed day 1 of the Monitoring Period</t>
      </text>
    </comment>
    <comment ref="AZ22" authorId="4" shapeId="0" xr:uid="{CA857FE8-659E-1849-8EAA-4E2023FD0FAF}">
      <text>
        <t>[Threaded comment]
Your version of Excel allows you to read this threaded comment; however, any edits to it will get removed if the file is opened in a newer version of Excel. Learn more: https://go.microsoft.com/fwlink/?linkid=870924
Comment:
    Stoves is actually stove-days</t>
      </text>
    </comment>
    <comment ref="DG320" authorId="5" shapeId="0" xr:uid="{57B0965D-19F4-3E4C-9174-ED95DF756E89}">
      <text>
        <t>[Threaded comment]
Your version of Excel allows you to read this threaded comment; however, any edits to it will get removed if the file is opened in a newer version of Excel. Learn more: https://go.microsoft.com/fwlink/?linkid=870924
Comment:
    Usage combined with their eligibility rate</t>
      </text>
    </comment>
    <comment ref="BK329" authorId="6" shapeId="0" xr:uid="{91AEAE9A-8A29-7F44-9AD1-50A3A40171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double counting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<sst xmlns="http://schemas.openxmlformats.org/spreadsheetml/2006/main" count="3083" uniqueCount="916">
  <si>
    <t>prov_project</t>
  </si>
  <si>
    <t>GS10974</t>
  </si>
  <si>
    <t>co2_ef_firewood</t>
  </si>
  <si>
    <t>eff_LPG_project</t>
  </si>
  <si>
    <t>eff_pellet_project</t>
  </si>
  <si>
    <t>protocol_type</t>
  </si>
  <si>
    <t>protocol_id</t>
  </si>
  <si>
    <t>num_countries</t>
  </si>
  <si>
    <t>fNRB_project</t>
  </si>
  <si>
    <t>n_devices_domestic</t>
  </si>
  <si>
    <t>n_devices_commercial</t>
  </si>
  <si>
    <t>project_days</t>
  </si>
  <si>
    <t>prc_firewood_baseline</t>
  </si>
  <si>
    <t>prc_charcoal_baseline</t>
  </si>
  <si>
    <t>prc_kerosene_baseline</t>
  </si>
  <si>
    <t>prc_lpg_baseline</t>
  </si>
  <si>
    <t>prc_ethanol_baseline</t>
  </si>
  <si>
    <t>prc_electric_baseline</t>
  </si>
  <si>
    <t>prc_firewood_baseline_commercial</t>
  </si>
  <si>
    <t>prc_kerosene_baseline_commercial</t>
  </si>
  <si>
    <t>prc_lpg_baseline_commercial</t>
  </si>
  <si>
    <t>prc_ethanol_baseline_commercial</t>
  </si>
  <si>
    <t>prc_electric_baseline_commercial</t>
  </si>
  <si>
    <t>kg_firewood_baseline</t>
  </si>
  <si>
    <t>kg_charcoal_baseline</t>
  </si>
  <si>
    <t>kg_kerosene_baseline</t>
  </si>
  <si>
    <t>kg_lpg_baseline</t>
  </si>
  <si>
    <t>l_ethanol_baseline</t>
  </si>
  <si>
    <t>kWh_electric_baseline</t>
  </si>
  <si>
    <t>kg_per_liter_kerosene_baseline</t>
  </si>
  <si>
    <t>kg_per_liter_ethanol_baseline</t>
  </si>
  <si>
    <t>kg_firewood_baseline_commercial</t>
  </si>
  <si>
    <t>kg_charcoal_baseline_commercial</t>
  </si>
  <si>
    <t>kg_kerosene_baseline_commercial</t>
  </si>
  <si>
    <t>kg_lpg_baseline_commercial</t>
  </si>
  <si>
    <t>l_ethanol_baseline_commercial</t>
  </si>
  <si>
    <t>kWh_electric_baseline_commercial</t>
  </si>
  <si>
    <t>eff_firewood_baseline</t>
  </si>
  <si>
    <t>eff_charcoal_baseline</t>
  </si>
  <si>
    <t>eff_kerosene_baseline</t>
  </si>
  <si>
    <t>eff_LPG_baseline</t>
  </si>
  <si>
    <t>eff_ethanol_baseline</t>
  </si>
  <si>
    <t>eff_electric_baseline</t>
  </si>
  <si>
    <t>eff_firewood_baseline_commercial</t>
  </si>
  <si>
    <t>eff_charcoal_baseline_commercial</t>
  </si>
  <si>
    <t>eff_kerosene_baseline_commercial</t>
  </si>
  <si>
    <t>eff_ethanol_baseline_commercial</t>
  </si>
  <si>
    <t>eff_electric_baseline_commercial</t>
  </si>
  <si>
    <t>eff_pellet_baseline_commercial</t>
  </si>
  <si>
    <t>ncv_firewood_baseline</t>
  </si>
  <si>
    <t>ncv_charcoal_baseline</t>
  </si>
  <si>
    <t>ncv_kerosene_baseline</t>
  </si>
  <si>
    <t>ncv_LPG_baseline</t>
  </si>
  <si>
    <t>ncv_pellets_baseline</t>
  </si>
  <si>
    <t>co2_ef_charcoal</t>
  </si>
  <si>
    <t>co2_ef_kerosene</t>
  </si>
  <si>
    <t>co2_ef_LPG</t>
  </si>
  <si>
    <t>co2_ef_ethanol</t>
  </si>
  <si>
    <t>co2_ef_electric</t>
  </si>
  <si>
    <t>co2_ef_pellets</t>
  </si>
  <si>
    <t>nonco2_ef_firewood</t>
  </si>
  <si>
    <t>nonco2_ef_charcoal</t>
  </si>
  <si>
    <t>nonco2_ef_kerosene</t>
  </si>
  <si>
    <t>nonco2_ef_ethanol</t>
  </si>
  <si>
    <t>nonco2_ef_electric</t>
  </si>
  <si>
    <t>nonco2_ef_pellets</t>
  </si>
  <si>
    <t>stoveproduction_ef_co2_firewood_baseline</t>
  </si>
  <si>
    <t>stoveproduction_ef_ch4_firewood_baseline</t>
  </si>
  <si>
    <t>stoveproduction_ef_n2O_firewood_baseline</t>
  </si>
  <si>
    <t>stoveproduction_ef_co2_charcoal_baseline</t>
  </si>
  <si>
    <t>stoveproduction_ef_ch4_charcoal_baseline</t>
  </si>
  <si>
    <t>stoveproduction_ef_n2O_charcoal_baseline</t>
  </si>
  <si>
    <t>stoveproduction_ef_co2_kerosene_baseline</t>
  </si>
  <si>
    <t>stoveproduction_ef_ch4_kerosene_baseline</t>
  </si>
  <si>
    <t>stoveproduction_ef_n2O_kerosene_baseline</t>
  </si>
  <si>
    <t>stoveproduction_ef_co2_LPG_baseline</t>
  </si>
  <si>
    <t>stoveproduction_ef_ch4_LPG_baseline</t>
  </si>
  <si>
    <t>stoveproduction_ef_n2O_LPG_baseline</t>
  </si>
  <si>
    <t>stoveproduction_ef_co2_ethanol_baseline</t>
  </si>
  <si>
    <t>stoveproduction_ef_ch4_ethanol_baseline</t>
  </si>
  <si>
    <t>stoveproduction_ef_n2O_ethanol_baseline</t>
  </si>
  <si>
    <t>stoveproduction_ef_co2_electric_baseline</t>
  </si>
  <si>
    <t>stoveproduction_ef_ch4_electric_baseline</t>
  </si>
  <si>
    <t>stoveproduction_ef_n2O_electric_baseline</t>
  </si>
  <si>
    <t>stoveproduction_ef_co2_pellets_baseline</t>
  </si>
  <si>
    <t>stoveproduction_ef_ch4_pellets_baseline</t>
  </si>
  <si>
    <t>stoveproduction_ef_n2O_pellets_baseline</t>
  </si>
  <si>
    <t>feedstockproduction_ef_co2_firewood_baseline</t>
  </si>
  <si>
    <t>feedstockproduction_ef_ch4_firewood_baseline</t>
  </si>
  <si>
    <t>feedstockproduction_ef_n2O_firewood_baseline</t>
  </si>
  <si>
    <t>feedstockproduction_ef_co2_charcoal_baseline</t>
  </si>
  <si>
    <t>feedstockproduction_ef_ch4_charcoal_baseline</t>
  </si>
  <si>
    <t>feedstockproduction_ef_n2O_charcoal_baseline</t>
  </si>
  <si>
    <t>feedstockproduction_ef_co2_kerosene_baseline</t>
  </si>
  <si>
    <t>feedstockproduction_ef_ch4_kerosene_baseline</t>
  </si>
  <si>
    <t>feedstockproduction_ef_n2O_kerosene_baseline</t>
  </si>
  <si>
    <t>feedstockproduction_ef_co2_LPG_baseline</t>
  </si>
  <si>
    <t>feedstockproduction_ef_ch4_LPG_baseline</t>
  </si>
  <si>
    <t>feedstockproduction_ef_n2O_LPG_baseline</t>
  </si>
  <si>
    <t>feedstockproduction_ef_co2_ethanol_baseline</t>
  </si>
  <si>
    <t>feedstockproduction_ef_ch4_ethanol_baseline</t>
  </si>
  <si>
    <t>feedstockproduction_ef_n2O_ethanol_baseline</t>
  </si>
  <si>
    <t>feedstockproduction_ef_co2_electric_baseline</t>
  </si>
  <si>
    <t>feedstockproduction_ef_ch4_electric_baseline</t>
  </si>
  <si>
    <t>feedstockproduction_ef_n2O_electric_baseline</t>
  </si>
  <si>
    <t>feedstockproduction_ef_co2_pellets_baseline</t>
  </si>
  <si>
    <t>feedstockproduction_ef_ch4_pellets_baseline</t>
  </si>
  <si>
    <t>feedstockproduction_ef_n2O_pellets_baseline</t>
  </si>
  <si>
    <t>distribution_ef_co2_firewood_baseline</t>
  </si>
  <si>
    <t>distribution_ef_ch4_firewood_baseline</t>
  </si>
  <si>
    <t>distribution_ef_n2O_firewood_baseline</t>
  </si>
  <si>
    <t>distribution_ef_co2_charcoal_baseline</t>
  </si>
  <si>
    <t>distribution_ef_ch4_charcoal_baseline</t>
  </si>
  <si>
    <t>distribution_ef_n2O_charcoal_baseline</t>
  </si>
  <si>
    <t>distribution_ef_co2_kerosene_baseline</t>
  </si>
  <si>
    <t>distribution_ef_ch4_kerosene_baseline</t>
  </si>
  <si>
    <t>distribution_ef_n2O_kerosene_baseline</t>
  </si>
  <si>
    <t>distribution_ef_co2_LPG_baseline</t>
  </si>
  <si>
    <t>distribution_ef_ch4_LPG_baseline</t>
  </si>
  <si>
    <t>distribution_ef_n2O_LPG_baseline</t>
  </si>
  <si>
    <t>distribution_ef_co2_ethanol_baseline</t>
  </si>
  <si>
    <t>distribution_ef_ch4_ethanol_baseline</t>
  </si>
  <si>
    <t>distribution_ef_n2O_ethanol_baseline</t>
  </si>
  <si>
    <t>distribution_ef_co2_electric_baseline</t>
  </si>
  <si>
    <t>distribution_ef_ch4_electric_baseline</t>
  </si>
  <si>
    <t>distribution_ef_n2O_electric_baseline</t>
  </si>
  <si>
    <t>distribution_ef_co2_pellets_baseline</t>
  </si>
  <si>
    <t>distribution_ef_ch4_pellets_baseline</t>
  </si>
  <si>
    <t>distribution_ef_n2O_pellets_baseline</t>
  </si>
  <si>
    <t>processing_ef_co2_firewood_baseline</t>
  </si>
  <si>
    <t>processing_ef_ch4_firewood_baseline</t>
  </si>
  <si>
    <t>processing_ef_n2O_firewood_baseline</t>
  </si>
  <si>
    <t>processing_ef_co2_charcoal_baseline</t>
  </si>
  <si>
    <t>processing_ef_ch4_charcoal_baseline</t>
  </si>
  <si>
    <t>processing_ef_n2O_charcoal_baseline</t>
  </si>
  <si>
    <t>processing_ef_co2_kerosene_baseline</t>
  </si>
  <si>
    <t>processing_ef_ch4_kerosene_baseline</t>
  </si>
  <si>
    <t>processing_ef_n2O_kerosene_baseline</t>
  </si>
  <si>
    <t>processing_ef_co2_LPG_baseline</t>
  </si>
  <si>
    <t>processing_ef_ch4_LPG_baseline</t>
  </si>
  <si>
    <t>processing_ef_n2O_LPG_baseline</t>
  </si>
  <si>
    <t>processing_ef_co2_ethanol_baseline</t>
  </si>
  <si>
    <t>processing_ef_ch4_ethanol_baseline</t>
  </si>
  <si>
    <t>processing_ef_n2O_ethanol_baseline</t>
  </si>
  <si>
    <t>processing_ef_co2_electric_baseline</t>
  </si>
  <si>
    <t>processing_ef_ch4_electric_baseline</t>
  </si>
  <si>
    <t>processing_ef_n2O_electric_baseline</t>
  </si>
  <si>
    <t>processing_ef_co2_pellets_baseline</t>
  </si>
  <si>
    <t>processing_ef_ch4_pellets_baseline</t>
  </si>
  <si>
    <t>processing_ef_n2O_pellets_baseline</t>
  </si>
  <si>
    <t>kg_firewood_project</t>
  </si>
  <si>
    <t>kg_charcoal_project</t>
  </si>
  <si>
    <t>kg_kerosene_project</t>
  </si>
  <si>
    <t>kg_lpg_project</t>
  </si>
  <si>
    <t>l_ethanol_project</t>
  </si>
  <si>
    <t>kWh_electric_project</t>
  </si>
  <si>
    <t>kg_pellets_project</t>
  </si>
  <si>
    <t>kg_firewood_project_commercial</t>
  </si>
  <si>
    <t>kg_kerosene_project_commercial</t>
  </si>
  <si>
    <t>kg_lpg_project_commercial</t>
  </si>
  <si>
    <t>l_ethanol_project_commercial</t>
  </si>
  <si>
    <t>kWh_electric_project_commercial</t>
  </si>
  <si>
    <t>kg_pellets_project_commercial</t>
  </si>
  <si>
    <t>eff_firewood_project</t>
  </si>
  <si>
    <t>eff_charcoal_project</t>
  </si>
  <si>
    <t>eff_kerosene_project</t>
  </si>
  <si>
    <t>eff_ethanol_project</t>
  </si>
  <si>
    <t>eff_electric_project</t>
  </si>
  <si>
    <t>eff_firewood_project_commercial</t>
  </si>
  <si>
    <t>eff_charcoal_project_commercial</t>
  </si>
  <si>
    <t>eff_kerosene_project_commercial</t>
  </si>
  <si>
    <t>eff_LPG_project_commercial</t>
  </si>
  <si>
    <t>eff_ethanol_project_commercial</t>
  </si>
  <si>
    <t>eff_electric_project_commercial</t>
  </si>
  <si>
    <t>eff_pellet_project_commercial</t>
  </si>
  <si>
    <t>ncv_firewood_project</t>
  </si>
  <si>
    <t>ncv_kerosene_project</t>
  </si>
  <si>
    <t>ncv_LPG_project</t>
  </si>
  <si>
    <t>ncv_ethanol_project</t>
  </si>
  <si>
    <t>ncv_pellets_project</t>
  </si>
  <si>
    <t>co2_ef_firewood_project</t>
  </si>
  <si>
    <t>co2_ef_charcoal_project</t>
  </si>
  <si>
    <t>co2_ef_kerosene_project</t>
  </si>
  <si>
    <t>co2_ef_LPG_project</t>
  </si>
  <si>
    <t>co2_ef_ethanol_project</t>
  </si>
  <si>
    <t>co2_ef_electric_project</t>
  </si>
  <si>
    <t>co2_ef_pellets_project</t>
  </si>
  <si>
    <t>nonco2_ef_firewood_project</t>
  </si>
  <si>
    <t>nonco2_ef_charcoal_project</t>
  </si>
  <si>
    <t>nonco2_ef_kerosene_project</t>
  </si>
  <si>
    <t>nonco2_ef_LPG_project</t>
  </si>
  <si>
    <t>nonco2_ef_ethanol_project</t>
  </si>
  <si>
    <t>nonco2_ef_electric_project</t>
  </si>
  <si>
    <t>nonco2_ef_pellets_project</t>
  </si>
  <si>
    <t>stoveproduction_ef_co2_firewood_project</t>
  </si>
  <si>
    <t>stoveproduction_ef_co2_charcoal_project</t>
  </si>
  <si>
    <t>stoveproduction_ef_co2_kerosene_project</t>
  </si>
  <si>
    <t>stoveproduction_ef_ch4_firewood_project</t>
  </si>
  <si>
    <t>stoveproduction_ef_n2O_firewood_project</t>
  </si>
  <si>
    <t>stoveproduction_ef_ch4_charcoal_project</t>
  </si>
  <si>
    <t>stoveproduction_ef_n2O_charcoal_project</t>
  </si>
  <si>
    <t>stoveproduction_ef_ch4_kerosene_project</t>
  </si>
  <si>
    <t>stoveproduction_ef_n2O_kerosene_project</t>
  </si>
  <si>
    <t>stoveproduction_ef_co2_LPG_project</t>
  </si>
  <si>
    <t>stoveproduction_ef_ch4_LPG_project</t>
  </si>
  <si>
    <t>stoveproduction_ef_n2O_LPG_project</t>
  </si>
  <si>
    <t>stoveproduction_ef_co2_ethanol_project</t>
  </si>
  <si>
    <t>stoveproduction_ef_ch4_ethanol_project</t>
  </si>
  <si>
    <t>stoveproduction_ef_n2O_ethanol_project</t>
  </si>
  <si>
    <t>stoveproduction_ef_co2_electric_project</t>
  </si>
  <si>
    <t>stoveproduction_ef_ch4_electric_project</t>
  </si>
  <si>
    <t>stoveproduction_ef_n2O_electric_project</t>
  </si>
  <si>
    <t>stoveproduction_ef_co2_pellets_project</t>
  </si>
  <si>
    <t>stoveproduction_ef_ch4_pellets_project</t>
  </si>
  <si>
    <t>stoveproduction_ef_n2O_pellets_project</t>
  </si>
  <si>
    <t>feedstockproduction_ef_co2_firewood_project</t>
  </si>
  <si>
    <t>feedstockproduction_ef_ch4_firewood_project</t>
  </si>
  <si>
    <t>feedstockproduction_ef_n2O_firewood_project</t>
  </si>
  <si>
    <t>feedstockproduction_ef_co2_charcoal_project</t>
  </si>
  <si>
    <t>feedstockproduction_ef_ch4_charcoal_project</t>
  </si>
  <si>
    <t>feedstockproduction_ef_n2O_charcoal_project</t>
  </si>
  <si>
    <t>feedstockproduction_ef_co2_kerosene_project</t>
  </si>
  <si>
    <t>feedstockproduction_ef_ch4_kerosene_project</t>
  </si>
  <si>
    <t>feedstockproduction_ef_n2O_kerosene_project</t>
  </si>
  <si>
    <t>feedstockproduction_ef_co2_LPG_project</t>
  </si>
  <si>
    <t>feedstockproduction_ef_ch4_LPG_project</t>
  </si>
  <si>
    <t>feedstockproduction_ef_n2O_LPG_project</t>
  </si>
  <si>
    <t>feedstockproduction_ef_co2_ethanol_project</t>
  </si>
  <si>
    <t>feedstockproduction_ef_ch4_ethanol_project</t>
  </si>
  <si>
    <t>feedstockproduction_ef_n2O_ethanol_project</t>
  </si>
  <si>
    <t>feedstockproduction_ef_co2_electric_project</t>
  </si>
  <si>
    <t>feedstockproduction_ef_ch4_electric_project</t>
  </si>
  <si>
    <t>feedstockproduction_ef_n2O_electric_project</t>
  </si>
  <si>
    <t>feedstockproduction_ef_co2_pellets_project</t>
  </si>
  <si>
    <t>feedstockproduction_ef_ch4_pellets_project</t>
  </si>
  <si>
    <t>feedstockproduction_ef_n2O_pellets_project</t>
  </si>
  <si>
    <t>distribution_ef_co2_firewood_project</t>
  </si>
  <si>
    <t>distribution_ef_ch4_firewood_project</t>
  </si>
  <si>
    <t>distribution_ef_n2O_firewood_project</t>
  </si>
  <si>
    <t>distribution_ef_co2_charcoal_project</t>
  </si>
  <si>
    <t>distribution_ef_ch4_charcoal_project</t>
  </si>
  <si>
    <t>distribution_ef_n2O_charcoal_project</t>
  </si>
  <si>
    <t>distribution_ef_co2_kerosene_project</t>
  </si>
  <si>
    <t>distribution_ef_ch4_kerosene_project</t>
  </si>
  <si>
    <t>distribution_ef_n2O_kerosene_project</t>
  </si>
  <si>
    <t>distribution_ef_co2_LPG_project</t>
  </si>
  <si>
    <t>distribution_ef_ch4_LPG_project</t>
  </si>
  <si>
    <t>distribution_ef_n2O_LPG_project</t>
  </si>
  <si>
    <t>distribution_ef_co2_ethanol_project</t>
  </si>
  <si>
    <t>distribution_ef_ch4_ethanol_project</t>
  </si>
  <si>
    <t>distribution_ef_n2O_ethanol_project</t>
  </si>
  <si>
    <t>distribution_ef_co2_electric_project</t>
  </si>
  <si>
    <t>distribution_ef_ch4_electric_project</t>
  </si>
  <si>
    <t>distribution_ef_n2O_electric_project</t>
  </si>
  <si>
    <t>distribution_ef_co2_pellets_project</t>
  </si>
  <si>
    <t>distribution_ef_ch4_pellets_project</t>
  </si>
  <si>
    <t>distribution_ef_n2O_pellets_project</t>
  </si>
  <si>
    <t>processing_ef_co2_firewood_project</t>
  </si>
  <si>
    <t>processing_ef_ch4_firewood_project</t>
  </si>
  <si>
    <t>processing_ef_n2O_firewood_project</t>
  </si>
  <si>
    <t>processing_ef_co2_charcoal_project</t>
  </si>
  <si>
    <t>processing_ef_ch4_charcoal_project</t>
  </si>
  <si>
    <t>processing_ef_n2O_charcoal_project</t>
  </si>
  <si>
    <t>processing_ef_co2_kerosene_project</t>
  </si>
  <si>
    <t>processing_ef_ch4_kerosene_project</t>
  </si>
  <si>
    <t>processing_ef_n2O_kerosene_project</t>
  </si>
  <si>
    <t>processing_ef_co2_LPG_project</t>
  </si>
  <si>
    <t>processing_ef_ch4_LPG_project</t>
  </si>
  <si>
    <t>processing_ef_n2O_LPG_project</t>
  </si>
  <si>
    <t>processing_ef_co2_ethanol_project</t>
  </si>
  <si>
    <t>processing_ef_ch4_ethanol_project</t>
  </si>
  <si>
    <t>processing_ef_n2O_ethanol_project</t>
  </si>
  <si>
    <t>processing_ef_co2_electric_project</t>
  </si>
  <si>
    <t>processing_ef_ch4_electric_project</t>
  </si>
  <si>
    <t>processing_ef_n2O_electric_project</t>
  </si>
  <si>
    <t>processing_ef_co2_pellets_project</t>
  </si>
  <si>
    <t>processing_ef_ch4_pellets_project</t>
  </si>
  <si>
    <t>processing_ef_n2O_pellets_project</t>
  </si>
  <si>
    <t>project_adoption</t>
  </si>
  <si>
    <t>project_usage</t>
  </si>
  <si>
    <t>leakage_binary</t>
  </si>
  <si>
    <t>leakage_default</t>
  </si>
  <si>
    <t>leakage_tCO2e</t>
  </si>
  <si>
    <t>kg_per_liter_ethanol_project</t>
  </si>
  <si>
    <t>country</t>
  </si>
  <si>
    <t>CDM AMS II G</t>
  </si>
  <si>
    <t>China</t>
  </si>
  <si>
    <t>monitoring_period</t>
  </si>
  <si>
    <t>verified_credits</t>
  </si>
  <si>
    <t>stove_year_cohort</t>
  </si>
  <si>
    <t>NA</t>
  </si>
  <si>
    <t>VCS1216</t>
  </si>
  <si>
    <t>GS2094</t>
  </si>
  <si>
    <t>VCS1719</t>
  </si>
  <si>
    <t>2016/2017</t>
  </si>
  <si>
    <t>VCS1721</t>
  </si>
  <si>
    <t>2016/2018</t>
  </si>
  <si>
    <t>GS10884</t>
  </si>
  <si>
    <t>GS TPDDTEC</t>
  </si>
  <si>
    <t>GS7312</t>
  </si>
  <si>
    <t>GS2564</t>
  </si>
  <si>
    <t>2019/2021</t>
  </si>
  <si>
    <t>more_than_one_stove_adj</t>
  </si>
  <si>
    <t>Mexico</t>
  </si>
  <si>
    <t>Ghana</t>
  </si>
  <si>
    <t>Malawi</t>
  </si>
  <si>
    <t>Central, Northern, &amp; Southern</t>
  </si>
  <si>
    <t>Guatemala</t>
  </si>
  <si>
    <t>Nigeria</t>
  </si>
  <si>
    <t>Haiti</t>
  </si>
  <si>
    <t>Ouest</t>
  </si>
  <si>
    <t>Nigeria tot</t>
  </si>
  <si>
    <t>Guatemala tot</t>
  </si>
  <si>
    <t>Ghana tot</t>
  </si>
  <si>
    <t>Mexico tot</t>
  </si>
  <si>
    <t>prc_charcoal_baseline_commercial</t>
  </si>
  <si>
    <t>eff_pellets_baseline</t>
  </si>
  <si>
    <t>eff_LPG_baseline_commercial</t>
  </si>
  <si>
    <t>ncv_ethanol_baseline</t>
  </si>
  <si>
    <t>nonco2_ef_LPG</t>
  </si>
  <si>
    <t>kg_charcoal_project_commercial</t>
  </si>
  <si>
    <t>ncv_charcoal_project</t>
  </si>
  <si>
    <t>prc_pellets_baseline</t>
  </si>
  <si>
    <t>kg_pellets_baseline</t>
  </si>
  <si>
    <t>prc_pellets_baseline_commercial</t>
  </si>
  <si>
    <t>kg_pellets_baseline_commercial</t>
  </si>
  <si>
    <t>mfNRB_bailis</t>
  </si>
  <si>
    <t>expfNRB_bailis</t>
  </si>
  <si>
    <t>prc_firewood_project</t>
  </si>
  <si>
    <t>prc_charcoal_project</t>
  </si>
  <si>
    <t>prc_kerosene_project</t>
  </si>
  <si>
    <t>prc_lpg_project</t>
  </si>
  <si>
    <t>prc_ethanol_project</t>
  </si>
  <si>
    <t>prc_electric_project</t>
  </si>
  <si>
    <t>prc_pellets_project</t>
  </si>
  <si>
    <t>prc_firewood_project_commercial</t>
  </si>
  <si>
    <t>prc_charcoal_project_commercial</t>
  </si>
  <si>
    <t>prc_kerosene_project_commercial</t>
  </si>
  <si>
    <t>prc_lpg_project_commercial</t>
  </si>
  <si>
    <t>prc_electric_project_commercial</t>
  </si>
  <si>
    <t>prc_ethanol_project_commercial</t>
  </si>
  <si>
    <t>prc_pellets_project_commercial</t>
  </si>
  <si>
    <t>Units</t>
  </si>
  <si>
    <t>tCO2e</t>
  </si>
  <si>
    <t>countries</t>
  </si>
  <si>
    <t>%</t>
  </si>
  <si>
    <t>domestic stoves</t>
  </si>
  <si>
    <t>commercial stoves</t>
  </si>
  <si>
    <t>days</t>
  </si>
  <si>
    <t>kgs per day</t>
  </si>
  <si>
    <t>liters per day</t>
  </si>
  <si>
    <t>kWh per day</t>
  </si>
  <si>
    <t>kgs per liter kerosene</t>
  </si>
  <si>
    <t>kgs per liter ethanol</t>
  </si>
  <si>
    <t>TJ/tonne</t>
  </si>
  <si>
    <t>tCO2/TJ</t>
  </si>
  <si>
    <t>tCO2e/TJ</t>
  </si>
  <si>
    <t>tCH4/TJ</t>
  </si>
  <si>
    <t>tN2O/TJ</t>
  </si>
  <si>
    <t>project_adoption_commercial</t>
  </si>
  <si>
    <t>project_usage_commercial</t>
  </si>
  <si>
    <t>av_hhsize</t>
  </si>
  <si>
    <t>individuals</t>
  </si>
  <si>
    <t>region</t>
  </si>
  <si>
    <t>Asia</t>
  </si>
  <si>
    <t>project_days_commercial</t>
  </si>
  <si>
    <t>GS447</t>
  </si>
  <si>
    <t>Uganda</t>
  </si>
  <si>
    <t>Uganda tot</t>
  </si>
  <si>
    <t>Kenya</t>
  </si>
  <si>
    <t>Kenya tot</t>
  </si>
  <si>
    <t>India tot</t>
  </si>
  <si>
    <t>India</t>
  </si>
  <si>
    <t>Honduras tot</t>
  </si>
  <si>
    <t>Honduras</t>
  </si>
  <si>
    <t>Ethiopia tot</t>
  </si>
  <si>
    <t>Ethiopia</t>
  </si>
  <si>
    <t>Burkina Faso</t>
  </si>
  <si>
    <t>Bangladesh tot</t>
  </si>
  <si>
    <t>Bangladesh</t>
  </si>
  <si>
    <t>GS500</t>
  </si>
  <si>
    <t>8th</t>
  </si>
  <si>
    <t>Sudan</t>
  </si>
  <si>
    <t>Northern Darfur</t>
  </si>
  <si>
    <t>CDM AMS I E</t>
  </si>
  <si>
    <t>Sub-Saharan Africa</t>
  </si>
  <si>
    <t>GS7438</t>
  </si>
  <si>
    <t>GS3112</t>
  </si>
  <si>
    <t>1-2 years</t>
  </si>
  <si>
    <t>2-3 years</t>
  </si>
  <si>
    <t>3-4 years</t>
  </si>
  <si>
    <t>GS407</t>
  </si>
  <si>
    <t>small domestic</t>
  </si>
  <si>
    <t>medium domestic</t>
  </si>
  <si>
    <t>domestic</t>
  </si>
  <si>
    <t>other_tCO2e_reduction</t>
  </si>
  <si>
    <t>GS913</t>
  </si>
  <si>
    <t>Lesotho</t>
  </si>
  <si>
    <t>districts Berea, Maseru, Leribe, Mohale’s Hoek, Mafeteng
and Butha-Buthe.</t>
  </si>
  <si>
    <t>GS6212</t>
  </si>
  <si>
    <t>Nepal</t>
  </si>
  <si>
    <t>Nepal tot</t>
  </si>
  <si>
    <t>GS5642</t>
  </si>
  <si>
    <t>01/06/2020 to 31/03/2022</t>
  </si>
  <si>
    <t>GS2758</t>
  </si>
  <si>
    <t>Dec 2015-Nov 2016</t>
  </si>
  <si>
    <t>Dec 2016-Nov 2017</t>
  </si>
  <si>
    <t>Dec 2017-Nov 2018</t>
  </si>
  <si>
    <t>Dec 2018-Nov 2019</t>
  </si>
  <si>
    <t>Dec 2019-Nov 2020</t>
  </si>
  <si>
    <t>Dec 2020-Nov 2021</t>
  </si>
  <si>
    <t>Central America</t>
  </si>
  <si>
    <t>26/04/2017 to 30/09/2018</t>
  </si>
  <si>
    <t>GS1060</t>
  </si>
  <si>
    <t>MP9</t>
  </si>
  <si>
    <t>scenario 1</t>
  </si>
  <si>
    <t>Rwanda</t>
  </si>
  <si>
    <t>scenario 2</t>
  </si>
  <si>
    <t>scenario 3</t>
  </si>
  <si>
    <t>MP8</t>
  </si>
  <si>
    <t>GS2744</t>
  </si>
  <si>
    <t>West Africa</t>
  </si>
  <si>
    <t>Bamako</t>
  </si>
  <si>
    <t>new CP</t>
  </si>
  <si>
    <t>wassa large</t>
  </si>
  <si>
    <t>wassa super</t>
  </si>
  <si>
    <t>GS1094</t>
  </si>
  <si>
    <t>GS4291</t>
  </si>
  <si>
    <t>GS6604</t>
  </si>
  <si>
    <t>PDD</t>
  </si>
  <si>
    <t>GS1267</t>
  </si>
  <si>
    <t>1st</t>
  </si>
  <si>
    <t>2nd</t>
  </si>
  <si>
    <t>3rd</t>
  </si>
  <si>
    <t>4th</t>
  </si>
  <si>
    <t>5th</t>
  </si>
  <si>
    <t>6th</t>
  </si>
  <si>
    <t>GS2439</t>
  </si>
  <si>
    <t>1st 2012</t>
  </si>
  <si>
    <t>ecocina</t>
  </si>
  <si>
    <t>1st 2013</t>
  </si>
  <si>
    <t>1st 2014</t>
  </si>
  <si>
    <t>ecoplancha</t>
  </si>
  <si>
    <t>GS2445</t>
  </si>
  <si>
    <t>per stove per day in 1st MR</t>
  </si>
  <si>
    <t>GS7578</t>
  </si>
  <si>
    <t>Mozambique</t>
  </si>
  <si>
    <t>Maputo &amp; Matola</t>
  </si>
  <si>
    <t>Maputo Province and Maputo City Province</t>
  </si>
  <si>
    <t>GS2513</t>
  </si>
  <si>
    <t>GS4677</t>
  </si>
  <si>
    <t>GS2441</t>
  </si>
  <si>
    <t>Ecocina 2013</t>
  </si>
  <si>
    <t>Ecocina 2014</t>
  </si>
  <si>
    <t>Plancha 2011</t>
  </si>
  <si>
    <t>Plancha 2012</t>
  </si>
  <si>
    <t>ONIL 2011</t>
  </si>
  <si>
    <t>ONIL 2012</t>
  </si>
  <si>
    <t>ONIL 2013</t>
  </si>
  <si>
    <t>GS5003</t>
  </si>
  <si>
    <t>SGF</t>
  </si>
  <si>
    <t>GF</t>
  </si>
  <si>
    <t>GS Simplified</t>
  </si>
  <si>
    <t>GS6129</t>
  </si>
  <si>
    <t>Myanmar</t>
  </si>
  <si>
    <t>Mandalay Region </t>
  </si>
  <si>
    <t>Rwanda tot</t>
  </si>
  <si>
    <t>Sichuan province</t>
  </si>
  <si>
    <t>Malawi tot</t>
  </si>
  <si>
    <t>Jalisco, Mexico, San Luis Potosi, Veracruz, Sonora, Michoacan, Oaxaca, and Guanajuato</t>
  </si>
  <si>
    <t>Eastern Province- Bugesera (formerly kigali-ngali admin unit)</t>
  </si>
  <si>
    <t>Buikve (prior Mukono), Mukono and Kayunga</t>
  </si>
  <si>
    <t>GS Metered</t>
  </si>
  <si>
    <t>GS11509</t>
  </si>
  <si>
    <t>Zambia</t>
  </si>
  <si>
    <t>Lusaka</t>
  </si>
  <si>
    <t>GS11352</t>
  </si>
  <si>
    <t>Nairobi</t>
  </si>
  <si>
    <t>GS11507</t>
  </si>
  <si>
    <t>Kigali</t>
  </si>
  <si>
    <t>rebound</t>
  </si>
  <si>
    <t>type</t>
  </si>
  <si>
    <t>firewood</t>
  </si>
  <si>
    <t>charcoal</t>
  </si>
  <si>
    <t>switch</t>
  </si>
  <si>
    <t>biomass</t>
  </si>
  <si>
    <t>verified_credits_per_stove</t>
  </si>
  <si>
    <t>Mali</t>
  </si>
  <si>
    <t>stove</t>
  </si>
  <si>
    <t>cdm_imp_firewood</t>
  </si>
  <si>
    <t>cdm_imp_charcoal</t>
  </si>
  <si>
    <t>gs_imp_charcoal</t>
  </si>
  <si>
    <t>gs_lpg</t>
  </si>
  <si>
    <t>ethanol</t>
  </si>
  <si>
    <t>gs_imp_firewood</t>
  </si>
  <si>
    <t>pellets</t>
  </si>
  <si>
    <t>GS1146</t>
  </si>
  <si>
    <t>MP4</t>
  </si>
  <si>
    <t>monitoring firewood</t>
  </si>
  <si>
    <t>monitoring charcoal</t>
  </si>
  <si>
    <t>monitoring LPG only</t>
  </si>
  <si>
    <t>commercial</t>
  </si>
  <si>
    <t>Kadiogo Province:</t>
  </si>
  <si>
    <t>GS 11330</t>
  </si>
  <si>
    <t>protocol_version</t>
  </si>
  <si>
    <t>GS TPDDTEC v3.1</t>
  </si>
  <si>
    <t>GS TPDDTEC v3.2</t>
  </si>
  <si>
    <t>GS Methodology for Improved Cook stoves and Kitchen Regimes v1.</t>
  </si>
  <si>
    <t>GS TPDDTEC v 2.</t>
  </si>
  <si>
    <t>AMS-II.G. ver. 3</t>
  </si>
  <si>
    <t>AMS-II.G. ver. 5</t>
  </si>
  <si>
    <t>AMS-II.G (Version 05.0 EB 70)</t>
  </si>
  <si>
    <t>AMS-II.G. Version 03 </t>
  </si>
  <si>
    <t>GS Improved Cook-Stoves and Kitchen Regimes version 01</t>
  </si>
  <si>
    <t>AMS II.G Version 09 </t>
  </si>
  <si>
    <t>GS TPDDTEC v2</t>
  </si>
  <si>
    <t>The Gold Standard Simplified Methodology for Efficient Cookstoves, Version 1.1,</t>
  </si>
  <si>
    <t>AMS-II.G. Version 09</t>
  </si>
  <si>
    <t>GS TPDDTEC v1</t>
  </si>
  <si>
    <t>AMS-I.E, version 10</t>
  </si>
  <si>
    <t>AMS-I.E, version 5</t>
  </si>
  <si>
    <t>AMS-I.E, version 6</t>
  </si>
  <si>
    <t>The Gold Standard Simplified Methodology for Efficient Cookstoves, Version 01, </t>
  </si>
  <si>
    <t>GS TPDDTEC v 4</t>
  </si>
  <si>
    <t>Any other tonnes of carbon that the project subtracts from their carbon reductions</t>
  </si>
  <si>
    <t>A percent adjustment if the project distributes multiple stoves to individual households</t>
  </si>
  <si>
    <t>The amount of leakage found if the project acesses leakage (i.e., does not use the default adjustment)</t>
  </si>
  <si>
    <t>The default leakage adjustment (typically always 95% if utilized)</t>
  </si>
  <si>
    <t>A binary value to determine if the project uses the default adjustment (i.e., 1 if they use the default, 0 if not)</t>
  </si>
  <si>
    <t xml:space="preserve">Rate of usage of the commercial project stove. We define usage as a continuous value considering usage of the baseline stove. However, projects often define this as our definition of adoption. </t>
  </si>
  <si>
    <t>Rate of adoption of the commercial project stove. We define adoption as a binary of whether the project stove is used at all. Protocols define this as drop off rate.</t>
  </si>
  <si>
    <t xml:space="preserve">Rate of usage of the domestic project stove. We define usage as a continuous value considering usage of the baseline stove. However, projects often define this as our definition of adoption. </t>
  </si>
  <si>
    <t>Rate of adoption of the domestic project stove. We define adoption as a binary of whether the project stove is used at all. Protocols define this as drop off rate.</t>
  </si>
  <si>
    <t>Project nitrous oxide emission factor for processing for pellets</t>
  </si>
  <si>
    <t>Project methane emission factor for processing for pellets</t>
  </si>
  <si>
    <t>Project carbon dioxide emission factor for processing for pellets</t>
  </si>
  <si>
    <t>Project nitrous oxide emission factor for processing for electricity</t>
  </si>
  <si>
    <t>Project methane emission factor for processing for electricity</t>
  </si>
  <si>
    <t>Project carbon dioxide emission factor for processing for electricity</t>
  </si>
  <si>
    <t>Project nitrous oxide emission factor for processing for ethanol</t>
  </si>
  <si>
    <t>Project methane emission factor for processing for ethanol</t>
  </si>
  <si>
    <t>Project carbon dioxide emission factor for processing for ethanol</t>
  </si>
  <si>
    <t>Project nitrous oxide emission factor for processing for LPG</t>
  </si>
  <si>
    <t>Project methane emission factor for processing for LPG</t>
  </si>
  <si>
    <t>Project carbon dioxide emission factor for processing for LPG</t>
  </si>
  <si>
    <t>Project nitrous oxide emission factor for processing for kerosene</t>
  </si>
  <si>
    <t>Project methane emission factor for processing for kerosene</t>
  </si>
  <si>
    <t>Project carbon dioxide emission factor for processing for kerosene</t>
  </si>
  <si>
    <t>Project nitrous oxide emission factor for processing for charcoal</t>
  </si>
  <si>
    <t>Project methane emission factor for processing for charcoal</t>
  </si>
  <si>
    <t>Project carbon dioxide emission factor for processing for charcoal</t>
  </si>
  <si>
    <t>Project nitrous oxide emission factor for processing for firewood</t>
  </si>
  <si>
    <t xml:space="preserve">Project methane emission factor for processing for firewood </t>
  </si>
  <si>
    <t>Project carbon dioxide emission factor for processing for firewood</t>
  </si>
  <si>
    <t>Project nitrous oxide emission factor for distribution for pellets</t>
  </si>
  <si>
    <t>Project methane emission factor for distribution for pellets</t>
  </si>
  <si>
    <t>Project carbon dioxide emission factor for distribution for pellets</t>
  </si>
  <si>
    <t>Project nitrous oxide emission factor for distribution for electric</t>
  </si>
  <si>
    <t>Project methane emission factor for distribution for electric</t>
  </si>
  <si>
    <t>Project carbon dioxide emission factor for distribution for electric</t>
  </si>
  <si>
    <t>Project nitrous oxide emission factor for distribution for ethanol</t>
  </si>
  <si>
    <t>Project methane emission factor for distribution for ethanol</t>
  </si>
  <si>
    <t>Project carbon dioxide emission factor for distribution for ethanol</t>
  </si>
  <si>
    <t>Project nitrous oxide emission factor for distribution for LPG</t>
  </si>
  <si>
    <t>Project methane emission factor for distribution for LPG</t>
  </si>
  <si>
    <t>Project carbon dioxide emission factor for distribution for LPG</t>
  </si>
  <si>
    <t>Project nitrous oxide emission factor for distribution for kerosene</t>
  </si>
  <si>
    <t>Project methane emission factor for distribution for kerosene</t>
  </si>
  <si>
    <t>Project carbon dioxide emission factor for distribution for kerosene</t>
  </si>
  <si>
    <t>Project nitrous oxide emission factor for distribution for charcoal</t>
  </si>
  <si>
    <t>Project methane emission factor for distribution for charcoal</t>
  </si>
  <si>
    <t>Project carbon dioxide emission factor for distribution for charcoal</t>
  </si>
  <si>
    <t xml:space="preserve">Project nitrous oxide emission factor for distribution for  firewood </t>
  </si>
  <si>
    <t xml:space="preserve">Project methane emission factor for distribution for firewood </t>
  </si>
  <si>
    <t>Project carbon dioxide emission factor for distribution for firewood</t>
  </si>
  <si>
    <t xml:space="preserve">Project nitrous oxide emission factor for feedstock production for </t>
  </si>
  <si>
    <t xml:space="preserve">Project methane emission factor for feedstock production for </t>
  </si>
  <si>
    <t xml:space="preserve">Project carbon dioxide emission factor for feedstock production for </t>
  </si>
  <si>
    <t>Project nitrous oxide emission factor for feedstock production for LPG</t>
  </si>
  <si>
    <t>Project methane emission factor for feedstock production for LPG</t>
  </si>
  <si>
    <t>Project carbon dioxide emission factor for feedstock production for LPG</t>
  </si>
  <si>
    <t>Project nitrous oxide emission factor for feedstock production for kerosene</t>
  </si>
  <si>
    <t>Project methane emission factor for feedstock production for kerosene</t>
  </si>
  <si>
    <t>Project carbon dioxide emission factor for feedstock production for kerosene</t>
  </si>
  <si>
    <t>Project nitrous oxide emission factor for feedstock production for charcoal</t>
  </si>
  <si>
    <t>Project methane emission factor for feedstock production for charcoal</t>
  </si>
  <si>
    <t>Project carbon dioxide emission factor for feedstock production for charcoal</t>
  </si>
  <si>
    <t>Project nitrous oxide emission factor for feedstock production for firewood</t>
  </si>
  <si>
    <t>Project methane emission factor for feedstock production for firewood</t>
  </si>
  <si>
    <t>Project carbon dioxide emission factor for feedstock production for firewood</t>
  </si>
  <si>
    <t xml:space="preserve">Project nitrous oxide emission factor for stove production for </t>
  </si>
  <si>
    <t xml:space="preserve">Project methane emission factor for stove production for </t>
  </si>
  <si>
    <t xml:space="preserve">Project carbon dioxide emission factor for stove production for </t>
  </si>
  <si>
    <t>Project nitrous oxide emission factor for stove production for LPG</t>
  </si>
  <si>
    <t>Project methane emission factor for stove production for LPG</t>
  </si>
  <si>
    <t>Project carbon dioxide emission factor for stove production for LPG</t>
  </si>
  <si>
    <t>Project nitrous oxide emission factor for stove production for kerosene</t>
  </si>
  <si>
    <t>Project methane emission factor for stove production for kerosene</t>
  </si>
  <si>
    <t>Project carbon dioxide emission factor for stove production for kerosene</t>
  </si>
  <si>
    <t>Project nitrous oxide emission factor for stove production for charcoal</t>
  </si>
  <si>
    <t>Project methane emission factor for stove production for charcoal</t>
  </si>
  <si>
    <t>Project carbon dioxide emission factor for stove production for charcoal</t>
  </si>
  <si>
    <t>Project nitrous oxide emission factor for stove production for firewood</t>
  </si>
  <si>
    <t xml:space="preserve">Project methane emission factor for stove production for firewood </t>
  </si>
  <si>
    <t>Project carbon dioxide emission factor for stove production for  firewood</t>
  </si>
  <si>
    <t>Project non-carbon dioxide emission factor for pellets</t>
  </si>
  <si>
    <t>Project non-carbon dioxide emission factor for electric</t>
  </si>
  <si>
    <t>Project non-carbon dioxide emission factor for ethanol</t>
  </si>
  <si>
    <t>Project non-carbon dioxide emission factor for LPG</t>
  </si>
  <si>
    <t>Project non-carbon dioxide emission factor for kerosene</t>
  </si>
  <si>
    <t>Project non-carbon dioxide emission factor for charcoal</t>
  </si>
  <si>
    <t>Project non-carbon dioxide emission factor for firewood</t>
  </si>
  <si>
    <t>Project carbon dioxide emission factor for pellets</t>
  </si>
  <si>
    <t>Project carbon dioxide emission factor for elecricity</t>
  </si>
  <si>
    <t>Project carbon dioxide emission factor for ethanol</t>
  </si>
  <si>
    <t>Project carbon dioxide emission factor for LPG</t>
  </si>
  <si>
    <t>Project carbon dioxide emission factor for kerosene</t>
  </si>
  <si>
    <t>Project carbon dioxide emission factor for charcoal</t>
  </si>
  <si>
    <t>Project carbon dioxide emission factor for firewood</t>
  </si>
  <si>
    <t>Project net calorific value of pellets</t>
  </si>
  <si>
    <t>Project net calorific value of ethanol</t>
  </si>
  <si>
    <t>Project net calorific value of LPG</t>
  </si>
  <si>
    <t>Project net calorific value of kerosene</t>
  </si>
  <si>
    <t>Project net calorific value of charcoal</t>
  </si>
  <si>
    <t>Project net calorific value of firewood</t>
  </si>
  <si>
    <t xml:space="preserve">The efficiency of the commercial pellets project  stove </t>
  </si>
  <si>
    <t xml:space="preserve">The efficiency of the commercial electric project  stove </t>
  </si>
  <si>
    <t xml:space="preserve">The efficiency of the commercial ethanol project  stove </t>
  </si>
  <si>
    <t xml:space="preserve">The efficiency of the commercial LPG project  stove </t>
  </si>
  <si>
    <t xml:space="preserve">The efficiency of the commercial kerosene project  stove </t>
  </si>
  <si>
    <t xml:space="preserve">The efficiency of the commercial charcoal project stove </t>
  </si>
  <si>
    <t xml:space="preserve">The efficiency of the commercial firewood project  stove </t>
  </si>
  <si>
    <t xml:space="preserve">The efficiency of the domestic pellets project stove </t>
  </si>
  <si>
    <t xml:space="preserve">The efficiency of the domestic electric project  stove </t>
  </si>
  <si>
    <t xml:space="preserve">The efficiency of the domesticethanol project  stove </t>
  </si>
  <si>
    <t xml:space="preserve">The efficiency of the domestic LPG project  stove </t>
  </si>
  <si>
    <t xml:space="preserve">The efficiency of the domestickerosene project  stove </t>
  </si>
  <si>
    <t xml:space="preserve">The efficiency of the domestic charcoal project  stove </t>
  </si>
  <si>
    <t xml:space="preserve">The efficiency of the domestic firewood project stove </t>
  </si>
  <si>
    <t xml:space="preserve">The number of kilograms of pellets per day per commercial device in the project scenario </t>
  </si>
  <si>
    <t xml:space="preserve">The number of kWh of electricity per day per commercial device in the project scenario </t>
  </si>
  <si>
    <t xml:space="preserve">The number of liters of ethanol per day per commercial device in the baseline scenario </t>
  </si>
  <si>
    <t xml:space="preserve">The number of kilograms of LPG per day per commercial device in the baseline scenario </t>
  </si>
  <si>
    <t xml:space="preserve">The number of kilograms of kerosene per day per commercial device in the baseline scenario </t>
  </si>
  <si>
    <t xml:space="preserve">The number of kilograms of charcoal per day per commercial device in the baseline scenario </t>
  </si>
  <si>
    <t xml:space="preserve">The number of kilograms of firewood per day per commercial device in the baseline scenario </t>
  </si>
  <si>
    <t xml:space="preserve">The number of kilograms of pellets per day per domestic device in the project scenario </t>
  </si>
  <si>
    <t xml:space="preserve">The number of kWh of electricity per day per domestic device in the project scenario </t>
  </si>
  <si>
    <t>Density of ethanol</t>
  </si>
  <si>
    <t xml:space="preserve">The number of liters of ethanol per day per commercial device in the project scenario </t>
  </si>
  <si>
    <t xml:space="preserve">The number of kilograms of LPG per day per commercial device in the project scenario </t>
  </si>
  <si>
    <t xml:space="preserve">The number of kilograms of kerosene per day per commercial device in the project scenario </t>
  </si>
  <si>
    <t xml:space="preserve">The number of kilograms of charcoal per day per commercial device in the project scenario </t>
  </si>
  <si>
    <t xml:space="preserve">The number of kilograms of firewood per day per domestic device in the project scenario </t>
  </si>
  <si>
    <t>Baseline nitrous oxide emission factor for processing for pellets</t>
  </si>
  <si>
    <t>Baseline methane emission factor for processing for pellets</t>
  </si>
  <si>
    <t>Baseline carbon dioxide emission factor for processing for pellets</t>
  </si>
  <si>
    <t>Baseline nitrous oxide emission factor for processing for electricity</t>
  </si>
  <si>
    <t>Baseline methane emission factor for processing for electricity</t>
  </si>
  <si>
    <t>Baseline carbon dioxide emission factor for processing for electricity</t>
  </si>
  <si>
    <t>Baseline nitrous oxide emission factor for processing for ethanol</t>
  </si>
  <si>
    <t>Baseline methane emission factor for processing for ethanol</t>
  </si>
  <si>
    <t>Baseline carbon dioxide emission factor for processing for ethanol</t>
  </si>
  <si>
    <t>Baseline nitrous oxide emission factor for processing for LPG</t>
  </si>
  <si>
    <t>Baseline methane emission factor for processing for LPG</t>
  </si>
  <si>
    <t>Baseline carbon dioxide emission factor for processing for LPG</t>
  </si>
  <si>
    <t>Baseline nitrous oxide emission factor for processing for kerosene</t>
  </si>
  <si>
    <t>Baseline methane emission factor for processing for kerosene</t>
  </si>
  <si>
    <t>Baseline carbon dioxide emission factor for processing for kerosene</t>
  </si>
  <si>
    <t>Baseline nitrous oxide emission factor for processing for charcoal</t>
  </si>
  <si>
    <t>Baseline methane emission factor for processing for charcoal</t>
  </si>
  <si>
    <t>Baseline carbon dioxide emission factor for processing for charcoal</t>
  </si>
  <si>
    <t>Baseline nitrous oxide emission factor for processing for firewood</t>
  </si>
  <si>
    <t xml:space="preserve">Baseline methane emission factor for processing for firewood </t>
  </si>
  <si>
    <t>Baseline carbon dioxide emission factor for processing for firewood</t>
  </si>
  <si>
    <t>Baseline nitrous oxide emission factor for distribution for pellets</t>
  </si>
  <si>
    <t>Baseline methane emission factor for distribution for pellets</t>
  </si>
  <si>
    <t>Baseline carbon dioxide emission factor for distribution for pellets</t>
  </si>
  <si>
    <t>Baseline nitrous oxide emission factor for distribution for electric</t>
  </si>
  <si>
    <t>Baseline methane emission factor for distribution for electric</t>
  </si>
  <si>
    <t>Baseline carbon dioxide emission factor for distribution for electric</t>
  </si>
  <si>
    <t>Baseline nitrous oxide emission factor for distribution for ethanol</t>
  </si>
  <si>
    <t>Baseline methane emission factor for distribution for ethanol</t>
  </si>
  <si>
    <t>Baseline carbon dioxide emission factor for distribution for ethanol</t>
  </si>
  <si>
    <t>Baseline nitrous oxide emission factor for distribution for LPG</t>
  </si>
  <si>
    <t>Baseline methane emission factor for distribution for LPG</t>
  </si>
  <si>
    <t>Baseline carbon dioxide emission factor for distribution for LPG</t>
  </si>
  <si>
    <t>Baseline nitrous oxide emission factor for distribution for kerosene</t>
  </si>
  <si>
    <t>Baseline methane emission factor for distribution for kerosene</t>
  </si>
  <si>
    <t>Baseline carbon dioxide emission factor for distribution for kerosene</t>
  </si>
  <si>
    <t>Baseline nitrous oxide emission factor for distribution for charcoal</t>
  </si>
  <si>
    <t>Baseline methane emission factor for distribution for charcoal</t>
  </si>
  <si>
    <t>Baseline carbon dioxide emission factor for distribution for charcoal</t>
  </si>
  <si>
    <t xml:space="preserve">Baseline nitrous oxide emission factor for distribution for  firewood </t>
  </si>
  <si>
    <t xml:space="preserve">Baseline methane emission factor for distribution for firewood </t>
  </si>
  <si>
    <t>Baseline carbon dioxide emission factor for distribution for firewood</t>
  </si>
  <si>
    <t xml:space="preserve">Baseline nitrous oxide emission factor for feedstock production for </t>
  </si>
  <si>
    <t xml:space="preserve">Baseline methane emission factor for feedstock production for </t>
  </si>
  <si>
    <t xml:space="preserve">Baseline carbon dioxide emission factor for feedstock production for </t>
  </si>
  <si>
    <t>Baseline nitrous oxide emission factor for feedstock production for LPG</t>
  </si>
  <si>
    <t>Baseline methane emission factor for feedstock production for LPG</t>
  </si>
  <si>
    <t>Baseline carbon dioxide emission factor for feedstock production for LPG</t>
  </si>
  <si>
    <t>Baseline nitrous oxide emission factor for feedstock production for kerosene</t>
  </si>
  <si>
    <t>Baseline methane emission factor for feedstock production for kerosene</t>
  </si>
  <si>
    <t>Baseline carbon dioxide emission factor for feedstock production for kerosene</t>
  </si>
  <si>
    <t>Baseline nitrous oxide emission factor for feedstock production for charcoal</t>
  </si>
  <si>
    <t>Baseline methane emission factor for feedstock production for charcoal</t>
  </si>
  <si>
    <t>Baseline carbon dioxide emission factor for feedstock production for charcoal</t>
  </si>
  <si>
    <t>Baseline nitrous oxide emission factor for feedstock production for firewood</t>
  </si>
  <si>
    <t>Baseline methane emission factor for feedstock production for firewood</t>
  </si>
  <si>
    <t>Baseline carbon dioxide emission factor for feedstock production for firewood</t>
  </si>
  <si>
    <t xml:space="preserve">Baseline nitrous oxide emission factor for stove production for </t>
  </si>
  <si>
    <t xml:space="preserve">Baseline methane emission factor for stove production for </t>
  </si>
  <si>
    <t xml:space="preserve">Baseline carbon dioxide emission factor for stove production for </t>
  </si>
  <si>
    <t>Baseline nitrous oxide emission factor for stove production for LPG</t>
  </si>
  <si>
    <t>Baseline methane emission factor for stove production for LPG</t>
  </si>
  <si>
    <t>Baseline carbon dioxide emission factor for stove production for LPG</t>
  </si>
  <si>
    <t>Baseline nitrous oxide emission factor for stove production for kerosene</t>
  </si>
  <si>
    <t>Baseline methane emission factor for stove production for kerosene</t>
  </si>
  <si>
    <t>Baseline carbon dioxide emission factor for stove production for kerosene</t>
  </si>
  <si>
    <t>Baseline nitrous oxide emission factor for stove production for charcoal</t>
  </si>
  <si>
    <t>Baseline methane emission factor for stove production for charcoal</t>
  </si>
  <si>
    <t>Baseline carbon dioxide emission factor for stove production for charcoal</t>
  </si>
  <si>
    <t>Baseline nitrous oxide emission factor for stove production for firewood</t>
  </si>
  <si>
    <t xml:space="preserve">Baseline methane emission factor for stove production for firewood </t>
  </si>
  <si>
    <t>Baseline carbon dioxide emission factor for stove production for  firewood</t>
  </si>
  <si>
    <t>Baseline non-carbon dioxide emission factor for pellets</t>
  </si>
  <si>
    <t>Baseline non-carbon dioxide emission factor for electric</t>
  </si>
  <si>
    <t>Baseline non-carbon dioxide emission factor for ethanol</t>
  </si>
  <si>
    <t>Baseline non-carbon dioxide emission factor for LPG</t>
  </si>
  <si>
    <t>Baseline non-carbon dioxide emission factor for kerosene</t>
  </si>
  <si>
    <t>Baseline non-carbon dioxide emission factor for charcoal</t>
  </si>
  <si>
    <t>Baseline non-carbon dioxide emission factor for firewood</t>
  </si>
  <si>
    <t>Baseline carbon dioxide emission factor for pellets</t>
  </si>
  <si>
    <t>Baseline carbon dioxide emission factor for elecricity</t>
  </si>
  <si>
    <t>Baseline carbon dioxide emission factor for ethanol</t>
  </si>
  <si>
    <t>Baseline carbon dioxide emission factor for LPG</t>
  </si>
  <si>
    <t>Baseline carbon dioxide emission factor for kerosene</t>
  </si>
  <si>
    <t>Baseline carbon dioxide emission factor for charcoal</t>
  </si>
  <si>
    <t>Baseline carbon dioxide emission factor for firewood</t>
  </si>
  <si>
    <t>Baseline net calorific value of pellets</t>
  </si>
  <si>
    <t>Baseline net calorific value of ethanol</t>
  </si>
  <si>
    <t>Baseline net calorific value of LPG</t>
  </si>
  <si>
    <t>Baseline net calorific value of kerosene</t>
  </si>
  <si>
    <t>Baseline net calorific value of charcoal</t>
  </si>
  <si>
    <t>Baseline net calorific value of firewood</t>
  </si>
  <si>
    <t xml:space="preserve">The efficiency of the commercial pellets baseline stove </t>
  </si>
  <si>
    <t xml:space="preserve">The efficiency of the commercial electric baseline stove </t>
  </si>
  <si>
    <t xml:space="preserve">The efficiency of the commercial ethanol baseline stove </t>
  </si>
  <si>
    <t xml:space="preserve">The efficiency of the commercial LPG baseline stove </t>
  </si>
  <si>
    <t xml:space="preserve">The efficiency of the commercial kerosene baseline stove </t>
  </si>
  <si>
    <t xml:space="preserve">The efficiency of the commercial charcoal baseline stove </t>
  </si>
  <si>
    <t xml:space="preserve">The efficiency of the commercial firewood baseline stove </t>
  </si>
  <si>
    <t xml:space="preserve">The efficiency of the domestic pellets baseline stove </t>
  </si>
  <si>
    <t xml:space="preserve">The efficiency of the domestic electric baseline stove </t>
  </si>
  <si>
    <t xml:space="preserve">The efficiency of the domesticethanol baseline stove </t>
  </si>
  <si>
    <t xml:space="preserve">The efficiency of the domestic LPG baseline stove </t>
  </si>
  <si>
    <t xml:space="preserve">The efficiency of the domestickerosene baseline stove </t>
  </si>
  <si>
    <t xml:space="preserve">The efficiency of the domestic charcoal baseline stove </t>
  </si>
  <si>
    <t xml:space="preserve">The efficiency of the domestic firewood baseline stove </t>
  </si>
  <si>
    <t xml:space="preserve">The number of kilograms of biomass pellets per day per commercial device in the baseline scenario </t>
  </si>
  <si>
    <t xml:space="preserve">The number of kWh of electricity per day per commercial device in the baseline scenario </t>
  </si>
  <si>
    <t>The density of ethanol</t>
  </si>
  <si>
    <t>The density of kerosene</t>
  </si>
  <si>
    <t xml:space="preserve">The number of kilograms of biomass pellets per day per domestic device in the baseline scenario </t>
  </si>
  <si>
    <t xml:space="preserve">The number of kWh of electricity per day per domestic device in the baseline scenario </t>
  </si>
  <si>
    <t xml:space="preserve">The number of liters of ethanol per day per domestic device in the baseline scenario </t>
  </si>
  <si>
    <t xml:space="preserve">The number of kilograms of LPG per day per domestic device in the baseline scenario </t>
  </si>
  <si>
    <t xml:space="preserve">The number of kilograms of kerosene per day per domestic device in the baseline scenario </t>
  </si>
  <si>
    <t xml:space="preserve">The number of kilograms of charcoal per day per domestic device in the baseline scenario </t>
  </si>
  <si>
    <t xml:space="preserve">The number of kilograms of firewood per day per domestic device in the baseline scenario </t>
  </si>
  <si>
    <t>Number of days the commercial stoves operated within this monitoring period or PDD to create this amount of VERs. This value is 1 if n_devices is actually entered as stove-days.</t>
  </si>
  <si>
    <t>Number of days the domestic stoves operated within this monitoring period or PDD to create this amount of VERs. This value is 1 if n_devices is actually entered as stove-days.</t>
  </si>
  <si>
    <t>Number of commercial stoves</t>
  </si>
  <si>
    <t xml:space="preserve">Number of domestic stoves </t>
  </si>
  <si>
    <t>The expected fraction of non-renewable biomass estimated by Bailis et al. 2015 in the "Scenario B: Low Yield Scenario" for the project's boundary</t>
  </si>
  <si>
    <t>The mimimum fraction of non-renewable biomass estimated by Bailis et al. 2015 in the "Scenario B: Low Yield Scenario" for the project's boundary</t>
  </si>
  <si>
    <t>The fraction of non-renewable biomass used by the project</t>
  </si>
  <si>
    <t xml:space="preserve">Country the project operates in </t>
  </si>
  <si>
    <t xml:space="preserve">Region the project operates in </t>
  </si>
  <si>
    <t>Number of countries under the project</t>
  </si>
  <si>
    <t>Specifies the project stove type and if CDM or GS</t>
  </si>
  <si>
    <t>Total verified credits per stove per day</t>
  </si>
  <si>
    <t>tCO2e/stove/day</t>
  </si>
  <si>
    <t>Total verified credits either in the monitoring period, PDD, etc.</t>
  </si>
  <si>
    <t>Organizes the projects by project fuel type: firewood, charcoal, both firewood &amp; charcoal, or switch (i.e., LPG, ethanol, pellets)</t>
  </si>
  <si>
    <t xml:space="preserve">Some projects calculate their emissions by stove-cohort, thus we separate out project monitoring reports by stove and year combination </t>
  </si>
  <si>
    <t>Specifies which monitoring period these numbers are from or if we had to draw from the project design document (PDD) if no monitoring periods were available</t>
  </si>
  <si>
    <t>Project id on Gold Standard or Verra</t>
  </si>
  <si>
    <t>Explanation</t>
  </si>
  <si>
    <t>Unit</t>
  </si>
  <si>
    <t>Variable</t>
  </si>
  <si>
    <t>Explanation of each variable</t>
  </si>
  <si>
    <t>A percent adjustment for projects that do not use kitchen performance tests to calculate project fuel consumption to account for the rebound effect</t>
  </si>
  <si>
    <t>Percent of the domestic baseline consumption that is firewood</t>
  </si>
  <si>
    <t>Percent of the domestic baseline consumption that is charcoal</t>
  </si>
  <si>
    <t>Percent of the domestic baseline consumption that is kerosene</t>
  </si>
  <si>
    <t>Percent of the domestic baseline consumption that is LPG</t>
  </si>
  <si>
    <t>Percent of the domestic baseline consumption that is electricity</t>
  </si>
  <si>
    <t>Percent of the domestic baseline consumption that is ethanol</t>
  </si>
  <si>
    <t>Percent of the domestic baseline consumption that is pellets</t>
  </si>
  <si>
    <t>Percent of the commercial baseline consumption that is firewood</t>
  </si>
  <si>
    <t>Percent of the commercial baseline consumption that is charcoal</t>
  </si>
  <si>
    <t>Percent of the commercial baseline consumption that is kerosene</t>
  </si>
  <si>
    <t>Percent of the commercial baseline consumption that is LPG</t>
  </si>
  <si>
    <t>Percent of the commercial baseline consumption that is ethanol</t>
  </si>
  <si>
    <t>Percent of the commercial baseline consumption that is electricity</t>
  </si>
  <si>
    <t>Percent of the commercial baseline consumption that is pellets</t>
  </si>
  <si>
    <t>Percent of the domestic project consumption that is firewood</t>
  </si>
  <si>
    <t>Percent of the domestic project consumption that is charcoal</t>
  </si>
  <si>
    <t>Percent of the domestic project consumption that is kerosene</t>
  </si>
  <si>
    <t>Percent of the domestic project consumption that is LPG</t>
  </si>
  <si>
    <t>Percent of the domestic project consumption that is ethanol</t>
  </si>
  <si>
    <t>Percent of the domestic project consumption that is electricity</t>
  </si>
  <si>
    <t>Percent of the domestic project consumption that is pellets</t>
  </si>
  <si>
    <t>Percent of the commercial project consumption that is firewood</t>
  </si>
  <si>
    <t>Percent of the commercial project consumption that is charcoal</t>
  </si>
  <si>
    <t>Percent of the commercial project consumption that is kerosene</t>
  </si>
  <si>
    <t>Percent of the commercial project consumption that is LPG</t>
  </si>
  <si>
    <t>Percent of the commercial project consumption that is electricity</t>
  </si>
  <si>
    <t>Percent of the commercial project consumption that is ethanol</t>
  </si>
  <si>
    <t>Percent of the commercial project consumption that is pellets</t>
  </si>
  <si>
    <t>Specific version of the protocol</t>
  </si>
  <si>
    <t>Broad category of protocol that the project is registered under</t>
  </si>
  <si>
    <t>Province (or other adminstrative unit) the project operates in</t>
  </si>
  <si>
    <t>Average household size in the country as of the most recent DHS survey</t>
  </si>
  <si>
    <t>Protocol ID</t>
  </si>
  <si>
    <t>Gold Standard “Methodology for metered &amp; measured energy cooking devices”1, version 1.0 </t>
  </si>
  <si>
    <t>project_stacking</t>
  </si>
  <si>
    <t>project_stacking_commercial</t>
  </si>
  <si>
    <t>MR 3 -2019</t>
  </si>
  <si>
    <t>MR 3- 2020</t>
  </si>
  <si>
    <t>verified_credits_per_stove_manual</t>
  </si>
  <si>
    <t>All data are from registry project documents (see links in the database). Explanation tab outlines the adjustments made specifically for the analysis isolating the emission factor correction</t>
  </si>
  <si>
    <t xml:space="preserve">     All values used in anlayzing the sample of projects included in Gill-Wiehl et al. Pervasive over-crediting from cookstove offset protocols in the analysis for the analysis isolating the emission factor correction</t>
  </si>
  <si>
    <t xml:space="preserve">No adjustment from project recreation </t>
  </si>
  <si>
    <t xml:space="preserve">Given the interesting approach the Metered methodology takes, we revert back to the charcoal and LPG baseline values and pellet project values cited in the project's excel. </t>
  </si>
  <si>
    <t>Scenario only correcting emission factor explanation</t>
  </si>
  <si>
    <t xml:space="preserve">The projects assume 0 project emissions as the feedstock is renewable and thus  we now include the PDD's estimates of ethanol usage in this scenario to implement our EF from the literature. </t>
  </si>
  <si>
    <t>Gold Standard VER Methodology "The Gold Standard simplified methodology for efficient cook stoves" – February 2013</t>
  </si>
  <si>
    <t xml:space="preserve">GS 2896 </t>
  </si>
  <si>
    <t>MR 2019-2020</t>
  </si>
  <si>
    <t>gs_simple_firewood</t>
  </si>
  <si>
    <t>El Fasher and El Kuma localities in the southern portion of Shamal (Northern) Darfur province. </t>
  </si>
  <si>
    <t>The Gold Standard Simplified Methodology for Efficient Cookstoves (February 2013)</t>
  </si>
  <si>
    <t xml:space="preserve">GS 3422 </t>
  </si>
  <si>
    <t>5th MR 2020</t>
  </si>
  <si>
    <t>Oromia and Somali Regional States</t>
  </si>
  <si>
    <t>GS 2456</t>
  </si>
  <si>
    <t>6th MR</t>
  </si>
  <si>
    <t>AG 4-5</t>
  </si>
  <si>
    <t xml:space="preserve">Burkina Faso </t>
  </si>
  <si>
    <t>Bam and Loroum</t>
  </si>
  <si>
    <t>AG 3-4</t>
  </si>
  <si>
    <t>AG 2-3</t>
  </si>
  <si>
    <t>AG 1-2</t>
  </si>
  <si>
    <t>Gold Standard Simplified Methodology for Efficient Cookstoves - Version 1</t>
  </si>
  <si>
    <t>AG 0-1</t>
  </si>
  <si>
    <t>The Gold Standard
Simplified Methodology for Efficient Cookstoves
Version 01</t>
  </si>
  <si>
    <t>GS 1028</t>
  </si>
  <si>
    <t>South America</t>
  </si>
  <si>
    <t>Brazil</t>
  </si>
  <si>
    <t xml:space="preserve"> the municipalities of Conceição do Almeida, Dom Macedo Costa, Muniz Ferreira and Sapeaçú. , Rovacon region, Bahia</t>
  </si>
  <si>
    <t>“The Gold Standard Simplified Methodology for Efficient Cookstoves” February 2013</t>
  </si>
  <si>
    <t>GS 3018</t>
  </si>
  <si>
    <t>2nd MR 2015-2017</t>
  </si>
  <si>
    <t>Age 1-2</t>
  </si>
  <si>
    <t>districts Doti, Dadeldhura, Baitadi, Achham, Darchula, Bajhang &amp; Bajura (in color) in which ICS may be installed. </t>
  </si>
  <si>
    <t>Age 2-3</t>
  </si>
  <si>
    <t>Age 3-4</t>
  </si>
  <si>
    <t>GS 2896</t>
  </si>
  <si>
    <t>GS 3422</t>
  </si>
  <si>
    <t>GS TPDDTEC v 1</t>
  </si>
  <si>
    <t>GS 3071</t>
  </si>
  <si>
    <t>MP 1</t>
  </si>
  <si>
    <t>Cameroon</t>
  </si>
  <si>
    <t>Western Cameroon</t>
  </si>
  <si>
    <t>GS TPDDTEC v 3.1</t>
  </si>
  <si>
    <t>GS 10777</t>
  </si>
  <si>
    <t>MR 2023</t>
  </si>
  <si>
    <t>Maputo Province</t>
  </si>
  <si>
    <t>GS 10886</t>
  </si>
  <si>
    <t>MR1</t>
  </si>
  <si>
    <t>Zambia_tot</t>
  </si>
  <si>
    <t>GS TPDDTEC v 2</t>
  </si>
  <si>
    <t>GS 5107</t>
  </si>
  <si>
    <t>MP2 2018-2019</t>
  </si>
  <si>
    <t>Peru</t>
  </si>
  <si>
    <t>Huancavelica and Ayacucho regions</t>
  </si>
  <si>
    <t>AMS-II.G. Version 3</t>
  </si>
  <si>
    <t>GS 11195</t>
  </si>
  <si>
    <t>MR4</t>
  </si>
  <si>
    <t>Kenya_tot</t>
  </si>
  <si>
    <t>AMS-II.G. Version 11.1</t>
  </si>
  <si>
    <t>GS 2077</t>
  </si>
  <si>
    <t xml:space="preserve">MR 2018-2020 </t>
  </si>
  <si>
    <t>2018 vintage</t>
  </si>
  <si>
    <t>Solola State</t>
  </si>
  <si>
    <t>AMS-II.G. Version 1</t>
  </si>
  <si>
    <t>GS 411</t>
  </si>
  <si>
    <t>MR5</t>
  </si>
  <si>
    <t>Benue
Enugu
Kaduna
Kogi
Kwara
Nasarawa
Niger
Oyo
Plateau
Taraba
Federal Capital</t>
  </si>
  <si>
    <t>AMS-II.G. Version 12</t>
  </si>
  <si>
    <t>GS 10914</t>
  </si>
  <si>
    <t>MP2</t>
  </si>
  <si>
    <t>GS 10781</t>
  </si>
  <si>
    <t>MP6</t>
  </si>
  <si>
    <t>province of Nahouri,</t>
  </si>
  <si>
    <t>GS 5660</t>
  </si>
  <si>
    <t>Mandalay Region in central part of Myanmar. </t>
  </si>
  <si>
    <t>total_verified_credits</t>
  </si>
  <si>
    <t>stove_days</t>
  </si>
  <si>
    <t>stove-days</t>
  </si>
  <si>
    <t>Project data with adjusting emission factors: Analyzing project verified emission reductions (VERs) included in Gill-Wiehl et al. Pervasive over-crediting from cookstove offset protocols after adjusting emission factors</t>
  </si>
  <si>
    <t xml:space="preserve">Gill-Wiehl et al. Pervasive over-crediting from cookstove offset protocols. https://github.com/agillwiehl/GillWiehl_et_al_Pervasive_over_crediting </t>
  </si>
  <si>
    <t xml:space="preserve">     Version  - December 12th,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</si>
</sst>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0"/>
  </numFmts>
  <fonts count="1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b/>
      <sz val="14"/>
      <color rgb="FF3B7ED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9" fillId="0" borderId="0" xfId="0" applyFont="1"/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3" fontId="12" fillId="0" borderId="0" xfId="0" applyNumberFormat="1" applyFont="1" applyFill="1" applyBorder="1" applyAlignment="1">
      <alignment vertical="top"/>
    </xf>
    <xf numFmtId="1" fontId="12" fillId="0" borderId="0" xfId="0" applyNumberFormat="1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1" fontId="12" fillId="0" borderId="0" xfId="0" applyNumberFormat="1" applyFont="1" applyFill="1" applyBorder="1" applyAlignment="1">
      <alignment horizontal="right" vertical="top"/>
    </xf>
    <xf numFmtId="2" fontId="12" fillId="0" borderId="0" xfId="0" applyNumberFormat="1" applyFont="1" applyFill="1" applyBorder="1" applyAlignment="1">
      <alignment vertical="top"/>
    </xf>
    <xf numFmtId="164" fontId="12" fillId="0" borderId="0" xfId="0" applyNumberFormat="1" applyFont="1" applyFill="1" applyBorder="1" applyAlignment="1">
      <alignment vertical="top"/>
    </xf>
    <xf numFmtId="165" fontId="12" fillId="0" borderId="0" xfId="0" applyNumberFormat="1" applyFont="1" applyFill="1" applyBorder="1" applyAlignment="1">
      <alignment vertical="top"/>
    </xf>
    <xf numFmtId="166" fontId="12" fillId="0" borderId="0" xfId="0" applyNumberFormat="1" applyFont="1" applyFill="1" applyBorder="1" applyAlignment="1">
      <alignment vertical="top"/>
    </xf>
    <xf numFmtId="10" fontId="12" fillId="0" borderId="0" xfId="0" applyNumberFormat="1" applyFont="1" applyFill="1" applyBorder="1" applyAlignment="1">
      <alignment vertical="top"/>
    </xf>
    <xf numFmtId="2" fontId="9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</cellXfs>
  <cellStyles count="4">
    <cellStyle name="Normal" xfId="0" builtinId="0"/>
    <cellStyle name="Normal 10 2" xfId="3" xr:uid="{DEA6BC92-F607-0F47-B67C-5B644EF6F98E}"/>
    <cellStyle name="Normal 2" xfId="1" xr:uid="{4C70AA78-1169-B942-B7B6-6DE912AD477B}"/>
    <cellStyle name="Normal 2 2" xfId="2" xr:uid="{8F423DB9-8331-B144-AD9D-E77F78B13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nelisewiehl/Downloads/gs2758_VP12-01%20ER%20Calculations%2012%20Apr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Assumption"/>
      <sheetName val="Fuelwood Consumption Year 1"/>
      <sheetName val="Drop-off "/>
      <sheetName val="ER Sheet"/>
    </sheetNames>
    <sheetDataSet>
      <sheetData sheetId="0"/>
      <sheetData sheetId="1">
        <row r="7">
          <cell r="E7">
            <v>1.8599999999999998E-2</v>
          </cell>
        </row>
      </sheetData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nnelise Gill-Wiehl" id="{4A761032-C62B-0541-91EF-D9883FE507CF}" userId="S::agillwiehl@BERKELEY.EDU::01b545d4-4f26-4ffd-9030-e0ecbc2e39f5" providerId="AD"/>
  <person displayName="Annelise Gill-Wiehl" id="{552FB76A-FCAD-6D43-BEE9-ADA0EA4A34EC}" userId="S::agillwiehl@berkeley.edu::01b545d4-4f26-4ffd-9030-e0ecbc2e39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V6" dT="2023-09-27T22:36:41.27" personId="{4A761032-C62B-0541-91EF-D9883FE507CF}" id="{64D66CE3-EB78-7443-9A86-40F1AC7DC390}">
    <text>From 10884</text>
  </threadedComment>
  <threadedComment ref="EM6" dT="2023-09-27T22:54:17.40" personId="{4A761032-C62B-0541-91EF-D9883FE507CF}" id="{100716C0-93B4-ED40-B887-651586DF19BB}">
    <text>Took 2022 projection</text>
  </threadedComment>
  <threadedComment ref="AQ15" dT="2022-04-25T02:49:30.28" personId="{552FB76A-FCAD-6D43-BEE9-ADA0EA4A34EC}" id="{6993682F-4077-5549-BB61-21E2676A242A}">
    <text>In PDD list out the specific providence; but then use one fNRB value in MR</text>
  </threadedComment>
  <threadedComment ref="CH20" dT="2022-11-28T06:34:26.07" personId="{552FB76A-FCAD-6D43-BEE9-ADA0EA4A34EC}" id="{55746310-44AA-A74A-99DF-338D05AB7165}">
    <text>Adjusted as this total number of stoves wasn’t deployed day 1 of the Monitoring Period</text>
  </threadedComment>
  <threadedComment ref="AZ22" dT="2022-05-07T03:08:50.40" personId="{552FB76A-FCAD-6D43-BEE9-ADA0EA4A34EC}" id="{CA857FE8-659E-1849-8EAA-4E2023FD0FAF}">
    <text>Stoves is actually stove-days</text>
  </threadedComment>
  <threadedComment ref="DG320" dT="2022-07-31T06:22:57.91" personId="{552FB76A-FCAD-6D43-BEE9-ADA0EA4A34EC}" id="{57B0965D-19F4-3E4C-9174-ED95DF756E89}">
    <text>Usage combined with their eligibility rate</text>
  </threadedComment>
  <threadedComment ref="BK329" dT="2022-07-29T10:27:01.92" personId="{552FB76A-FCAD-6D43-BEE9-ADA0EA4A34EC}" id="{91AEAE9A-8A29-7F44-9AD1-50A3A40171BE}">
    <text xml:space="preserve">This is double counting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3563-E0C0-5943-B0C9-639F73D7DFD1}">
  <dimension ref="A1:MQ153"/>
  <sheetViews>
    <sheetView tabSelected="1" zoomScale="90" zoomScaleNormal="90" workbookViewId="0">
      <selection activeCell="A2" sqref="A2"/>
    </sheetView>
  </sheetViews>
  <sheetFormatPr baseColWidth="10" defaultRowHeight="16" x14ac:dyDescent="0.2"/>
  <sheetData>
    <row r="1" spans="1:355" x14ac:dyDescent="0.2">
      <c r="A1" t="str" cm="1">
        <f t="array" ref="A1:MQ153">TRANSPOSE(vertical_input!A1:EW355)</f>
        <v>protocol_type</v>
      </c>
      <c r="B1" t="str">
        <v>protocol_version</v>
      </c>
      <c r="C1" t="str">
        <v>protocol_id</v>
      </c>
      <c r="D1" t="str">
        <v>monitoring_period</v>
      </c>
      <c r="E1" t="str">
        <v>stove_year_cohort</v>
      </c>
      <c r="F1" t="str">
        <v>total_verified_credits</v>
      </c>
      <c r="G1" t="str">
        <v>type</v>
      </c>
      <c r="H1" t="str">
        <v>verified_credits</v>
      </c>
      <c r="I1" t="str">
        <v>verified_credits_per_stove_manual</v>
      </c>
      <c r="J1" t="str">
        <v>verified_credits_per_stove</v>
      </c>
      <c r="K1" t="str">
        <v>stove</v>
      </c>
      <c r="L1" t="str">
        <v>num_countries</v>
      </c>
      <c r="M1" t="str">
        <v>region</v>
      </c>
      <c r="N1" t="str">
        <v>country</v>
      </c>
      <c r="O1" t="str">
        <v>prov_project</v>
      </c>
      <c r="P1" t="str">
        <v>av_hhsize</v>
      </c>
      <c r="Q1" t="str">
        <v>fNRB_project</v>
      </c>
      <c r="R1" t="str">
        <v>mfNRB_bailis</v>
      </c>
      <c r="S1" t="str">
        <v>expfNRB_bailis</v>
      </c>
      <c r="T1" t="str">
        <v>n_devices_domestic</v>
      </c>
      <c r="U1" t="str">
        <v>n_devices_commercial</v>
      </c>
      <c r="V1" t="str">
        <v>project_days</v>
      </c>
      <c r="W1" t="str">
        <v>project_days_commercial</v>
      </c>
      <c r="X1" t="str">
        <v>stove_days</v>
      </c>
      <c r="Y1" t="str">
        <v>prc_firewood_baseline</v>
      </c>
      <c r="Z1" t="str">
        <v>prc_charcoal_baseline</v>
      </c>
      <c r="AA1" t="str">
        <v>prc_kerosene_baseline</v>
      </c>
      <c r="AB1" t="str">
        <v>prc_lpg_baseline</v>
      </c>
      <c r="AC1" t="str">
        <v>prc_ethanol_baseline</v>
      </c>
      <c r="AD1" t="str">
        <v>prc_electric_baseline</v>
      </c>
      <c r="AE1" t="str">
        <v>prc_pellets_baseline</v>
      </c>
      <c r="AF1" t="str">
        <v>prc_firewood_baseline_commercial</v>
      </c>
      <c r="AG1" t="str">
        <v>prc_charcoal_baseline_commercial</v>
      </c>
      <c r="AH1" t="str">
        <v>prc_kerosene_baseline_commercial</v>
      </c>
      <c r="AI1" t="str">
        <v>prc_lpg_baseline_commercial</v>
      </c>
      <c r="AJ1" t="str">
        <v>prc_ethanol_baseline_commercial</v>
      </c>
      <c r="AK1" t="str">
        <v>prc_electric_baseline_commercial</v>
      </c>
      <c r="AL1" t="str">
        <v>prc_pellets_baseline_commercial</v>
      </c>
      <c r="AM1" t="str">
        <v>kg_firewood_baseline</v>
      </c>
      <c r="AN1" t="str">
        <v>kg_charcoal_baseline</v>
      </c>
      <c r="AO1" t="str">
        <v>kg_kerosene_baseline</v>
      </c>
      <c r="AP1" t="str">
        <v>kg_lpg_baseline</v>
      </c>
      <c r="AQ1" t="str">
        <v>l_ethanol_baseline</v>
      </c>
      <c r="AR1" t="str">
        <v>kWh_electric_baseline</v>
      </c>
      <c r="AS1" t="str">
        <v>kg_pellets_baseline</v>
      </c>
      <c r="AT1" t="str">
        <v>kg_per_liter_kerosene_baseline</v>
      </c>
      <c r="AU1" t="str">
        <v>kg_per_liter_ethanol_baseline</v>
      </c>
      <c r="AV1" t="str">
        <v>kg_firewood_baseline_commercial</v>
      </c>
      <c r="AW1" t="str">
        <v>kg_charcoal_baseline_commercial</v>
      </c>
      <c r="AX1" t="str">
        <v>kg_kerosene_baseline_commercial</v>
      </c>
      <c r="AY1" t="str">
        <v>kg_lpg_baseline_commercial</v>
      </c>
      <c r="AZ1" t="str">
        <v>l_ethanol_baseline_commercial</v>
      </c>
      <c r="BA1" t="str">
        <v>kWh_electric_baseline_commercial</v>
      </c>
      <c r="BB1" t="str">
        <v>kg_pellets_baseline_commercial</v>
      </c>
      <c r="BC1" t="str">
        <v>eff_firewood_baseline</v>
      </c>
      <c r="BD1" t="str">
        <v>eff_charcoal_baseline</v>
      </c>
      <c r="BE1" t="str">
        <v>eff_kerosene_baseline</v>
      </c>
      <c r="BF1" t="str">
        <v>eff_LPG_baseline</v>
      </c>
      <c r="BG1" t="str">
        <v>eff_ethanol_baseline</v>
      </c>
      <c r="BH1" t="str">
        <v>eff_electric_baseline</v>
      </c>
      <c r="BI1" t="str">
        <v>eff_pellets_baseline</v>
      </c>
      <c r="BJ1" t="str">
        <v>eff_firewood_baseline_commercial</v>
      </c>
      <c r="BK1" t="str">
        <v>eff_charcoal_baseline_commercial</v>
      </c>
      <c r="BL1" t="str">
        <v>eff_kerosene_baseline_commercial</v>
      </c>
      <c r="BM1" t="str">
        <v>eff_LPG_baseline_commercial</v>
      </c>
      <c r="BN1" t="str">
        <v>eff_ethanol_baseline_commercial</v>
      </c>
      <c r="BO1" t="str">
        <v>eff_electric_baseline_commercial</v>
      </c>
      <c r="BP1" t="str">
        <v>eff_pellet_baseline_commercial</v>
      </c>
      <c r="BQ1" t="str">
        <v>ncv_firewood_baseline</v>
      </c>
      <c r="BR1" t="str">
        <v>ncv_charcoal_baseline</v>
      </c>
      <c r="BS1" t="str">
        <v>ncv_kerosene_baseline</v>
      </c>
      <c r="BT1" t="str">
        <v>ncv_LPG_baseline</v>
      </c>
      <c r="BU1" t="str">
        <v>ncv_ethanol_baseline</v>
      </c>
      <c r="BV1" t="str">
        <v>ncv_pellets_baseline</v>
      </c>
      <c r="BW1" t="str">
        <v>co2_ef_firewood</v>
      </c>
      <c r="BX1" t="str">
        <v>co2_ef_charcoal</v>
      </c>
      <c r="BY1" t="str">
        <v>co2_ef_kerosene</v>
      </c>
      <c r="BZ1" t="str">
        <v>co2_ef_LPG</v>
      </c>
      <c r="CA1" t="str">
        <v>co2_ef_ethanol</v>
      </c>
      <c r="CB1" t="str">
        <v>co2_ef_electric</v>
      </c>
      <c r="CC1" t="str">
        <v>co2_ef_pellets</v>
      </c>
      <c r="CD1" t="str">
        <v>nonco2_ef_firewood</v>
      </c>
      <c r="CE1" t="str">
        <v>nonco2_ef_charcoal</v>
      </c>
      <c r="CF1" t="str">
        <v>nonco2_ef_kerosene</v>
      </c>
      <c r="CG1" t="str">
        <v>nonco2_ef_LPG</v>
      </c>
      <c r="CH1" t="str">
        <v>nonco2_ef_ethanol</v>
      </c>
      <c r="CI1" t="str">
        <v>nonco2_ef_electric</v>
      </c>
      <c r="CJ1" t="str">
        <v>nonco2_ef_pellets</v>
      </c>
      <c r="CK1" t="str">
        <v>stoveproduction_ef_co2_firewood_baseline</v>
      </c>
      <c r="CL1" t="str">
        <v>stoveproduction_ef_ch4_firewood_baseline</v>
      </c>
      <c r="CM1" t="str">
        <v>stoveproduction_ef_n2O_firewood_baseline</v>
      </c>
      <c r="CN1" t="str">
        <v>stoveproduction_ef_co2_charcoal_baseline</v>
      </c>
      <c r="CO1" t="str">
        <v>stoveproduction_ef_ch4_charcoal_baseline</v>
      </c>
      <c r="CP1" t="str">
        <v>stoveproduction_ef_n2O_charcoal_baseline</v>
      </c>
      <c r="CQ1" t="str">
        <v>stoveproduction_ef_co2_kerosene_baseline</v>
      </c>
      <c r="CR1" t="str">
        <v>stoveproduction_ef_ch4_kerosene_baseline</v>
      </c>
      <c r="CS1" t="str">
        <v>stoveproduction_ef_n2O_kerosene_baseline</v>
      </c>
      <c r="CT1" t="str">
        <v>stoveproduction_ef_co2_LPG_baseline</v>
      </c>
      <c r="CU1" t="str">
        <v>stoveproduction_ef_ch4_LPG_baseline</v>
      </c>
      <c r="CV1" t="str">
        <v>stoveproduction_ef_n2O_LPG_baseline</v>
      </c>
      <c r="CW1" t="str">
        <v>stoveproduction_ef_co2_ethanol_baseline</v>
      </c>
      <c r="CX1" t="str">
        <v>stoveproduction_ef_ch4_ethanol_baseline</v>
      </c>
      <c r="CY1" t="str">
        <v>stoveproduction_ef_n2O_ethanol_baseline</v>
      </c>
      <c r="CZ1" t="str">
        <v>stoveproduction_ef_co2_electric_baseline</v>
      </c>
      <c r="DA1" t="str">
        <v>stoveproduction_ef_ch4_electric_baseline</v>
      </c>
      <c r="DB1" t="str">
        <v>stoveproduction_ef_n2O_electric_baseline</v>
      </c>
      <c r="DC1" t="str">
        <v>stoveproduction_ef_co2_pellets_baseline</v>
      </c>
      <c r="DD1" t="str">
        <v>stoveproduction_ef_ch4_pellets_baseline</v>
      </c>
      <c r="DE1" t="str">
        <v>stoveproduction_ef_n2O_pellets_baseline</v>
      </c>
      <c r="DF1" t="str">
        <v>feedstockproduction_ef_co2_firewood_baseline</v>
      </c>
      <c r="DG1" t="str">
        <v>feedstockproduction_ef_ch4_firewood_baseline</v>
      </c>
      <c r="DH1" t="str">
        <v>feedstockproduction_ef_n2O_firewood_baseline</v>
      </c>
      <c r="DI1" t="str">
        <v>feedstockproduction_ef_co2_charcoal_baseline</v>
      </c>
      <c r="DJ1" t="str">
        <v>feedstockproduction_ef_ch4_charcoal_baseline</v>
      </c>
      <c r="DK1" t="str">
        <v>feedstockproduction_ef_n2O_charcoal_baseline</v>
      </c>
      <c r="DL1" t="str">
        <v>feedstockproduction_ef_co2_kerosene_baseline</v>
      </c>
      <c r="DM1" t="str">
        <v>feedstockproduction_ef_ch4_kerosene_baseline</v>
      </c>
      <c r="DN1" t="str">
        <v>feedstockproduction_ef_n2O_kerosene_baseline</v>
      </c>
      <c r="DO1" t="str">
        <v>feedstockproduction_ef_co2_LPG_baseline</v>
      </c>
      <c r="DP1" t="str">
        <v>feedstockproduction_ef_ch4_LPG_baseline</v>
      </c>
      <c r="DQ1" t="str">
        <v>feedstockproduction_ef_n2O_LPG_baseline</v>
      </c>
      <c r="DR1" t="str">
        <v>feedstockproduction_ef_co2_ethanol_baseline</v>
      </c>
      <c r="DS1" t="str">
        <v>feedstockproduction_ef_ch4_ethanol_baseline</v>
      </c>
      <c r="DT1" t="str">
        <v>feedstockproduction_ef_n2O_ethanol_baseline</v>
      </c>
      <c r="DU1" t="str">
        <v>feedstockproduction_ef_co2_electric_baseline</v>
      </c>
      <c r="DV1" t="str">
        <v>feedstockproduction_ef_ch4_electric_baseline</v>
      </c>
      <c r="DW1" t="str">
        <v>feedstockproduction_ef_n2O_electric_baseline</v>
      </c>
      <c r="DX1" t="str">
        <v>feedstockproduction_ef_co2_pellets_baseline</v>
      </c>
      <c r="DY1" t="str">
        <v>feedstockproduction_ef_ch4_pellets_baseline</v>
      </c>
      <c r="DZ1" t="str">
        <v>feedstockproduction_ef_n2O_pellets_baseline</v>
      </c>
      <c r="EA1" t="str">
        <v>distribution_ef_co2_firewood_baseline</v>
      </c>
      <c r="EB1" t="str">
        <v>distribution_ef_ch4_firewood_baseline</v>
      </c>
      <c r="EC1" t="str">
        <v>distribution_ef_n2O_firewood_baseline</v>
      </c>
      <c r="ED1" t="str">
        <v>distribution_ef_co2_charcoal_baseline</v>
      </c>
      <c r="EE1" t="str">
        <v>distribution_ef_ch4_charcoal_baseline</v>
      </c>
      <c r="EF1" t="str">
        <v>distribution_ef_n2O_charcoal_baseline</v>
      </c>
      <c r="EG1" t="str">
        <v>distribution_ef_co2_kerosene_baseline</v>
      </c>
      <c r="EH1" t="str">
        <v>distribution_ef_ch4_kerosene_baseline</v>
      </c>
      <c r="EI1" t="str">
        <v>distribution_ef_n2O_kerosene_baseline</v>
      </c>
      <c r="EJ1" t="str">
        <v>distribution_ef_co2_LPG_baseline</v>
      </c>
      <c r="EK1" t="str">
        <v>distribution_ef_ch4_LPG_baseline</v>
      </c>
      <c r="EL1" t="str">
        <v>distribution_ef_n2O_LPG_baseline</v>
      </c>
      <c r="EM1" t="str">
        <v>distribution_ef_co2_ethanol_baseline</v>
      </c>
      <c r="EN1" t="str">
        <v>distribution_ef_ch4_ethanol_baseline</v>
      </c>
      <c r="EO1" t="str">
        <v>distribution_ef_n2O_ethanol_baseline</v>
      </c>
      <c r="EP1" t="str">
        <v>distribution_ef_co2_electric_baseline</v>
      </c>
      <c r="EQ1" t="str">
        <v>distribution_ef_ch4_electric_baseline</v>
      </c>
      <c r="ER1" t="str">
        <v>distribution_ef_n2O_electric_baseline</v>
      </c>
      <c r="ES1" t="str">
        <v>distribution_ef_co2_pellets_baseline</v>
      </c>
      <c r="ET1" t="str">
        <v>distribution_ef_ch4_pellets_baseline</v>
      </c>
      <c r="EU1" t="str">
        <v>distribution_ef_n2O_pellets_baseline</v>
      </c>
      <c r="EV1" t="str">
        <v>processing_ef_co2_firewood_baseline</v>
      </c>
      <c r="EW1" t="str">
        <v>processing_ef_ch4_firewood_baseline</v>
      </c>
      <c r="EX1" t="str">
        <v>processing_ef_n2O_firewood_baseline</v>
      </c>
      <c r="EY1" t="str">
        <v>processing_ef_co2_charcoal_baseline</v>
      </c>
      <c r="EZ1" t="str">
        <v>processing_ef_ch4_charcoal_baseline</v>
      </c>
      <c r="FA1" t="str">
        <v>processing_ef_n2O_charcoal_baseline</v>
      </c>
      <c r="FB1" t="str">
        <v>processing_ef_co2_kerosene_baseline</v>
      </c>
      <c r="FC1" t="str">
        <v>processing_ef_ch4_kerosene_baseline</v>
      </c>
      <c r="FD1" t="str">
        <v>processing_ef_n2O_kerosene_baseline</v>
      </c>
      <c r="FE1" t="str">
        <v>processing_ef_co2_LPG_baseline</v>
      </c>
      <c r="FF1" t="str">
        <v>processing_ef_ch4_LPG_baseline</v>
      </c>
      <c r="FG1" t="str">
        <v>processing_ef_n2O_LPG_baseline</v>
      </c>
      <c r="FH1" t="str">
        <v>processing_ef_co2_ethanol_baseline</v>
      </c>
      <c r="FI1" t="str">
        <v>processing_ef_ch4_ethanol_baseline</v>
      </c>
      <c r="FJ1" t="str">
        <v>processing_ef_n2O_ethanol_baseline</v>
      </c>
      <c r="FK1" t="str">
        <v>processing_ef_co2_electric_baseline</v>
      </c>
      <c r="FL1" t="str">
        <v>processing_ef_ch4_electric_baseline</v>
      </c>
      <c r="FM1" t="str">
        <v>processing_ef_n2O_electric_baseline</v>
      </c>
      <c r="FN1" t="str">
        <v>processing_ef_co2_pellets_baseline</v>
      </c>
      <c r="FO1" t="str">
        <v>processing_ef_ch4_pellets_baseline</v>
      </c>
      <c r="FP1" t="str">
        <v>processing_ef_n2O_pellets_baseline</v>
      </c>
      <c r="FQ1" t="str">
        <v>prc_firewood_project</v>
      </c>
      <c r="FR1" t="str">
        <v>prc_charcoal_project</v>
      </c>
      <c r="FS1" t="str">
        <v>prc_kerosene_project</v>
      </c>
      <c r="FT1" t="str">
        <v>prc_lpg_project</v>
      </c>
      <c r="FU1" t="str">
        <v>prc_ethanol_project</v>
      </c>
      <c r="FV1" t="str">
        <v>prc_electric_project</v>
      </c>
      <c r="FW1" t="str">
        <v>prc_pellets_project</v>
      </c>
      <c r="FX1" t="str">
        <v>kg_firewood_project</v>
      </c>
      <c r="FY1" t="str">
        <v>kg_charcoal_project</v>
      </c>
      <c r="FZ1" t="str">
        <v>kg_kerosene_project</v>
      </c>
      <c r="GA1" t="str">
        <v>kg_lpg_project</v>
      </c>
      <c r="GB1" t="str">
        <v>l_ethanol_project</v>
      </c>
      <c r="GC1" t="str">
        <v>kg_per_liter_ethanol_project</v>
      </c>
      <c r="GD1" t="str">
        <v>kWh_electric_project</v>
      </c>
      <c r="GE1" t="str">
        <v>kg_pellets_project</v>
      </c>
      <c r="GF1" t="str">
        <v>prc_firewood_project_commercial</v>
      </c>
      <c r="GG1" t="str">
        <v>prc_charcoal_project_commercial</v>
      </c>
      <c r="GH1" t="str">
        <v>prc_kerosene_project_commercial</v>
      </c>
      <c r="GI1" t="str">
        <v>prc_lpg_project_commercial</v>
      </c>
      <c r="GJ1" t="str">
        <v>prc_electric_project_commercial</v>
      </c>
      <c r="GK1" t="str">
        <v>prc_ethanol_project_commercial</v>
      </c>
      <c r="GL1" t="str">
        <v>prc_pellets_project_commercial</v>
      </c>
      <c r="GM1" t="str">
        <v>kg_firewood_project_commercial</v>
      </c>
      <c r="GN1" t="str">
        <v>kg_charcoal_project_commercial</v>
      </c>
      <c r="GO1" t="str">
        <v>kg_kerosene_project_commercial</v>
      </c>
      <c r="GP1" t="str">
        <v>kg_lpg_project_commercial</v>
      </c>
      <c r="GQ1" t="str">
        <v>l_ethanol_project_commercial</v>
      </c>
      <c r="GR1" t="str">
        <v>kWh_electric_project_commercial</v>
      </c>
      <c r="GS1" t="str">
        <v>kg_pellets_project_commercial</v>
      </c>
      <c r="GT1" t="str">
        <v>eff_firewood_project</v>
      </c>
      <c r="GU1" t="str">
        <v>eff_charcoal_project</v>
      </c>
      <c r="GV1" t="str">
        <v>eff_kerosene_project</v>
      </c>
      <c r="GW1" t="str">
        <v>eff_LPG_project</v>
      </c>
      <c r="GX1" t="str">
        <v>eff_ethanol_project</v>
      </c>
      <c r="GY1" t="str">
        <v>eff_electric_project</v>
      </c>
      <c r="GZ1" t="str">
        <v>eff_pellet_project</v>
      </c>
      <c r="HA1" t="str">
        <v>eff_firewood_project_commercial</v>
      </c>
      <c r="HB1" t="str">
        <v>eff_charcoal_project_commercial</v>
      </c>
      <c r="HC1" t="str">
        <v>eff_kerosene_project_commercial</v>
      </c>
      <c r="HD1" t="str">
        <v>eff_LPG_project_commercial</v>
      </c>
      <c r="HE1" t="str">
        <v>eff_ethanol_project_commercial</v>
      </c>
      <c r="HF1" t="str">
        <v>eff_electric_project_commercial</v>
      </c>
      <c r="HG1" t="str">
        <v>eff_pellet_project_commercial</v>
      </c>
      <c r="HH1" t="str">
        <v>ncv_firewood_project</v>
      </c>
      <c r="HI1" t="str">
        <v>ncv_charcoal_project</v>
      </c>
      <c r="HJ1" t="str">
        <v>ncv_kerosene_project</v>
      </c>
      <c r="HK1" t="str">
        <v>ncv_LPG_project</v>
      </c>
      <c r="HL1" t="str">
        <v>ncv_ethanol_project</v>
      </c>
      <c r="HM1" t="str">
        <v>ncv_pellets_project</v>
      </c>
      <c r="HN1" t="str">
        <v>co2_ef_firewood_project</v>
      </c>
      <c r="HO1" t="str">
        <v>co2_ef_charcoal_project</v>
      </c>
      <c r="HP1" t="str">
        <v>co2_ef_kerosene_project</v>
      </c>
      <c r="HQ1" t="str">
        <v>co2_ef_LPG_project</v>
      </c>
      <c r="HR1" t="str">
        <v>co2_ef_ethanol_project</v>
      </c>
      <c r="HS1" t="str">
        <v>co2_ef_electric_project</v>
      </c>
      <c r="HT1" t="str">
        <v>co2_ef_pellets_project</v>
      </c>
      <c r="HU1" t="str">
        <v>nonco2_ef_firewood_project</v>
      </c>
      <c r="HV1" t="str">
        <v>nonco2_ef_charcoal_project</v>
      </c>
      <c r="HW1" t="str">
        <v>nonco2_ef_kerosene_project</v>
      </c>
      <c r="HX1" t="str">
        <v>nonco2_ef_LPG_project</v>
      </c>
      <c r="HY1" t="str">
        <v>nonco2_ef_ethanol_project</v>
      </c>
      <c r="HZ1" t="str">
        <v>nonco2_ef_electric_project</v>
      </c>
      <c r="IA1" t="str">
        <v>nonco2_ef_pellets_project</v>
      </c>
      <c r="IB1" t="str">
        <v>stoveproduction_ef_co2_firewood_project</v>
      </c>
      <c r="IC1" t="str">
        <v>stoveproduction_ef_ch4_firewood_project</v>
      </c>
      <c r="ID1" t="str">
        <v>stoveproduction_ef_n2O_firewood_project</v>
      </c>
      <c r="IE1" t="str">
        <v>stoveproduction_ef_co2_charcoal_project</v>
      </c>
      <c r="IF1" t="str">
        <v>stoveproduction_ef_ch4_charcoal_project</v>
      </c>
      <c r="IG1" t="str">
        <v>stoveproduction_ef_n2O_charcoal_project</v>
      </c>
      <c r="IH1" t="str">
        <v>stoveproduction_ef_co2_kerosene_project</v>
      </c>
      <c r="II1" t="str">
        <v>stoveproduction_ef_ch4_kerosene_project</v>
      </c>
      <c r="IJ1" t="str">
        <v>stoveproduction_ef_n2O_kerosene_project</v>
      </c>
      <c r="IK1" t="str">
        <v>stoveproduction_ef_co2_LPG_project</v>
      </c>
      <c r="IL1" t="str">
        <v>stoveproduction_ef_ch4_LPG_project</v>
      </c>
      <c r="IM1" t="str">
        <v>stoveproduction_ef_n2O_LPG_project</v>
      </c>
      <c r="IN1" t="str">
        <v>stoveproduction_ef_co2_ethanol_project</v>
      </c>
      <c r="IO1" t="str">
        <v>stoveproduction_ef_ch4_ethanol_project</v>
      </c>
      <c r="IP1" t="str">
        <v>stoveproduction_ef_n2O_ethanol_project</v>
      </c>
      <c r="IQ1" t="str">
        <v>stoveproduction_ef_co2_electric_project</v>
      </c>
      <c r="IR1" t="str">
        <v>stoveproduction_ef_ch4_electric_project</v>
      </c>
      <c r="IS1" t="str">
        <v>stoveproduction_ef_n2O_electric_project</v>
      </c>
      <c r="IT1" t="str">
        <v>stoveproduction_ef_co2_pellets_project</v>
      </c>
      <c r="IU1" t="str">
        <v>stoveproduction_ef_ch4_pellets_project</v>
      </c>
      <c r="IV1" t="str">
        <v>stoveproduction_ef_n2O_pellets_project</v>
      </c>
      <c r="IW1" t="str">
        <v>feedstockproduction_ef_co2_firewood_project</v>
      </c>
      <c r="IX1" t="str">
        <v>feedstockproduction_ef_ch4_firewood_project</v>
      </c>
      <c r="IY1" t="str">
        <v>feedstockproduction_ef_n2O_firewood_project</v>
      </c>
      <c r="IZ1" t="str">
        <v>feedstockproduction_ef_co2_charcoal_project</v>
      </c>
      <c r="JA1" t="str">
        <v>feedstockproduction_ef_ch4_charcoal_project</v>
      </c>
      <c r="JB1" t="str">
        <v>feedstockproduction_ef_n2O_charcoal_project</v>
      </c>
      <c r="JC1" t="str">
        <v>feedstockproduction_ef_co2_kerosene_project</v>
      </c>
      <c r="JD1" t="str">
        <v>feedstockproduction_ef_ch4_kerosene_project</v>
      </c>
      <c r="JE1" t="str">
        <v>feedstockproduction_ef_n2O_kerosene_project</v>
      </c>
      <c r="JF1" t="str">
        <v>feedstockproduction_ef_co2_LPG_project</v>
      </c>
      <c r="JG1" t="str">
        <v>feedstockproduction_ef_ch4_LPG_project</v>
      </c>
      <c r="JH1" t="str">
        <v>feedstockproduction_ef_n2O_LPG_project</v>
      </c>
      <c r="JI1" t="str">
        <v>feedstockproduction_ef_co2_ethanol_project</v>
      </c>
      <c r="JJ1" t="str">
        <v>feedstockproduction_ef_ch4_ethanol_project</v>
      </c>
      <c r="JK1" t="str">
        <v>feedstockproduction_ef_n2O_ethanol_project</v>
      </c>
      <c r="JL1" t="str">
        <v>feedstockproduction_ef_co2_electric_project</v>
      </c>
      <c r="JM1" t="str">
        <v>feedstockproduction_ef_ch4_electric_project</v>
      </c>
      <c r="JN1" t="str">
        <v>feedstockproduction_ef_n2O_electric_project</v>
      </c>
      <c r="JO1" t="str">
        <v>feedstockproduction_ef_co2_pellets_project</v>
      </c>
      <c r="JP1" t="str">
        <v>feedstockproduction_ef_ch4_pellets_project</v>
      </c>
      <c r="JQ1" t="str">
        <v>feedstockproduction_ef_n2O_pellets_project</v>
      </c>
      <c r="JR1" t="str">
        <v>distribution_ef_co2_firewood_project</v>
      </c>
      <c r="JS1" t="str">
        <v>distribution_ef_ch4_firewood_project</v>
      </c>
      <c r="JT1" t="str">
        <v>distribution_ef_n2O_firewood_project</v>
      </c>
      <c r="JU1" t="str">
        <v>distribution_ef_co2_charcoal_project</v>
      </c>
      <c r="JV1" t="str">
        <v>distribution_ef_ch4_charcoal_project</v>
      </c>
      <c r="JW1" t="str">
        <v>distribution_ef_n2O_charcoal_project</v>
      </c>
      <c r="JX1" t="str">
        <v>distribution_ef_co2_kerosene_project</v>
      </c>
      <c r="JY1" t="str">
        <v>distribution_ef_ch4_kerosene_project</v>
      </c>
      <c r="JZ1" t="str">
        <v>distribution_ef_n2O_kerosene_project</v>
      </c>
      <c r="KA1" t="str">
        <v>distribution_ef_co2_LPG_project</v>
      </c>
      <c r="KB1" t="str">
        <v>distribution_ef_ch4_LPG_project</v>
      </c>
      <c r="KC1" t="str">
        <v>distribution_ef_n2O_LPG_project</v>
      </c>
      <c r="KD1" t="str">
        <v>distribution_ef_co2_ethanol_project</v>
      </c>
      <c r="KE1" t="str">
        <v>distribution_ef_ch4_ethanol_project</v>
      </c>
      <c r="KF1" t="str">
        <v>distribution_ef_n2O_ethanol_project</v>
      </c>
      <c r="KG1" t="str">
        <v>distribution_ef_co2_electric_project</v>
      </c>
      <c r="KH1" t="str">
        <v>distribution_ef_ch4_electric_project</v>
      </c>
      <c r="KI1" t="str">
        <v>distribution_ef_n2O_electric_project</v>
      </c>
      <c r="KJ1" t="str">
        <v>distribution_ef_co2_pellets_project</v>
      </c>
      <c r="KK1" t="str">
        <v>distribution_ef_ch4_pellets_project</v>
      </c>
      <c r="KL1" t="str">
        <v>distribution_ef_n2O_pellets_project</v>
      </c>
      <c r="KM1" t="str">
        <v>processing_ef_co2_firewood_project</v>
      </c>
      <c r="KN1" t="str">
        <v>processing_ef_ch4_firewood_project</v>
      </c>
      <c r="KO1" t="str">
        <v>processing_ef_n2O_firewood_project</v>
      </c>
      <c r="KP1" t="str">
        <v>processing_ef_co2_charcoal_project</v>
      </c>
      <c r="KQ1" t="str">
        <v>processing_ef_ch4_charcoal_project</v>
      </c>
      <c r="KR1" t="str">
        <v>processing_ef_n2O_charcoal_project</v>
      </c>
      <c r="KS1" t="str">
        <v>processing_ef_co2_kerosene_project</v>
      </c>
      <c r="KT1" t="str">
        <v>processing_ef_ch4_kerosene_project</v>
      </c>
      <c r="KU1" t="str">
        <v>processing_ef_n2O_kerosene_project</v>
      </c>
      <c r="KV1" t="str">
        <v>processing_ef_co2_LPG_project</v>
      </c>
      <c r="KW1" t="str">
        <v>processing_ef_ch4_LPG_project</v>
      </c>
      <c r="KX1" t="str">
        <v>processing_ef_n2O_LPG_project</v>
      </c>
      <c r="KY1" t="str">
        <v>processing_ef_co2_ethanol_project</v>
      </c>
      <c r="KZ1" t="str">
        <v>processing_ef_ch4_ethanol_project</v>
      </c>
      <c r="LA1" t="str">
        <v>processing_ef_n2O_ethanol_project</v>
      </c>
      <c r="LB1" t="str">
        <v>processing_ef_co2_electric_project</v>
      </c>
      <c r="LC1" t="str">
        <v>processing_ef_ch4_electric_project</v>
      </c>
      <c r="LD1" t="str">
        <v>processing_ef_n2O_electric_project</v>
      </c>
      <c r="LE1" t="str">
        <v>processing_ef_co2_pellets_project</v>
      </c>
      <c r="LF1" t="str">
        <v>processing_ef_ch4_pellets_project</v>
      </c>
      <c r="LG1" t="str">
        <v>processing_ef_n2O_pellets_project</v>
      </c>
      <c r="LH1" t="str">
        <v>project_adoption</v>
      </c>
      <c r="LI1" t="str">
        <v>project_usage</v>
      </c>
      <c r="LJ1" t="str">
        <v>project_adoption_commercial</v>
      </c>
      <c r="LK1" t="str">
        <v>project_usage_commercial</v>
      </c>
      <c r="LL1" t="str">
        <v>leakage_binary</v>
      </c>
      <c r="LM1" t="str">
        <v>leakage_default</v>
      </c>
      <c r="LN1" t="str">
        <v>leakage_tCO2e</v>
      </c>
      <c r="LO1" t="str">
        <v>more_than_one_stove_adj</v>
      </c>
      <c r="LP1" t="str">
        <v>rebound</v>
      </c>
      <c r="LQ1" t="str">
        <v>other_tCO2e_reduction</v>
      </c>
      <c r="LR1" t="str">
        <v>project_stacking</v>
      </c>
      <c r="LS1" t="str">
        <v>project_stacking_commercial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</row>
    <row r="2" spans="1:355" x14ac:dyDescent="0.2">
      <c r="A2" t="str">
        <v>Units</v>
      </c>
      <c r="B2">
        <v>0</v>
      </c>
      <c r="C2">
        <v>0</v>
      </c>
      <c r="D2">
        <v>0</v>
      </c>
      <c r="E2">
        <v>0</v>
      </c>
      <c r="F2" t="str">
        <v>tCO2e</v>
      </c>
      <c r="G2">
        <v>0</v>
      </c>
      <c r="H2" t="str">
        <v>tCO2e</v>
      </c>
      <c r="I2">
        <v>0</v>
      </c>
      <c r="J2" t="str">
        <v>tCO2e/stove/day</v>
      </c>
      <c r="K2">
        <v>0</v>
      </c>
      <c r="L2" t="str">
        <v>countries</v>
      </c>
      <c r="M2">
        <v>0</v>
      </c>
      <c r="N2">
        <v>0</v>
      </c>
      <c r="O2">
        <v>0</v>
      </c>
      <c r="P2" t="str">
        <v>individuals</v>
      </c>
      <c r="Q2" t="str">
        <v>%</v>
      </c>
      <c r="R2" t="str">
        <v>%</v>
      </c>
      <c r="S2" t="str">
        <v>%</v>
      </c>
      <c r="T2" t="str">
        <v>domestic stoves</v>
      </c>
      <c r="U2" t="str">
        <v>commercial stoves</v>
      </c>
      <c r="V2" t="str">
        <v>days</v>
      </c>
      <c r="W2" t="str">
        <v>days</v>
      </c>
      <c r="X2" t="str">
        <v>stove-days</v>
      </c>
      <c r="Y2" t="str">
        <v>%</v>
      </c>
      <c r="Z2" t="str">
        <v>%</v>
      </c>
      <c r="AA2" t="str">
        <v>%</v>
      </c>
      <c r="AB2" t="str">
        <v>%</v>
      </c>
      <c r="AC2" t="str">
        <v>%</v>
      </c>
      <c r="AD2" t="str">
        <v>%</v>
      </c>
      <c r="AE2" t="str">
        <v>%</v>
      </c>
      <c r="AF2" t="str">
        <v>%</v>
      </c>
      <c r="AG2" t="str">
        <v>%</v>
      </c>
      <c r="AH2" t="str">
        <v>%</v>
      </c>
      <c r="AI2" t="str">
        <v>%</v>
      </c>
      <c r="AJ2" t="str">
        <v>%</v>
      </c>
      <c r="AK2" t="str">
        <v>%</v>
      </c>
      <c r="AL2" t="str">
        <v>%</v>
      </c>
      <c r="AM2" t="str">
        <v>kgs per day</v>
      </c>
      <c r="AN2" t="str">
        <v>kgs per day</v>
      </c>
      <c r="AO2" t="str">
        <v>kgs per day</v>
      </c>
      <c r="AP2" t="str">
        <v>kgs per day</v>
      </c>
      <c r="AQ2" t="str">
        <v>liters per day</v>
      </c>
      <c r="AR2" t="str">
        <v>kWh per day</v>
      </c>
      <c r="AS2" t="str">
        <v>kgs per day</v>
      </c>
      <c r="AT2" t="str">
        <v>kgs per liter kerosene</v>
      </c>
      <c r="AU2" t="str">
        <v>kgs per liter ethanol</v>
      </c>
      <c r="AV2" t="str">
        <v>kgs per day</v>
      </c>
      <c r="AW2" t="str">
        <v>kgs per day</v>
      </c>
      <c r="AX2" t="str">
        <v>kgs per day</v>
      </c>
      <c r="AY2" t="str">
        <v>kgs per day</v>
      </c>
      <c r="AZ2" t="str">
        <v>liters per day</v>
      </c>
      <c r="BA2" t="str">
        <v>kWh per day</v>
      </c>
      <c r="BB2" t="str">
        <v>kgs per day</v>
      </c>
      <c r="BC2" t="str">
        <v>%</v>
      </c>
      <c r="BD2" t="str">
        <v>%</v>
      </c>
      <c r="BE2" t="str">
        <v>%</v>
      </c>
      <c r="BF2" t="str">
        <v>%</v>
      </c>
      <c r="BG2" t="str">
        <v>%</v>
      </c>
      <c r="BH2" t="str">
        <v>%</v>
      </c>
      <c r="BI2" t="str">
        <v>%</v>
      </c>
      <c r="BJ2" t="str">
        <v>%</v>
      </c>
      <c r="BK2" t="str">
        <v>%</v>
      </c>
      <c r="BL2" t="str">
        <v>%</v>
      </c>
      <c r="BM2" t="str">
        <v>%</v>
      </c>
      <c r="BN2" t="str">
        <v>%</v>
      </c>
      <c r="BO2" t="str">
        <v>%</v>
      </c>
      <c r="BP2" t="str">
        <v>%</v>
      </c>
      <c r="BQ2" t="str">
        <v>TJ/tonne</v>
      </c>
      <c r="BR2" t="str">
        <v>TJ/tonne</v>
      </c>
      <c r="BS2" t="str">
        <v>TJ/tonne</v>
      </c>
      <c r="BT2" t="str">
        <v>TJ/tonne</v>
      </c>
      <c r="BU2" t="str">
        <v>TJ/tonne</v>
      </c>
      <c r="BV2" t="str">
        <v>TJ/tonne</v>
      </c>
      <c r="BW2" t="str">
        <v>tCO2/TJ</v>
      </c>
      <c r="BX2" t="str">
        <v>tCO2/TJ</v>
      </c>
      <c r="BY2" t="str">
        <v>tCO2/TJ</v>
      </c>
      <c r="BZ2" t="str">
        <v>tCO2/TJ</v>
      </c>
      <c r="CA2" t="str">
        <v>tCO2/TJ</v>
      </c>
      <c r="CB2" t="str">
        <v>tCO2/TJ</v>
      </c>
      <c r="CC2" t="str">
        <v>tCO2/TJ</v>
      </c>
      <c r="CD2" t="str">
        <v>tCO2e/TJ</v>
      </c>
      <c r="CE2" t="str">
        <v>tCO2e/TJ</v>
      </c>
      <c r="CF2" t="str">
        <v>tCO2e/TJ</v>
      </c>
      <c r="CG2" t="str">
        <v>tCO2e/TJ</v>
      </c>
      <c r="CH2" t="str">
        <v>tCO2e/TJ</v>
      </c>
      <c r="CI2" t="str">
        <v>tCO2e/TJ</v>
      </c>
      <c r="CJ2" t="str">
        <v>tCO2e/TJ</v>
      </c>
      <c r="CK2" t="str">
        <v>tCO2/TJ</v>
      </c>
      <c r="CL2" t="str">
        <v>tCH4/TJ</v>
      </c>
      <c r="CM2" t="str">
        <v>tN2O/TJ</v>
      </c>
      <c r="CN2" t="str">
        <v>tCO2/TJ</v>
      </c>
      <c r="CO2" t="str">
        <v>tCH4/TJ</v>
      </c>
      <c r="CP2" t="str">
        <v>tN2O/TJ</v>
      </c>
      <c r="CQ2" t="str">
        <v>tCO2/TJ</v>
      </c>
      <c r="CR2" t="str">
        <v>tCH4/TJ</v>
      </c>
      <c r="CS2" t="str">
        <v>tN2O/TJ</v>
      </c>
      <c r="CT2" t="str">
        <v>tCO2/TJ</v>
      </c>
      <c r="CU2" t="str">
        <v>tCH4/TJ</v>
      </c>
      <c r="CV2" t="str">
        <v>tN2O/TJ</v>
      </c>
      <c r="CW2" t="str">
        <v>tCO2/TJ</v>
      </c>
      <c r="CX2" t="str">
        <v>tCH4/TJ</v>
      </c>
      <c r="CY2" t="str">
        <v>tN2O/TJ</v>
      </c>
      <c r="CZ2" t="str">
        <v>tCO2/TJ</v>
      </c>
      <c r="DA2" t="str">
        <v>tCH4/TJ</v>
      </c>
      <c r="DB2" t="str">
        <v>tN2O/TJ</v>
      </c>
      <c r="DC2" t="str">
        <v>tCO2/TJ</v>
      </c>
      <c r="DD2" t="str">
        <v>tCH4/TJ</v>
      </c>
      <c r="DE2" t="str">
        <v>tN2O/TJ</v>
      </c>
      <c r="DF2" t="str">
        <v>tCO2/TJ</v>
      </c>
      <c r="DG2" t="str">
        <v>tCH4/TJ</v>
      </c>
      <c r="DH2" t="str">
        <v>tN2O/TJ</v>
      </c>
      <c r="DI2" t="str">
        <v>tCO2/TJ</v>
      </c>
      <c r="DJ2" t="str">
        <v>tCH4/TJ</v>
      </c>
      <c r="DK2" t="str">
        <v>tN2O/TJ</v>
      </c>
      <c r="DL2" t="str">
        <v>tCO2/TJ</v>
      </c>
      <c r="DM2" t="str">
        <v>tCH4/TJ</v>
      </c>
      <c r="DN2" t="str">
        <v>tN2O/TJ</v>
      </c>
      <c r="DO2" t="str">
        <v>tCO2/TJ</v>
      </c>
      <c r="DP2" t="str">
        <v>tCH4/TJ</v>
      </c>
      <c r="DQ2" t="str">
        <v>tN2O/TJ</v>
      </c>
      <c r="DR2" t="str">
        <v>tCO2/TJ</v>
      </c>
      <c r="DS2" t="str">
        <v>tCH4/TJ</v>
      </c>
      <c r="DT2" t="str">
        <v>tN2O/TJ</v>
      </c>
      <c r="DU2" t="str">
        <v>tCO2/TJ</v>
      </c>
      <c r="DV2" t="str">
        <v>tCH4/TJ</v>
      </c>
      <c r="DW2" t="str">
        <v>tN2O/TJ</v>
      </c>
      <c r="DX2" t="str">
        <v>tCO2/TJ</v>
      </c>
      <c r="DY2" t="str">
        <v>tCH4/TJ</v>
      </c>
      <c r="DZ2" t="str">
        <v>tN2O/TJ</v>
      </c>
      <c r="EA2" t="str">
        <v>tCO2/TJ</v>
      </c>
      <c r="EB2" t="str">
        <v>tCH4/TJ</v>
      </c>
      <c r="EC2" t="str">
        <v>tN2O/TJ</v>
      </c>
      <c r="ED2" t="str">
        <v>tCO2/TJ</v>
      </c>
      <c r="EE2" t="str">
        <v>tCH4/TJ</v>
      </c>
      <c r="EF2" t="str">
        <v>tN2O/TJ</v>
      </c>
      <c r="EG2" t="str">
        <v>tCO2/TJ</v>
      </c>
      <c r="EH2" t="str">
        <v>tCH4/TJ</v>
      </c>
      <c r="EI2" t="str">
        <v>tN2O/TJ</v>
      </c>
      <c r="EJ2" t="str">
        <v>tCO2/TJ</v>
      </c>
      <c r="EK2" t="str">
        <v>tCH4/TJ</v>
      </c>
      <c r="EL2" t="str">
        <v>tN2O/TJ</v>
      </c>
      <c r="EM2" t="str">
        <v>tCO2/TJ</v>
      </c>
      <c r="EN2" t="str">
        <v>tCH4/TJ</v>
      </c>
      <c r="EO2" t="str">
        <v>tN2O/TJ</v>
      </c>
      <c r="EP2" t="str">
        <v>tCO2/TJ</v>
      </c>
      <c r="EQ2" t="str">
        <v>tCH4/TJ</v>
      </c>
      <c r="ER2" t="str">
        <v>tN2O/TJ</v>
      </c>
      <c r="ES2" t="str">
        <v>tCO2/TJ</v>
      </c>
      <c r="ET2" t="str">
        <v>tCH4/TJ</v>
      </c>
      <c r="EU2" t="str">
        <v>tN2O/TJ</v>
      </c>
      <c r="EV2" t="str">
        <v>tCO2/TJ</v>
      </c>
      <c r="EW2" t="str">
        <v>tCH4/TJ</v>
      </c>
      <c r="EX2" t="str">
        <v>tN2O/TJ</v>
      </c>
      <c r="EY2" t="str">
        <v>tCO2/TJ</v>
      </c>
      <c r="EZ2" t="str">
        <v>tCH4/TJ</v>
      </c>
      <c r="FA2" t="str">
        <v>tN2O/TJ</v>
      </c>
      <c r="FB2" t="str">
        <v>tCO2/TJ</v>
      </c>
      <c r="FC2" t="str">
        <v>tCH4/TJ</v>
      </c>
      <c r="FD2" t="str">
        <v>tN2O/TJ</v>
      </c>
      <c r="FE2" t="str">
        <v>tCO2/TJ</v>
      </c>
      <c r="FF2" t="str">
        <v>tCH4/TJ</v>
      </c>
      <c r="FG2" t="str">
        <v>tN2O/TJ</v>
      </c>
      <c r="FH2" t="str">
        <v>tCO2/TJ</v>
      </c>
      <c r="FI2" t="str">
        <v>tCH4/TJ</v>
      </c>
      <c r="FJ2" t="str">
        <v>tN2O/TJ</v>
      </c>
      <c r="FK2" t="str">
        <v>tCO2/TJ</v>
      </c>
      <c r="FL2" t="str">
        <v>tCH4/TJ</v>
      </c>
      <c r="FM2" t="str">
        <v>tN2O/TJ</v>
      </c>
      <c r="FN2" t="str">
        <v>tCO2/TJ</v>
      </c>
      <c r="FO2" t="str">
        <v>tCH4/TJ</v>
      </c>
      <c r="FP2" t="str">
        <v>tN2O/TJ</v>
      </c>
      <c r="FQ2" t="str">
        <v>%</v>
      </c>
      <c r="FR2" t="str">
        <v>%</v>
      </c>
      <c r="FS2" t="str">
        <v>%</v>
      </c>
      <c r="FT2" t="str">
        <v>%</v>
      </c>
      <c r="FU2" t="str">
        <v>%</v>
      </c>
      <c r="FV2" t="str">
        <v>%</v>
      </c>
      <c r="FW2" t="str">
        <v>%</v>
      </c>
      <c r="FX2" t="str">
        <v>kgs per day</v>
      </c>
      <c r="FY2" t="str">
        <v>kgs per day</v>
      </c>
      <c r="FZ2" t="str">
        <v>kgs per day</v>
      </c>
      <c r="GA2" t="str">
        <v>kgs per day</v>
      </c>
      <c r="GB2" t="str">
        <v>liters per day</v>
      </c>
      <c r="GC2" t="str">
        <v>kgs per liter ethanol</v>
      </c>
      <c r="GD2" t="str">
        <v>kWh per day</v>
      </c>
      <c r="GE2" t="str">
        <v>kgs per day</v>
      </c>
      <c r="GF2" t="str">
        <v>%</v>
      </c>
      <c r="GG2" t="str">
        <v>%</v>
      </c>
      <c r="GH2" t="str">
        <v>%</v>
      </c>
      <c r="GI2" t="str">
        <v>%</v>
      </c>
      <c r="GJ2" t="str">
        <v>%</v>
      </c>
      <c r="GK2" t="str">
        <v>%</v>
      </c>
      <c r="GL2" t="str">
        <v>%</v>
      </c>
      <c r="GM2" t="str">
        <v>kgs per day</v>
      </c>
      <c r="GN2" t="str">
        <v>kgs per day</v>
      </c>
      <c r="GO2" t="str">
        <v>kgs per day</v>
      </c>
      <c r="GP2" t="str">
        <v>kgs per day</v>
      </c>
      <c r="GQ2" t="str">
        <v>liters per day</v>
      </c>
      <c r="GR2" t="str">
        <v>kWh per day</v>
      </c>
      <c r="GS2" t="str">
        <v>kgs per day</v>
      </c>
      <c r="GT2" t="str">
        <v>%</v>
      </c>
      <c r="GU2" t="str">
        <v>%</v>
      </c>
      <c r="GV2" t="str">
        <v>%</v>
      </c>
      <c r="GW2" t="str">
        <v>%</v>
      </c>
      <c r="GX2" t="str">
        <v>%</v>
      </c>
      <c r="GY2" t="str">
        <v>%</v>
      </c>
      <c r="GZ2" t="str">
        <v>%</v>
      </c>
      <c r="HA2" t="str">
        <v>%</v>
      </c>
      <c r="HB2" t="str">
        <v>%</v>
      </c>
      <c r="HC2" t="str">
        <v>%</v>
      </c>
      <c r="HD2" t="str">
        <v>%</v>
      </c>
      <c r="HE2" t="str">
        <v>%</v>
      </c>
      <c r="HF2" t="str">
        <v>%</v>
      </c>
      <c r="HG2" t="str">
        <v>%</v>
      </c>
      <c r="HH2" t="str">
        <v>TJ/tonne</v>
      </c>
      <c r="HI2" t="str">
        <v>TJ/tonne</v>
      </c>
      <c r="HJ2" t="str">
        <v>TJ/tonne</v>
      </c>
      <c r="HK2" t="str">
        <v>TJ/tonne</v>
      </c>
      <c r="HL2" t="str">
        <v>TJ/tonne</v>
      </c>
      <c r="HM2" t="str">
        <v>TJ/tonne</v>
      </c>
      <c r="HN2" t="str">
        <v>tCO2/TJ</v>
      </c>
      <c r="HO2" t="str">
        <v>tCO2/TJ</v>
      </c>
      <c r="HP2" t="str">
        <v>tCO2/TJ</v>
      </c>
      <c r="HQ2" t="str">
        <v>tCO2/TJ</v>
      </c>
      <c r="HR2" t="str">
        <v>tCO2/TJ</v>
      </c>
      <c r="HS2" t="str">
        <v>tCO2/TJ</v>
      </c>
      <c r="HT2" t="str">
        <v>tCO2/TJ</v>
      </c>
      <c r="HU2" t="str">
        <v>tCO2e/TJ</v>
      </c>
      <c r="HV2" t="str">
        <v>tCO2e/TJ</v>
      </c>
      <c r="HW2" t="str">
        <v>tCO2e/TJ</v>
      </c>
      <c r="HX2" t="str">
        <v>tCO2e/TJ</v>
      </c>
      <c r="HY2" t="str">
        <v>tCO2e/TJ</v>
      </c>
      <c r="HZ2" t="str">
        <v>tCO2e/TJ</v>
      </c>
      <c r="IA2" t="str">
        <v>tCO2e/TJ</v>
      </c>
      <c r="IB2" t="str">
        <v>tCO2/TJ</v>
      </c>
      <c r="IC2" t="str">
        <v>tCH4/TJ</v>
      </c>
      <c r="ID2" t="str">
        <v>tN2O/TJ</v>
      </c>
      <c r="IE2" t="str">
        <v>tCO2/TJ</v>
      </c>
      <c r="IF2" t="str">
        <v>tCH4/TJ</v>
      </c>
      <c r="IG2" t="str">
        <v>tN2O/TJ</v>
      </c>
      <c r="IH2" t="str">
        <v>tCO2/TJ</v>
      </c>
      <c r="II2" t="str">
        <v>tCH4/TJ</v>
      </c>
      <c r="IJ2" t="str">
        <v>tN2O/TJ</v>
      </c>
      <c r="IK2" t="str">
        <v>tCO2/TJ</v>
      </c>
      <c r="IL2" t="str">
        <v>tCH4/TJ</v>
      </c>
      <c r="IM2" t="str">
        <v>tN2O/TJ</v>
      </c>
      <c r="IN2" t="str">
        <v>tCO2/TJ</v>
      </c>
      <c r="IO2" t="str">
        <v>tCH4/TJ</v>
      </c>
      <c r="IP2" t="str">
        <v>tN2O/TJ</v>
      </c>
      <c r="IQ2" t="str">
        <v>tCO2/TJ</v>
      </c>
      <c r="IR2" t="str">
        <v>tCH4/TJ</v>
      </c>
      <c r="IS2" t="str">
        <v>tN2O/TJ</v>
      </c>
      <c r="IT2" t="str">
        <v>tCO2/TJ</v>
      </c>
      <c r="IU2" t="str">
        <v>tCH4/TJ</v>
      </c>
      <c r="IV2" t="str">
        <v>tN2O/TJ</v>
      </c>
      <c r="IW2" t="str">
        <v>tCO2/TJ</v>
      </c>
      <c r="IX2" t="str">
        <v>tCH4/TJ</v>
      </c>
      <c r="IY2" t="str">
        <v>tN2O/TJ</v>
      </c>
      <c r="IZ2" t="str">
        <v>tCO2/TJ</v>
      </c>
      <c r="JA2" t="str">
        <v>tCH4/TJ</v>
      </c>
      <c r="JB2" t="str">
        <v>tN2O/TJ</v>
      </c>
      <c r="JC2" t="str">
        <v>tCO2/TJ</v>
      </c>
      <c r="JD2" t="str">
        <v>tCH4/TJ</v>
      </c>
      <c r="JE2" t="str">
        <v>tN2O/TJ</v>
      </c>
      <c r="JF2" t="str">
        <v>tCO2/TJ</v>
      </c>
      <c r="JG2" t="str">
        <v>tCH4/TJ</v>
      </c>
      <c r="JH2" t="str">
        <v>tN2O/TJ</v>
      </c>
      <c r="JI2" t="str">
        <v>tCO2/TJ</v>
      </c>
      <c r="JJ2" t="str">
        <v>tCH4/TJ</v>
      </c>
      <c r="JK2" t="str">
        <v>tN2O/TJ</v>
      </c>
      <c r="JL2" t="str">
        <v>tCO2/TJ</v>
      </c>
      <c r="JM2" t="str">
        <v>tCH4/TJ</v>
      </c>
      <c r="JN2" t="str">
        <v>tN2O/TJ</v>
      </c>
      <c r="JO2" t="str">
        <v>tCO2/TJ</v>
      </c>
      <c r="JP2" t="str">
        <v>tCH4/TJ</v>
      </c>
      <c r="JQ2" t="str">
        <v>tN2O/TJ</v>
      </c>
      <c r="JR2" t="str">
        <v>tCO2/TJ</v>
      </c>
      <c r="JS2" t="str">
        <v>tCH4/TJ</v>
      </c>
      <c r="JT2" t="str">
        <v>tN2O/TJ</v>
      </c>
      <c r="JU2" t="str">
        <v>tCO2/TJ</v>
      </c>
      <c r="JV2" t="str">
        <v>tCH4/TJ</v>
      </c>
      <c r="JW2" t="str">
        <v>tN2O/TJ</v>
      </c>
      <c r="JX2" t="str">
        <v>tCO2/TJ</v>
      </c>
      <c r="JY2" t="str">
        <v>tCH4/TJ</v>
      </c>
      <c r="JZ2" t="str">
        <v>tN2O/TJ</v>
      </c>
      <c r="KA2" t="str">
        <v>tCO2/TJ</v>
      </c>
      <c r="KB2" t="str">
        <v>tCH4/TJ</v>
      </c>
      <c r="KC2" t="str">
        <v>tN2O/TJ</v>
      </c>
      <c r="KD2" t="str">
        <v>tCO2/TJ</v>
      </c>
      <c r="KE2" t="str">
        <v>tCH4/TJ</v>
      </c>
      <c r="KF2" t="str">
        <v>tN2O/TJ</v>
      </c>
      <c r="KG2" t="str">
        <v>tCO2/TJ</v>
      </c>
      <c r="KH2" t="str">
        <v>tCH4/TJ</v>
      </c>
      <c r="KI2" t="str">
        <v>tN2O/TJ</v>
      </c>
      <c r="KJ2" t="str">
        <v>tCO2/TJ</v>
      </c>
      <c r="KK2" t="str">
        <v>tCH4/TJ</v>
      </c>
      <c r="KL2" t="str">
        <v>tN2O/TJ</v>
      </c>
      <c r="KM2" t="str">
        <v>tCO2/TJ</v>
      </c>
      <c r="KN2" t="str">
        <v>tCH4/TJ</v>
      </c>
      <c r="KO2" t="str">
        <v>tN2O/TJ</v>
      </c>
      <c r="KP2" t="str">
        <v>tCO2/TJ</v>
      </c>
      <c r="KQ2" t="str">
        <v>tCH4/TJ</v>
      </c>
      <c r="KR2" t="str">
        <v>tN2O/TJ</v>
      </c>
      <c r="KS2" t="str">
        <v>tCO2/TJ</v>
      </c>
      <c r="KT2" t="str">
        <v>tCH4/TJ</v>
      </c>
      <c r="KU2" t="str">
        <v>tN2O/TJ</v>
      </c>
      <c r="KV2" t="str">
        <v>tCO2/TJ</v>
      </c>
      <c r="KW2" t="str">
        <v>tCH4/TJ</v>
      </c>
      <c r="KX2" t="str">
        <v>tN2O/TJ</v>
      </c>
      <c r="KY2" t="str">
        <v>tCO2/TJ</v>
      </c>
      <c r="KZ2" t="str">
        <v>tCH4/TJ</v>
      </c>
      <c r="LA2" t="str">
        <v>tN2O/TJ</v>
      </c>
      <c r="LB2" t="str">
        <v>tCO2/TJ</v>
      </c>
      <c r="LC2" t="str">
        <v>tCH4/TJ</v>
      </c>
      <c r="LD2" t="str">
        <v>tN2O/TJ</v>
      </c>
      <c r="LE2" t="str">
        <v>tCO2/TJ</v>
      </c>
      <c r="LF2" t="str">
        <v>tCH4/TJ</v>
      </c>
      <c r="LG2" t="str">
        <v>tN2O/TJ</v>
      </c>
      <c r="LH2" t="str">
        <v>%</v>
      </c>
      <c r="LI2" t="str">
        <v>%</v>
      </c>
      <c r="LJ2" t="str">
        <v>%</v>
      </c>
      <c r="LK2" t="str">
        <v>%</v>
      </c>
      <c r="LL2">
        <v>0</v>
      </c>
      <c r="LM2" t="str">
        <v>%</v>
      </c>
      <c r="LN2" t="str">
        <v>tCO2e</v>
      </c>
      <c r="LO2" t="str">
        <v>%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</row>
    <row r="3" spans="1:355" x14ac:dyDescent="0.2">
      <c r="A3" t="str">
        <v>CDM AMS II G</v>
      </c>
      <c r="B3" t="str">
        <v>AMS-II.G. ver. 3</v>
      </c>
      <c r="C3" t="str">
        <v>GS10974</v>
      </c>
      <c r="D3">
        <v>2</v>
      </c>
      <c r="E3" t="str">
        <v>domestic</v>
      </c>
      <c r="F3">
        <v>69556</v>
      </c>
      <c r="G3" t="str">
        <v>firewood</v>
      </c>
      <c r="H3">
        <v>16258.347919877846</v>
      </c>
      <c r="I3">
        <v>1.8554516248563714E-3</v>
      </c>
      <c r="J3">
        <v>1.8562373546376651E-3</v>
      </c>
      <c r="K3" t="str">
        <v>cdm_imp_firewood</v>
      </c>
      <c r="L3">
        <v>1</v>
      </c>
      <c r="M3" t="str">
        <v>Asia</v>
      </c>
      <c r="N3" t="str">
        <v>Bangladesh</v>
      </c>
      <c r="O3" t="str">
        <v>Bangladesh tot</v>
      </c>
      <c r="P3">
        <v>4.3</v>
      </c>
      <c r="Q3">
        <v>1</v>
      </c>
      <c r="R3">
        <v>0.46600000000000003</v>
      </c>
      <c r="S3">
        <v>0.52300000000000002</v>
      </c>
      <c r="T3">
        <v>44457</v>
      </c>
      <c r="U3">
        <v>0</v>
      </c>
      <c r="V3">
        <v>197.1</v>
      </c>
      <c r="W3">
        <v>0</v>
      </c>
      <c r="X3">
        <v>8762474.6999999993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2.904109589041096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1.4999999999999999E-2</v>
      </c>
      <c r="BR3">
        <v>0</v>
      </c>
      <c r="BS3">
        <v>0</v>
      </c>
      <c r="BT3">
        <v>0</v>
      </c>
      <c r="BU3">
        <v>0</v>
      </c>
      <c r="BV3">
        <v>0</v>
      </c>
      <c r="BW3">
        <v>81.599999999999994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1.1084387744431663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0.26200000000000001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1.4999999999999999E-2</v>
      </c>
      <c r="HI3">
        <v>0</v>
      </c>
      <c r="HJ3">
        <v>0</v>
      </c>
      <c r="HK3">
        <v>0</v>
      </c>
      <c r="HL3">
        <v>0</v>
      </c>
      <c r="HM3">
        <v>0</v>
      </c>
      <c r="HN3">
        <v>81.599999999999994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0.88900000000000001</v>
      </c>
      <c r="LI3">
        <v>1</v>
      </c>
      <c r="LJ3">
        <v>0.91700000000000004</v>
      </c>
      <c r="LK3">
        <v>1</v>
      </c>
      <c r="LL3">
        <v>1</v>
      </c>
      <c r="LM3">
        <v>0.95</v>
      </c>
      <c r="LN3">
        <v>0</v>
      </c>
      <c r="LO3">
        <v>1</v>
      </c>
      <c r="LP3">
        <v>0.78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</row>
    <row r="4" spans="1:355" x14ac:dyDescent="0.2">
      <c r="A4" t="str">
        <v>CDM AMS II G</v>
      </c>
      <c r="B4" t="str">
        <v>AMS-II.G. ver. 3</v>
      </c>
      <c r="C4" t="str">
        <v>GS10974</v>
      </c>
      <c r="D4">
        <v>2</v>
      </c>
      <c r="E4" t="str">
        <v>commercial</v>
      </c>
      <c r="F4">
        <v>69556</v>
      </c>
      <c r="G4" t="str">
        <v>firewood</v>
      </c>
      <c r="H4">
        <v>8463.6520801221541</v>
      </c>
      <c r="I4">
        <v>4.4223381566818529E-2</v>
      </c>
      <c r="J4">
        <v>4.4423607217808192E-2</v>
      </c>
      <c r="K4" t="str">
        <v>cdm_imp_firewood</v>
      </c>
      <c r="L4">
        <v>1</v>
      </c>
      <c r="M4" t="str">
        <v>Asia</v>
      </c>
      <c r="N4" t="str">
        <v>Bangladesh</v>
      </c>
      <c r="O4" t="str">
        <v>Bangladesh tot</v>
      </c>
      <c r="P4">
        <v>4.3</v>
      </c>
      <c r="Q4">
        <v>1</v>
      </c>
      <c r="R4">
        <v>0.46600000000000003</v>
      </c>
      <c r="S4">
        <v>0.52300000000000002</v>
      </c>
      <c r="T4">
        <v>971</v>
      </c>
      <c r="U4">
        <v>0</v>
      </c>
      <c r="V4">
        <v>197.1</v>
      </c>
      <c r="W4">
        <v>0</v>
      </c>
      <c r="X4">
        <v>191384.1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75.260273972602732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1.4999999999999999E-2</v>
      </c>
      <c r="BR4">
        <v>0</v>
      </c>
      <c r="BS4">
        <v>0</v>
      </c>
      <c r="BT4">
        <v>0</v>
      </c>
      <c r="BU4">
        <v>0</v>
      </c>
      <c r="BV4">
        <v>0</v>
      </c>
      <c r="BW4">
        <v>81.599999999999994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33.598336594911935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0.224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1.4999999999999999E-2</v>
      </c>
      <c r="HI4">
        <v>0</v>
      </c>
      <c r="HJ4">
        <v>0</v>
      </c>
      <c r="HK4">
        <v>0</v>
      </c>
      <c r="HL4">
        <v>0</v>
      </c>
      <c r="HM4">
        <v>0</v>
      </c>
      <c r="HN4">
        <v>81.599999999999994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0.91700000000000004</v>
      </c>
      <c r="LI4">
        <v>1</v>
      </c>
      <c r="LJ4">
        <v>0.91700000000000004</v>
      </c>
      <c r="LK4">
        <v>1</v>
      </c>
      <c r="LL4">
        <v>1</v>
      </c>
      <c r="LM4">
        <v>0.95</v>
      </c>
      <c r="LN4">
        <v>0</v>
      </c>
      <c r="LO4">
        <v>1</v>
      </c>
      <c r="LP4">
        <v>0.78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</row>
    <row r="5" spans="1:355" x14ac:dyDescent="0.2">
      <c r="A5" t="str">
        <v>CDM AMS II G</v>
      </c>
      <c r="B5" t="str">
        <v>AMS-II.G. ver. 3</v>
      </c>
      <c r="C5" t="str">
        <v>GS10974</v>
      </c>
      <c r="D5">
        <v>3</v>
      </c>
      <c r="E5" t="str">
        <v>domestic</v>
      </c>
      <c r="F5">
        <v>69556</v>
      </c>
      <c r="G5" t="str">
        <v>firewood</v>
      </c>
      <c r="H5">
        <v>29387.015158454175</v>
      </c>
      <c r="I5">
        <v>1.7723071739265371E-3</v>
      </c>
      <c r="J5">
        <v>1.8009381445338729E-3</v>
      </c>
      <c r="K5" t="str">
        <v>cdm_imp_firewood</v>
      </c>
      <c r="L5">
        <v>1</v>
      </c>
      <c r="M5" t="str">
        <v>Asia</v>
      </c>
      <c r="N5" t="str">
        <v>Bangladesh</v>
      </c>
      <c r="O5" t="str">
        <v>Bangladesh tot</v>
      </c>
      <c r="P5">
        <v>4.3</v>
      </c>
      <c r="Q5">
        <v>1</v>
      </c>
      <c r="R5">
        <v>0.46600000000000003</v>
      </c>
      <c r="S5">
        <v>0.52300000000000002</v>
      </c>
      <c r="T5">
        <v>44457</v>
      </c>
      <c r="U5">
        <v>971</v>
      </c>
      <c r="V5">
        <v>365</v>
      </c>
      <c r="W5">
        <v>0</v>
      </c>
      <c r="X5">
        <v>16226805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2.904109589041096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1.4999999999999999E-2</v>
      </c>
      <c r="BR5">
        <v>0</v>
      </c>
      <c r="BS5">
        <v>0</v>
      </c>
      <c r="BT5">
        <v>0</v>
      </c>
      <c r="BU5">
        <v>0</v>
      </c>
      <c r="BV5">
        <v>0</v>
      </c>
      <c r="BW5">
        <v>81.599999999999994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1.1300037311443951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0.25700000000000001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1.4999999999999999E-2</v>
      </c>
      <c r="HI5">
        <v>0</v>
      </c>
      <c r="HJ5">
        <v>0</v>
      </c>
      <c r="HK5">
        <v>0</v>
      </c>
      <c r="HL5">
        <v>0</v>
      </c>
      <c r="HM5">
        <v>0</v>
      </c>
      <c r="HN5">
        <v>81.599999999999994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0.873</v>
      </c>
      <c r="LI5">
        <v>1</v>
      </c>
      <c r="LJ5">
        <v>0.91100000000000003</v>
      </c>
      <c r="LK5">
        <v>1</v>
      </c>
      <c r="LL5">
        <v>1</v>
      </c>
      <c r="LM5">
        <v>0.95</v>
      </c>
      <c r="LN5">
        <v>0</v>
      </c>
      <c r="LO5">
        <v>1</v>
      </c>
      <c r="LP5">
        <v>0.78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</row>
    <row r="6" spans="1:355" x14ac:dyDescent="0.2">
      <c r="A6" t="str">
        <v>CDM AMS II G</v>
      </c>
      <c r="B6" t="str">
        <v>AMS-II.G. ver. 3</v>
      </c>
      <c r="C6" t="str">
        <v>GS10974</v>
      </c>
      <c r="D6">
        <v>3</v>
      </c>
      <c r="E6" t="str">
        <v>commercial</v>
      </c>
      <c r="F6">
        <v>69556</v>
      </c>
      <c r="G6" t="str">
        <v>firewood</v>
      </c>
      <c r="H6">
        <v>8294.9848415458255</v>
      </c>
      <c r="I6">
        <v>4.3342079313515726E-2</v>
      </c>
      <c r="J6">
        <v>4.3649803369441492E-2</v>
      </c>
      <c r="K6" t="str">
        <v>cdm_imp_firewood</v>
      </c>
      <c r="L6">
        <v>1</v>
      </c>
      <c r="M6" t="str">
        <v>Asia</v>
      </c>
      <c r="N6" t="str">
        <v>Bangladesh</v>
      </c>
      <c r="O6" t="str">
        <v>Bangladesh tot</v>
      </c>
      <c r="P6">
        <v>4.3</v>
      </c>
      <c r="Q6">
        <v>1</v>
      </c>
      <c r="R6">
        <v>0.46600000000000003</v>
      </c>
      <c r="S6">
        <v>0.52300000000000002</v>
      </c>
      <c r="T6">
        <v>971</v>
      </c>
      <c r="U6">
        <v>0</v>
      </c>
      <c r="V6">
        <v>197.1</v>
      </c>
      <c r="W6">
        <v>0</v>
      </c>
      <c r="X6">
        <v>191384.1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75.260273972602732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1.4999999999999999E-2</v>
      </c>
      <c r="BR6">
        <v>0</v>
      </c>
      <c r="BS6">
        <v>0</v>
      </c>
      <c r="BT6">
        <v>0</v>
      </c>
      <c r="BU6">
        <v>0</v>
      </c>
      <c r="BV6">
        <v>0</v>
      </c>
      <c r="BW6">
        <v>81.599999999999994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34.054422612037435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0.221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1.4999999999999999E-2</v>
      </c>
      <c r="HI6">
        <v>0</v>
      </c>
      <c r="HJ6">
        <v>0</v>
      </c>
      <c r="HK6">
        <v>0</v>
      </c>
      <c r="HL6">
        <v>0</v>
      </c>
      <c r="HM6">
        <v>0</v>
      </c>
      <c r="HN6">
        <v>81.599999999999994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0.91100000000000003</v>
      </c>
      <c r="LI6">
        <v>1</v>
      </c>
      <c r="LJ6">
        <v>0.91100000000000003</v>
      </c>
      <c r="LK6">
        <v>1</v>
      </c>
      <c r="LL6">
        <v>1</v>
      </c>
      <c r="LM6">
        <v>0.95</v>
      </c>
      <c r="LN6">
        <v>0</v>
      </c>
      <c r="LO6">
        <v>1</v>
      </c>
      <c r="LP6">
        <v>0.78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</row>
    <row r="7" spans="1:355" x14ac:dyDescent="0.2">
      <c r="A7" t="str">
        <v>CDM AMS II G</v>
      </c>
      <c r="B7" t="str">
        <v>AMS-II.G. ver. 3</v>
      </c>
      <c r="C7" t="str">
        <v>VCS1216</v>
      </c>
      <c r="D7">
        <v>2019</v>
      </c>
      <c r="E7">
        <v>2010</v>
      </c>
      <c r="F7">
        <v>414109</v>
      </c>
      <c r="G7" t="str">
        <v>firewood</v>
      </c>
      <c r="H7">
        <v>5212.9803793223209</v>
      </c>
      <c r="I7">
        <v>7.8642337877030868E-3</v>
      </c>
      <c r="J7">
        <v>7.8141551915654403E-3</v>
      </c>
      <c r="K7" t="str">
        <v>cdm_imp_firewood</v>
      </c>
      <c r="L7">
        <v>1</v>
      </c>
      <c r="M7" t="str">
        <v>Central America</v>
      </c>
      <c r="N7" t="str">
        <v>Mexico</v>
      </c>
      <c r="O7" t="str">
        <v>Mexico tot</v>
      </c>
      <c r="P7">
        <v>3.7</v>
      </c>
      <c r="Q7">
        <v>0.87</v>
      </c>
      <c r="R7">
        <v>4.5999999999999999E-2</v>
      </c>
      <c r="S7">
        <v>0.28399999999999997</v>
      </c>
      <c r="T7">
        <v>4361</v>
      </c>
      <c r="U7">
        <v>0</v>
      </c>
      <c r="V7">
        <v>152</v>
      </c>
      <c r="W7">
        <v>0</v>
      </c>
      <c r="X7">
        <v>662872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14.63013698630137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1.4999999999999999E-2</v>
      </c>
      <c r="BR7">
        <v>0</v>
      </c>
      <c r="BS7">
        <v>0</v>
      </c>
      <c r="BT7">
        <v>0</v>
      </c>
      <c r="BU7">
        <v>0</v>
      </c>
      <c r="BV7">
        <v>0</v>
      </c>
      <c r="BW7">
        <v>81.599999999999994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6.1861044339540694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0.23649999999999999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1.4999999999999999E-2</v>
      </c>
      <c r="HI7">
        <v>0</v>
      </c>
      <c r="HJ7">
        <v>0</v>
      </c>
      <c r="HK7">
        <v>0</v>
      </c>
      <c r="HL7">
        <v>0</v>
      </c>
      <c r="HM7">
        <v>0</v>
      </c>
      <c r="HN7">
        <v>81.599999999999994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0.92500000000000004</v>
      </c>
      <c r="LI7">
        <v>1</v>
      </c>
      <c r="LJ7">
        <v>0</v>
      </c>
      <c r="LK7">
        <v>0</v>
      </c>
      <c r="LL7">
        <v>1</v>
      </c>
      <c r="LM7">
        <v>0.95</v>
      </c>
      <c r="LN7">
        <v>0</v>
      </c>
      <c r="LO7">
        <v>1</v>
      </c>
      <c r="LP7">
        <v>0.78</v>
      </c>
      <c r="LQ7">
        <v>0</v>
      </c>
      <c r="LR7">
        <v>1.1068694999999962E-2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</row>
    <row r="8" spans="1:355" x14ac:dyDescent="0.2">
      <c r="A8" t="str">
        <v>CDM AMS II G</v>
      </c>
      <c r="B8" t="str">
        <v>AMS-II.G. ver. 3</v>
      </c>
      <c r="C8" t="str">
        <v>VCS1216</v>
      </c>
      <c r="D8">
        <v>2020</v>
      </c>
      <c r="E8">
        <v>2010</v>
      </c>
      <c r="F8">
        <v>414109</v>
      </c>
      <c r="G8" t="str">
        <v>firewood</v>
      </c>
      <c r="H8">
        <v>5178.9086121372065</v>
      </c>
      <c r="I8">
        <v>7.7617692951895464E-3</v>
      </c>
      <c r="J8">
        <v>7.8141551915654403E-3</v>
      </c>
      <c r="K8" t="str">
        <v>cdm_imp_firewood</v>
      </c>
      <c r="L8">
        <v>1</v>
      </c>
      <c r="M8" t="str">
        <v>Central America</v>
      </c>
      <c r="N8" t="str">
        <v>Mexico</v>
      </c>
      <c r="O8" t="str">
        <v>Mexico tot</v>
      </c>
      <c r="P8">
        <v>3.7</v>
      </c>
      <c r="Q8">
        <v>0.87</v>
      </c>
      <c r="R8">
        <v>4.5999999999999999E-2</v>
      </c>
      <c r="S8">
        <v>0.28399999999999997</v>
      </c>
      <c r="T8">
        <v>4361</v>
      </c>
      <c r="U8">
        <v>0</v>
      </c>
      <c r="V8">
        <v>153</v>
      </c>
      <c r="W8">
        <v>0</v>
      </c>
      <c r="X8">
        <v>667233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14.63013698630137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1.4999999999999999E-2</v>
      </c>
      <c r="BR8">
        <v>0</v>
      </c>
      <c r="BS8">
        <v>0</v>
      </c>
      <c r="BT8">
        <v>0</v>
      </c>
      <c r="BU8">
        <v>0</v>
      </c>
      <c r="BV8">
        <v>0</v>
      </c>
      <c r="BW8">
        <v>81.599999999999994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6.1861044339540694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0.23649999999999999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1.4999999999999999E-2</v>
      </c>
      <c r="HI8">
        <v>0</v>
      </c>
      <c r="HJ8">
        <v>0</v>
      </c>
      <c r="HK8">
        <v>0</v>
      </c>
      <c r="HL8">
        <v>0</v>
      </c>
      <c r="HM8">
        <v>0</v>
      </c>
      <c r="HN8">
        <v>81.599999999999994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0.92500000000000004</v>
      </c>
      <c r="LI8">
        <v>1</v>
      </c>
      <c r="LJ8">
        <v>0</v>
      </c>
      <c r="LK8">
        <v>0</v>
      </c>
      <c r="LL8">
        <v>1</v>
      </c>
      <c r="LM8">
        <v>0.95</v>
      </c>
      <c r="LN8">
        <v>0</v>
      </c>
      <c r="LO8">
        <v>1</v>
      </c>
      <c r="LP8">
        <v>0.78</v>
      </c>
      <c r="LQ8">
        <v>0</v>
      </c>
      <c r="LR8">
        <v>1.1068694999999962E-2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</row>
    <row r="9" spans="1:355" x14ac:dyDescent="0.2">
      <c r="A9" t="str">
        <v>CDM AMS II G</v>
      </c>
      <c r="B9" t="str">
        <v>AMS-II.G. ver. 3</v>
      </c>
      <c r="C9" t="str">
        <v>VCS1216</v>
      </c>
      <c r="D9">
        <v>2019</v>
      </c>
      <c r="E9">
        <v>2011</v>
      </c>
      <c r="F9">
        <v>414109</v>
      </c>
      <c r="G9" t="str">
        <v>firewood</v>
      </c>
      <c r="H9">
        <v>10233.207077590507</v>
      </c>
      <c r="I9">
        <v>7.8981382887871598E-3</v>
      </c>
      <c r="J9">
        <v>7.8478437924279689E-3</v>
      </c>
      <c r="K9" t="str">
        <v>cdm_imp_firewood</v>
      </c>
      <c r="L9">
        <v>1</v>
      </c>
      <c r="M9" t="str">
        <v>Central America</v>
      </c>
      <c r="N9" t="str">
        <v>Mexico</v>
      </c>
      <c r="O9" t="str">
        <v>Mexico tot</v>
      </c>
      <c r="P9">
        <v>3.7</v>
      </c>
      <c r="Q9">
        <v>0.87</v>
      </c>
      <c r="R9">
        <v>4.5999999999999999E-2</v>
      </c>
      <c r="S9">
        <v>0.28399999999999997</v>
      </c>
      <c r="T9">
        <v>8524</v>
      </c>
      <c r="U9">
        <v>0</v>
      </c>
      <c r="V9">
        <v>152</v>
      </c>
      <c r="W9">
        <v>0</v>
      </c>
      <c r="X9">
        <v>1295648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14.63013698630137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1.4999999999999999E-2</v>
      </c>
      <c r="BR9">
        <v>0</v>
      </c>
      <c r="BS9">
        <v>0</v>
      </c>
      <c r="BT9">
        <v>0</v>
      </c>
      <c r="BU9">
        <v>0</v>
      </c>
      <c r="BV9">
        <v>0</v>
      </c>
      <c r="BW9">
        <v>81.599999999999994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6.1497002884831318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0.2379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1.4999999999999999E-2</v>
      </c>
      <c r="HI9">
        <v>0</v>
      </c>
      <c r="HJ9">
        <v>0</v>
      </c>
      <c r="HK9">
        <v>0</v>
      </c>
      <c r="HL9">
        <v>0</v>
      </c>
      <c r="HM9">
        <v>0</v>
      </c>
      <c r="HN9">
        <v>81.599999999999994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0.92500000000000004</v>
      </c>
      <c r="LI9">
        <v>1</v>
      </c>
      <c r="LJ9">
        <v>0</v>
      </c>
      <c r="LK9">
        <v>0</v>
      </c>
      <c r="LL9">
        <v>1</v>
      </c>
      <c r="LM9">
        <v>0.95</v>
      </c>
      <c r="LN9">
        <v>0</v>
      </c>
      <c r="LO9">
        <v>1</v>
      </c>
      <c r="LP9">
        <v>0.78</v>
      </c>
      <c r="LQ9">
        <v>0</v>
      </c>
      <c r="LR9">
        <v>1.1068694999999962E-2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</row>
    <row r="10" spans="1:355" x14ac:dyDescent="0.2">
      <c r="A10" t="str">
        <v>CDM AMS II G</v>
      </c>
      <c r="B10" t="str">
        <v>AMS-II.G. ver. 3</v>
      </c>
      <c r="C10" t="str">
        <v>VCS1216</v>
      </c>
      <c r="D10">
        <v>2020</v>
      </c>
      <c r="E10">
        <v>2011</v>
      </c>
      <c r="F10">
        <v>414109</v>
      </c>
      <c r="G10" t="str">
        <v>firewood</v>
      </c>
      <c r="H10">
        <v>10166.323371201024</v>
      </c>
      <c r="I10">
        <v>7.7952320485342608E-3</v>
      </c>
      <c r="J10">
        <v>7.8478437924279689E-3</v>
      </c>
      <c r="K10" t="str">
        <v>cdm_imp_firewood</v>
      </c>
      <c r="L10">
        <v>1</v>
      </c>
      <c r="M10" t="str">
        <v>Central America</v>
      </c>
      <c r="N10" t="str">
        <v>Mexico</v>
      </c>
      <c r="O10" t="str">
        <v>Mexico tot</v>
      </c>
      <c r="P10">
        <v>3.7</v>
      </c>
      <c r="Q10">
        <v>0.87</v>
      </c>
      <c r="R10">
        <v>4.5999999999999999E-2</v>
      </c>
      <c r="S10">
        <v>0.28399999999999997</v>
      </c>
      <c r="T10">
        <v>8524</v>
      </c>
      <c r="U10">
        <v>0</v>
      </c>
      <c r="V10">
        <v>153</v>
      </c>
      <c r="W10">
        <v>0</v>
      </c>
      <c r="X10">
        <v>1304172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14.63013698630137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1.4999999999999999E-2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81.599999999999994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6.1497002884831318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0.2379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1.4999999999999999E-2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81.599999999999994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0.92500000000000004</v>
      </c>
      <c r="LI10">
        <v>1</v>
      </c>
      <c r="LJ10">
        <v>0</v>
      </c>
      <c r="LK10">
        <v>0</v>
      </c>
      <c r="LL10">
        <v>1</v>
      </c>
      <c r="LM10">
        <v>0.95</v>
      </c>
      <c r="LN10">
        <v>0</v>
      </c>
      <c r="LO10">
        <v>1</v>
      </c>
      <c r="LP10">
        <v>0.78</v>
      </c>
      <c r="LQ10">
        <v>0</v>
      </c>
      <c r="LR10">
        <v>1.1068694999999962E-2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</row>
    <row r="11" spans="1:355" x14ac:dyDescent="0.2">
      <c r="A11" t="str">
        <v>CDM AMS II G</v>
      </c>
      <c r="B11" t="str">
        <v>AMS-II.G. ver. 3</v>
      </c>
      <c r="C11" t="str">
        <v>VCS1216</v>
      </c>
      <c r="D11">
        <v>2019</v>
      </c>
      <c r="E11">
        <v>2013</v>
      </c>
      <c r="F11">
        <v>414109</v>
      </c>
      <c r="G11" t="str">
        <v>firewood</v>
      </c>
      <c r="H11">
        <v>4627.1573859887476</v>
      </c>
      <c r="I11">
        <v>7.8397694843730884E-3</v>
      </c>
      <c r="J11">
        <v>7.7898466742915683E-3</v>
      </c>
      <c r="K11" t="str">
        <v>cdm_imp_firewood</v>
      </c>
      <c r="L11">
        <v>1</v>
      </c>
      <c r="M11" t="str">
        <v>Central America</v>
      </c>
      <c r="N11" t="str">
        <v>Mexico</v>
      </c>
      <c r="O11" t="str">
        <v>Mexico tot</v>
      </c>
      <c r="P11">
        <v>3.7</v>
      </c>
      <c r="Q11">
        <v>0.87</v>
      </c>
      <c r="R11">
        <v>4.5999999999999999E-2</v>
      </c>
      <c r="S11">
        <v>0.28399999999999997</v>
      </c>
      <c r="T11">
        <v>3883</v>
      </c>
      <c r="U11">
        <v>0</v>
      </c>
      <c r="V11">
        <v>152</v>
      </c>
      <c r="W11">
        <v>0</v>
      </c>
      <c r="X11">
        <v>590216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14.63013698630137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1.4999999999999999E-2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81.599999999999994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6.2123723933339168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0.23549999999999999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1.4999999999999999E-2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81.599999999999994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0.92500000000000004</v>
      </c>
      <c r="LI11">
        <v>1</v>
      </c>
      <c r="LJ11">
        <v>0</v>
      </c>
      <c r="LK11">
        <v>0</v>
      </c>
      <c r="LL11">
        <v>1</v>
      </c>
      <c r="LM11">
        <v>0.95</v>
      </c>
      <c r="LN11">
        <v>0</v>
      </c>
      <c r="LO11">
        <v>1</v>
      </c>
      <c r="LP11">
        <v>0.78</v>
      </c>
      <c r="LQ11">
        <v>0</v>
      </c>
      <c r="LR11">
        <v>1.1068694999999962E-2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</row>
    <row r="12" spans="1:355" x14ac:dyDescent="0.2">
      <c r="A12" t="str">
        <v>CDM AMS II G</v>
      </c>
      <c r="B12" t="str">
        <v>AMS-II.G. ver. 3</v>
      </c>
      <c r="C12" t="str">
        <v>VCS1216</v>
      </c>
      <c r="D12">
        <v>2020</v>
      </c>
      <c r="E12">
        <v>2013</v>
      </c>
      <c r="F12">
        <v>414109</v>
      </c>
      <c r="G12" t="str">
        <v>firewood</v>
      </c>
      <c r="H12">
        <v>4596.9145272567948</v>
      </c>
      <c r="I12">
        <v>7.7376237415932268E-3</v>
      </c>
      <c r="J12">
        <v>7.7898466742915683E-3</v>
      </c>
      <c r="K12" t="str">
        <v>cdm_imp_firewood</v>
      </c>
      <c r="L12">
        <v>1</v>
      </c>
      <c r="M12" t="str">
        <v>Central America</v>
      </c>
      <c r="N12" t="str">
        <v>Mexico</v>
      </c>
      <c r="O12" t="str">
        <v>Mexico tot</v>
      </c>
      <c r="P12">
        <v>3.7</v>
      </c>
      <c r="Q12">
        <v>0.87</v>
      </c>
      <c r="R12">
        <v>4.5999999999999999E-2</v>
      </c>
      <c r="S12">
        <v>0.28399999999999997</v>
      </c>
      <c r="T12">
        <v>3883</v>
      </c>
      <c r="U12">
        <v>0</v>
      </c>
      <c r="V12">
        <v>153</v>
      </c>
      <c r="W12">
        <v>0</v>
      </c>
      <c r="X12">
        <v>594099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14.63013698630137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1.4999999999999999E-2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81.599999999999994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6.2123723933339168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0.23549999999999999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1.4999999999999999E-2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81.599999999999994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0.92500000000000004</v>
      </c>
      <c r="LI12">
        <v>1</v>
      </c>
      <c r="LJ12">
        <v>0</v>
      </c>
      <c r="LK12">
        <v>0</v>
      </c>
      <c r="LL12">
        <v>1</v>
      </c>
      <c r="LM12">
        <v>0.95</v>
      </c>
      <c r="LN12">
        <v>0</v>
      </c>
      <c r="LO12">
        <v>1</v>
      </c>
      <c r="LP12">
        <v>0.78</v>
      </c>
      <c r="LQ12">
        <v>0</v>
      </c>
      <c r="LR12">
        <v>1.1068694999999962E-2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</row>
    <row r="13" spans="1:355" x14ac:dyDescent="0.2">
      <c r="A13" t="str">
        <v>CDM AMS II G</v>
      </c>
      <c r="B13" t="str">
        <v>AMS-II.G. ver. 3</v>
      </c>
      <c r="C13" t="str">
        <v>VCS1216</v>
      </c>
      <c r="D13">
        <v>2019</v>
      </c>
      <c r="E13">
        <v>2014</v>
      </c>
      <c r="F13">
        <v>414109</v>
      </c>
      <c r="G13" t="str">
        <v>firewood</v>
      </c>
      <c r="H13">
        <v>7115.2331694847753</v>
      </c>
      <c r="I13">
        <v>7.9340244976413635E-3</v>
      </c>
      <c r="J13">
        <v>7.8835014817583843E-3</v>
      </c>
      <c r="K13" t="str">
        <v>cdm_imp_firewood</v>
      </c>
      <c r="L13">
        <v>1</v>
      </c>
      <c r="M13" t="str">
        <v>Central America</v>
      </c>
      <c r="N13" t="str">
        <v>Mexico</v>
      </c>
      <c r="O13" t="str">
        <v>Mexico tot</v>
      </c>
      <c r="P13">
        <v>3.7</v>
      </c>
      <c r="Q13">
        <v>0.87</v>
      </c>
      <c r="R13">
        <v>4.5999999999999999E-2</v>
      </c>
      <c r="S13">
        <v>0.28399999999999997</v>
      </c>
      <c r="T13">
        <v>5900</v>
      </c>
      <c r="U13">
        <v>0</v>
      </c>
      <c r="V13">
        <v>152</v>
      </c>
      <c r="W13">
        <v>0</v>
      </c>
      <c r="X13">
        <v>896800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14.63013698630137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1.4999999999999999E-2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81.599999999999994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6.1111683317883738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0.2394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1.4999999999999999E-2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81.599999999999994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0.92500000000000004</v>
      </c>
      <c r="LI13">
        <v>1</v>
      </c>
      <c r="LJ13">
        <v>0</v>
      </c>
      <c r="LK13">
        <v>0</v>
      </c>
      <c r="LL13">
        <v>1</v>
      </c>
      <c r="LM13">
        <v>0.95</v>
      </c>
      <c r="LN13">
        <v>0</v>
      </c>
      <c r="LO13">
        <v>1</v>
      </c>
      <c r="LP13">
        <v>0.78</v>
      </c>
      <c r="LQ13">
        <v>0</v>
      </c>
      <c r="LR13">
        <v>1.1068694999999962E-2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</row>
    <row r="14" spans="1:355" x14ac:dyDescent="0.2">
      <c r="A14" t="str">
        <v>CDM AMS II G</v>
      </c>
      <c r="B14" t="str">
        <v>AMS-II.G. ver. 3</v>
      </c>
      <c r="C14" t="str">
        <v>VCS1216</v>
      </c>
      <c r="D14">
        <v>2020</v>
      </c>
      <c r="E14">
        <v>2014</v>
      </c>
      <c r="F14">
        <v>414109</v>
      </c>
      <c r="G14" t="str">
        <v>firewood</v>
      </c>
      <c r="H14">
        <v>7068.7283775273581</v>
      </c>
      <c r="I14">
        <v>7.830650689628179E-3</v>
      </c>
      <c r="J14">
        <v>7.8835014817583843E-3</v>
      </c>
      <c r="K14" t="str">
        <v>cdm_imp_firewood</v>
      </c>
      <c r="L14">
        <v>1</v>
      </c>
      <c r="M14" t="str">
        <v>Central America</v>
      </c>
      <c r="N14" t="str">
        <v>Mexico</v>
      </c>
      <c r="O14" t="str">
        <v>Mexico tot</v>
      </c>
      <c r="P14">
        <v>3.7</v>
      </c>
      <c r="Q14">
        <v>0.87</v>
      </c>
      <c r="R14">
        <v>4.5999999999999999E-2</v>
      </c>
      <c r="S14">
        <v>0.28399999999999997</v>
      </c>
      <c r="T14">
        <v>5900</v>
      </c>
      <c r="U14">
        <v>0</v>
      </c>
      <c r="V14">
        <v>153</v>
      </c>
      <c r="W14">
        <v>0</v>
      </c>
      <c r="X14">
        <v>902700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14.63013698630137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1.4999999999999999E-2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81.599999999999994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6.1111683317883738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0.2394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1.4999999999999999E-2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81.599999999999994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0.92500000000000004</v>
      </c>
      <c r="LI14">
        <v>1</v>
      </c>
      <c r="LJ14">
        <v>0</v>
      </c>
      <c r="LK14">
        <v>0</v>
      </c>
      <c r="LL14">
        <v>1</v>
      </c>
      <c r="LM14">
        <v>0.95</v>
      </c>
      <c r="LN14">
        <v>0</v>
      </c>
      <c r="LO14">
        <v>1</v>
      </c>
      <c r="LP14">
        <v>0.78</v>
      </c>
      <c r="LQ14">
        <v>0</v>
      </c>
      <c r="LR14">
        <v>1.1068694999999962E-2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</row>
    <row r="15" spans="1:355" x14ac:dyDescent="0.2">
      <c r="A15" t="str">
        <v>CDM AMS II G</v>
      </c>
      <c r="B15" t="str">
        <v>AMS-II.G. ver. 3</v>
      </c>
      <c r="C15" t="str">
        <v>VCS1216</v>
      </c>
      <c r="D15">
        <v>2019</v>
      </c>
      <c r="E15">
        <v>2015</v>
      </c>
      <c r="F15">
        <v>414109</v>
      </c>
      <c r="G15" t="str">
        <v>firewood</v>
      </c>
      <c r="H15">
        <v>4872.0540362030943</v>
      </c>
      <c r="I15">
        <v>7.8812360659659495E-3</v>
      </c>
      <c r="J15">
        <v>7.8310492011463752E-3</v>
      </c>
      <c r="K15" t="str">
        <v>cdm_imp_firewood</v>
      </c>
      <c r="L15">
        <v>1</v>
      </c>
      <c r="M15" t="str">
        <v>Central America</v>
      </c>
      <c r="N15" t="str">
        <v>Mexico</v>
      </c>
      <c r="O15" t="str">
        <v>Mexico tot</v>
      </c>
      <c r="P15">
        <v>3.7</v>
      </c>
      <c r="Q15">
        <v>0.87</v>
      </c>
      <c r="R15">
        <v>4.5999999999999999E-2</v>
      </c>
      <c r="S15">
        <v>0.28399999999999997</v>
      </c>
      <c r="T15">
        <v>4067</v>
      </c>
      <c r="U15">
        <v>0</v>
      </c>
      <c r="V15">
        <v>152</v>
      </c>
      <c r="W15">
        <v>0</v>
      </c>
      <c r="X15">
        <v>618184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14.63013698630137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1.4999999999999999E-2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81.599999999999994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6.1678486451523487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0.23719999999999999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1.4999999999999999E-2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81.599999999999994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0.92500000000000004</v>
      </c>
      <c r="LI15">
        <v>1</v>
      </c>
      <c r="LJ15">
        <v>0</v>
      </c>
      <c r="LK15">
        <v>0</v>
      </c>
      <c r="LL15">
        <v>1</v>
      </c>
      <c r="LM15">
        <v>0.95</v>
      </c>
      <c r="LN15">
        <v>0</v>
      </c>
      <c r="LO15">
        <v>1</v>
      </c>
      <c r="LP15">
        <v>0.78</v>
      </c>
      <c r="LQ15">
        <v>0</v>
      </c>
      <c r="LR15">
        <v>1.1068694999999962E-2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</row>
    <row r="16" spans="1:355" x14ac:dyDescent="0.2">
      <c r="A16" t="str">
        <v>CDM AMS II G</v>
      </c>
      <c r="B16" t="str">
        <v>AMS-II.G. ver. 3</v>
      </c>
      <c r="C16" t="str">
        <v>VCS1216</v>
      </c>
      <c r="D16">
        <v>2020</v>
      </c>
      <c r="E16">
        <v>2015</v>
      </c>
      <c r="F16">
        <v>414109</v>
      </c>
      <c r="G16" t="str">
        <v>firewood</v>
      </c>
      <c r="H16">
        <v>4840.2105457703947</v>
      </c>
      <c r="I16">
        <v>7.7785500477627117E-3</v>
      </c>
      <c r="J16">
        <v>7.8310492011463752E-3</v>
      </c>
      <c r="K16" t="str">
        <v>cdm_imp_firewood</v>
      </c>
      <c r="L16">
        <v>1</v>
      </c>
      <c r="M16" t="str">
        <v>Central America</v>
      </c>
      <c r="N16" t="str">
        <v>Mexico</v>
      </c>
      <c r="O16" t="str">
        <v>Mexico tot</v>
      </c>
      <c r="P16">
        <v>3.7</v>
      </c>
      <c r="Q16">
        <v>0.87</v>
      </c>
      <c r="R16">
        <v>4.5999999999999999E-2</v>
      </c>
      <c r="S16">
        <v>0.28399999999999997</v>
      </c>
      <c r="T16">
        <v>4067</v>
      </c>
      <c r="U16">
        <v>0</v>
      </c>
      <c r="V16">
        <v>153</v>
      </c>
      <c r="W16">
        <v>0</v>
      </c>
      <c r="X16">
        <v>622251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14.63013698630137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1.4999999999999999E-2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81.599999999999994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6.1678486451523487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0.23719999999999999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1.4999999999999999E-2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81.599999999999994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0.92500000000000004</v>
      </c>
      <c r="LI16">
        <v>1</v>
      </c>
      <c r="LJ16">
        <v>0</v>
      </c>
      <c r="LK16">
        <v>0</v>
      </c>
      <c r="LL16">
        <v>1</v>
      </c>
      <c r="LM16">
        <v>0.95</v>
      </c>
      <c r="LN16">
        <v>0</v>
      </c>
      <c r="LO16">
        <v>1</v>
      </c>
      <c r="LP16">
        <v>0.78</v>
      </c>
      <c r="LQ16">
        <v>0</v>
      </c>
      <c r="LR16">
        <v>1.1068694999999962E-2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</row>
    <row r="17" spans="1:355" x14ac:dyDescent="0.2">
      <c r="A17" t="str">
        <v>CDM AMS II G</v>
      </c>
      <c r="B17" t="str">
        <v>AMS-II.G. ver. 3</v>
      </c>
      <c r="C17" t="str">
        <v>VCS1216</v>
      </c>
      <c r="D17">
        <v>2019</v>
      </c>
      <c r="E17">
        <v>2016</v>
      </c>
      <c r="F17">
        <v>414109</v>
      </c>
      <c r="G17" t="str">
        <v>firewood</v>
      </c>
      <c r="H17">
        <v>5272.5794038521699</v>
      </c>
      <c r="I17">
        <v>7.8836414531282453E-3</v>
      </c>
      <c r="J17">
        <v>7.7628677460970406E-3</v>
      </c>
      <c r="K17" t="str">
        <v>cdm_imp_firewood</v>
      </c>
      <c r="L17">
        <v>1</v>
      </c>
      <c r="M17" t="str">
        <v>Central America</v>
      </c>
      <c r="N17" t="str">
        <v>Mexico</v>
      </c>
      <c r="O17" t="str">
        <v>Mexico tot</v>
      </c>
      <c r="P17">
        <v>3.7</v>
      </c>
      <c r="Q17">
        <v>0.87</v>
      </c>
      <c r="R17">
        <v>4.5999999999999999E-2</v>
      </c>
      <c r="S17">
        <v>0.28399999999999997</v>
      </c>
      <c r="T17">
        <v>4400</v>
      </c>
      <c r="U17">
        <v>0</v>
      </c>
      <c r="V17">
        <v>152</v>
      </c>
      <c r="W17">
        <v>0</v>
      </c>
      <c r="X17">
        <v>668800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14.63013698630137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1.4999999999999999E-2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81.599999999999994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6.2415260180466596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0.2344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1.4999999999999999E-2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81.599999999999994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0.92500000000000004</v>
      </c>
      <c r="LI17">
        <v>1</v>
      </c>
      <c r="LJ17">
        <v>0</v>
      </c>
      <c r="LK17">
        <v>0</v>
      </c>
      <c r="LL17">
        <v>1</v>
      </c>
      <c r="LM17">
        <v>0.95</v>
      </c>
      <c r="LN17">
        <v>0</v>
      </c>
      <c r="LO17">
        <v>1</v>
      </c>
      <c r="LP17">
        <v>0.78</v>
      </c>
      <c r="LQ17">
        <v>0</v>
      </c>
      <c r="LR17">
        <v>1.1068694999999962E-2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</row>
    <row r="18" spans="1:355" x14ac:dyDescent="0.2">
      <c r="A18" t="str">
        <v>CDM AMS II G</v>
      </c>
      <c r="B18" t="str">
        <v>AMS-II.G. ver. 3</v>
      </c>
      <c r="C18" t="str">
        <v>VCS1216</v>
      </c>
      <c r="D18">
        <v>2020</v>
      </c>
      <c r="E18">
        <v>2016</v>
      </c>
      <c r="F18">
        <v>414109</v>
      </c>
      <c r="G18" t="str">
        <v>firewood</v>
      </c>
      <c r="H18">
        <v>5238.118100559017</v>
      </c>
      <c r="I18">
        <v>7.7809240947103635E-3</v>
      </c>
      <c r="J18">
        <v>7.7628677460970406E-3</v>
      </c>
      <c r="K18" t="str">
        <v>cdm_imp_firewood</v>
      </c>
      <c r="L18">
        <v>1</v>
      </c>
      <c r="M18" t="str">
        <v>Central America</v>
      </c>
      <c r="N18" t="str">
        <v>Mexico</v>
      </c>
      <c r="O18" t="str">
        <v>Mexico tot</v>
      </c>
      <c r="P18">
        <v>3.7</v>
      </c>
      <c r="Q18">
        <v>0.87</v>
      </c>
      <c r="R18">
        <v>4.5999999999999999E-2</v>
      </c>
      <c r="S18">
        <v>0.28399999999999997</v>
      </c>
      <c r="T18">
        <v>4400</v>
      </c>
      <c r="U18">
        <v>0</v>
      </c>
      <c r="V18">
        <v>153</v>
      </c>
      <c r="W18">
        <v>0</v>
      </c>
      <c r="X18">
        <v>673200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14.63013698630137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1.4999999999999999E-2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81.599999999999994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6.2415260180466596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0.2344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1.4999999999999999E-2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81.599999999999994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0.92500000000000004</v>
      </c>
      <c r="LI18">
        <v>1</v>
      </c>
      <c r="LJ18">
        <v>0</v>
      </c>
      <c r="LK18">
        <v>0</v>
      </c>
      <c r="LL18">
        <v>1</v>
      </c>
      <c r="LM18">
        <v>0.95</v>
      </c>
      <c r="LN18">
        <v>0</v>
      </c>
      <c r="LO18">
        <v>1</v>
      </c>
      <c r="LP18">
        <v>0.78</v>
      </c>
      <c r="LQ18">
        <v>0</v>
      </c>
      <c r="LR18">
        <v>1.1068694999999962E-2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</row>
    <row r="19" spans="1:355" x14ac:dyDescent="0.2">
      <c r="A19" t="str">
        <v>CDM AMS II G</v>
      </c>
      <c r="B19" t="str">
        <v>AMS-II.G. ver. 3</v>
      </c>
      <c r="C19" t="str">
        <v>VCS1216</v>
      </c>
      <c r="D19">
        <v>2017</v>
      </c>
      <c r="E19">
        <v>2010</v>
      </c>
      <c r="F19">
        <v>414109</v>
      </c>
      <c r="G19" t="str">
        <v>firewood</v>
      </c>
      <c r="H19">
        <v>2671.7941662528178</v>
      </c>
      <c r="I19">
        <v>4.0042896053594738E-3</v>
      </c>
      <c r="J19">
        <v>4.0041904882084818E-3</v>
      </c>
      <c r="K19" t="str">
        <v>cdm_imp_firewood</v>
      </c>
      <c r="L19">
        <v>1</v>
      </c>
      <c r="M19" t="str">
        <v>Central America</v>
      </c>
      <c r="N19" t="str">
        <v>Mexico</v>
      </c>
      <c r="O19" t="str">
        <v>Mexico tot</v>
      </c>
      <c r="P19">
        <v>3.7</v>
      </c>
      <c r="Q19">
        <v>0.87</v>
      </c>
      <c r="R19">
        <v>4.5999999999999999E-2</v>
      </c>
      <c r="S19">
        <v>0.28399999999999997</v>
      </c>
      <c r="T19">
        <v>4361</v>
      </c>
      <c r="U19">
        <v>0</v>
      </c>
      <c r="V19">
        <v>153</v>
      </c>
      <c r="W19">
        <v>0</v>
      </c>
      <c r="X19">
        <v>667233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14.63013698630137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1.4999999999999999E-2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81.599999999999994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6.8110507385015699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0.21479999999999999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1.4999999999999999E-2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81.599999999999994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0.5887</v>
      </c>
      <c r="LI19">
        <v>1</v>
      </c>
      <c r="LJ19">
        <v>0</v>
      </c>
      <c r="LK19">
        <v>0</v>
      </c>
      <c r="LL19">
        <v>1</v>
      </c>
      <c r="LM19">
        <v>0.95</v>
      </c>
      <c r="LN19">
        <v>0</v>
      </c>
      <c r="LO19">
        <v>1</v>
      </c>
      <c r="LP19">
        <v>0.78</v>
      </c>
      <c r="LQ19">
        <v>0</v>
      </c>
      <c r="LR19">
        <v>0.14011491799999998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</row>
    <row r="20" spans="1:355" x14ac:dyDescent="0.2">
      <c r="A20" t="str">
        <v>CDM AMS II G</v>
      </c>
      <c r="B20" t="str">
        <v>AMS-II.G. ver. 3</v>
      </c>
      <c r="C20" t="str">
        <v>VCS1216</v>
      </c>
      <c r="D20">
        <v>2018</v>
      </c>
      <c r="E20">
        <v>2010</v>
      </c>
      <c r="F20">
        <v>414109</v>
      </c>
      <c r="G20" t="str">
        <v>firewood</v>
      </c>
      <c r="H20">
        <v>3702.0938774222054</v>
      </c>
      <c r="I20">
        <v>4.0042896053594746E-3</v>
      </c>
      <c r="J20">
        <v>4.0041904882084818E-3</v>
      </c>
      <c r="K20" t="str">
        <v>cdm_imp_firewood</v>
      </c>
      <c r="L20">
        <v>1</v>
      </c>
      <c r="M20" t="str">
        <v>Central America</v>
      </c>
      <c r="N20" t="str">
        <v>Mexico</v>
      </c>
      <c r="O20" t="str">
        <v>Mexico tot</v>
      </c>
      <c r="P20">
        <v>3.7</v>
      </c>
      <c r="Q20">
        <v>0.87</v>
      </c>
      <c r="R20">
        <v>4.5999999999999999E-2</v>
      </c>
      <c r="S20">
        <v>0.28399999999999997</v>
      </c>
      <c r="T20">
        <v>4361</v>
      </c>
      <c r="U20">
        <v>0</v>
      </c>
      <c r="V20">
        <v>212</v>
      </c>
      <c r="W20">
        <v>0</v>
      </c>
      <c r="X20">
        <v>924532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14.63013698630137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1.4999999999999999E-2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81.599999999999994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6.8110507385015699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0.21479999999999999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1.4999999999999999E-2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81.599999999999994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0.5887</v>
      </c>
      <c r="LI20">
        <v>1</v>
      </c>
      <c r="LJ20">
        <v>0</v>
      </c>
      <c r="LK20">
        <v>0</v>
      </c>
      <c r="LL20">
        <v>1</v>
      </c>
      <c r="LM20">
        <v>0.95</v>
      </c>
      <c r="LN20">
        <v>0</v>
      </c>
      <c r="LO20">
        <v>1</v>
      </c>
      <c r="LP20">
        <v>0.78</v>
      </c>
      <c r="LQ20">
        <v>0</v>
      </c>
      <c r="LR20">
        <v>0.14011491799999998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</row>
    <row r="21" spans="1:355" x14ac:dyDescent="0.2">
      <c r="A21" t="str">
        <v>CDM AMS II G</v>
      </c>
      <c r="B21" t="str">
        <v>AMS-II.G. ver. 3</v>
      </c>
      <c r="C21" t="str">
        <v>VCS1216</v>
      </c>
      <c r="D21">
        <v>2017</v>
      </c>
      <c r="E21">
        <v>2011</v>
      </c>
      <c r="F21">
        <v>414109</v>
      </c>
      <c r="G21" t="str">
        <v>firewood</v>
      </c>
      <c r="H21">
        <v>5160.0257680428385</v>
      </c>
      <c r="I21">
        <v>3.9565530988572356E-3</v>
      </c>
      <c r="J21">
        <v>3.9564551633157136E-3</v>
      </c>
      <c r="K21" t="str">
        <v>cdm_imp_firewood</v>
      </c>
      <c r="L21">
        <v>1</v>
      </c>
      <c r="M21" t="str">
        <v>Central America</v>
      </c>
      <c r="N21" t="str">
        <v>Mexico</v>
      </c>
      <c r="O21" t="str">
        <v>Mexico tot</v>
      </c>
      <c r="P21">
        <v>3.7</v>
      </c>
      <c r="Q21">
        <v>0.87</v>
      </c>
      <c r="R21">
        <v>4.5999999999999999E-2</v>
      </c>
      <c r="S21">
        <v>0.28399999999999997</v>
      </c>
      <c r="T21">
        <v>8524</v>
      </c>
      <c r="U21">
        <v>0</v>
      </c>
      <c r="V21">
        <v>153</v>
      </c>
      <c r="W21">
        <v>0</v>
      </c>
      <c r="X21">
        <v>1304172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14.63013698630137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1.4999999999999999E-2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81.599999999999994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6.9042647410577498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0.21190000000000001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1.4999999999999999E-2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81.599999999999994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0.5887</v>
      </c>
      <c r="LI21">
        <v>1</v>
      </c>
      <c r="LJ21">
        <v>0</v>
      </c>
      <c r="LK21">
        <v>0</v>
      </c>
      <c r="LL21">
        <v>1</v>
      </c>
      <c r="LM21">
        <v>0.95</v>
      </c>
      <c r="LN21">
        <v>0</v>
      </c>
      <c r="LO21">
        <v>1</v>
      </c>
      <c r="LP21">
        <v>0.78</v>
      </c>
      <c r="LQ21">
        <v>0</v>
      </c>
      <c r="LR21">
        <v>0.14011491799999998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</row>
    <row r="22" spans="1:355" x14ac:dyDescent="0.2">
      <c r="A22" t="str">
        <v>CDM AMS II G</v>
      </c>
      <c r="B22" t="str">
        <v>AMS-II.G. ver. 3</v>
      </c>
      <c r="C22" t="str">
        <v>VCS1216</v>
      </c>
      <c r="D22">
        <v>2018</v>
      </c>
      <c r="E22">
        <v>2011</v>
      </c>
      <c r="F22">
        <v>414109</v>
      </c>
      <c r="G22" t="str">
        <v>firewood</v>
      </c>
      <c r="H22">
        <v>7149.8396263077229</v>
      </c>
      <c r="I22">
        <v>3.9565530988572347E-3</v>
      </c>
      <c r="J22">
        <v>3.9564551633157136E-3</v>
      </c>
      <c r="K22" t="str">
        <v>cdm_imp_firewood</v>
      </c>
      <c r="L22">
        <v>1</v>
      </c>
      <c r="M22" t="str">
        <v>Central America</v>
      </c>
      <c r="N22" t="str">
        <v>Mexico</v>
      </c>
      <c r="O22" t="str">
        <v>Mexico tot</v>
      </c>
      <c r="P22">
        <v>3.7</v>
      </c>
      <c r="Q22">
        <v>0.87</v>
      </c>
      <c r="R22">
        <v>4.5999999999999999E-2</v>
      </c>
      <c r="S22">
        <v>0.28399999999999997</v>
      </c>
      <c r="T22">
        <v>8524</v>
      </c>
      <c r="U22">
        <v>0</v>
      </c>
      <c r="V22">
        <v>212</v>
      </c>
      <c r="W22">
        <v>0</v>
      </c>
      <c r="X22">
        <v>1807088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14.63013698630137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1.4999999999999999E-2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81.599999999999994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6.9042647410577498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0.21190000000000001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1.4999999999999999E-2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81.599999999999994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0.5887</v>
      </c>
      <c r="LI22">
        <v>1</v>
      </c>
      <c r="LJ22">
        <v>0</v>
      </c>
      <c r="LK22">
        <v>0</v>
      </c>
      <c r="LL22">
        <v>1</v>
      </c>
      <c r="LM22">
        <v>0.95</v>
      </c>
      <c r="LN22">
        <v>0</v>
      </c>
      <c r="LO22">
        <v>1</v>
      </c>
      <c r="LP22">
        <v>0.78</v>
      </c>
      <c r="LQ22">
        <v>0</v>
      </c>
      <c r="LR22">
        <v>0.14011491799999998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</row>
    <row r="23" spans="1:355" x14ac:dyDescent="0.2">
      <c r="A23" t="str">
        <v>CDM AMS II G</v>
      </c>
      <c r="B23" t="str">
        <v>AMS-II.G. ver. 3</v>
      </c>
      <c r="C23" t="str">
        <v>VCS1216</v>
      </c>
      <c r="D23">
        <v>2017</v>
      </c>
      <c r="E23">
        <v>2013</v>
      </c>
      <c r="F23">
        <v>414109</v>
      </c>
      <c r="G23" t="str">
        <v>firewood</v>
      </c>
      <c r="H23">
        <v>2392.3632835967483</v>
      </c>
      <c r="I23">
        <v>4.026876469404507E-3</v>
      </c>
      <c r="J23">
        <v>4.0267767931666766E-3</v>
      </c>
      <c r="K23" t="str">
        <v>cdm_imp_firewood</v>
      </c>
      <c r="L23">
        <v>1</v>
      </c>
      <c r="M23" t="str">
        <v>Central America</v>
      </c>
      <c r="N23" t="str">
        <v>Mexico</v>
      </c>
      <c r="O23" t="str">
        <v>Mexico tot</v>
      </c>
      <c r="P23">
        <v>3.7</v>
      </c>
      <c r="Q23">
        <v>0.87</v>
      </c>
      <c r="R23">
        <v>4.5999999999999999E-2</v>
      </c>
      <c r="S23">
        <v>0.28399999999999997</v>
      </c>
      <c r="T23">
        <v>3883</v>
      </c>
      <c r="U23">
        <v>0</v>
      </c>
      <c r="V23">
        <v>153</v>
      </c>
      <c r="W23">
        <v>0</v>
      </c>
      <c r="X23">
        <v>594099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14.63013698630137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1.4999999999999999E-2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81.599999999999994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6.766945877105166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0.2162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1.4999999999999999E-2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81.599999999999994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0.5887</v>
      </c>
      <c r="LI23">
        <v>1</v>
      </c>
      <c r="LJ23">
        <v>0</v>
      </c>
      <c r="LK23">
        <v>0</v>
      </c>
      <c r="LL23">
        <v>1</v>
      </c>
      <c r="LM23">
        <v>0.95</v>
      </c>
      <c r="LN23">
        <v>0</v>
      </c>
      <c r="LO23">
        <v>1</v>
      </c>
      <c r="LP23">
        <v>0.78</v>
      </c>
      <c r="LQ23">
        <v>0</v>
      </c>
      <c r="LR23">
        <v>0.14011491799999998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</row>
    <row r="24" spans="1:355" x14ac:dyDescent="0.2">
      <c r="A24" t="str">
        <v>CDM AMS II G</v>
      </c>
      <c r="B24" t="str">
        <v>AMS-II.G. ver. 3</v>
      </c>
      <c r="C24" t="str">
        <v>VCS1216</v>
      </c>
      <c r="D24">
        <v>2018</v>
      </c>
      <c r="E24">
        <v>2013</v>
      </c>
      <c r="F24">
        <v>414109</v>
      </c>
      <c r="G24" t="str">
        <v>firewood</v>
      </c>
      <c r="H24">
        <v>3314.908602107912</v>
      </c>
      <c r="I24">
        <v>4.0268764694045061E-3</v>
      </c>
      <c r="J24">
        <v>4.0267767931666766E-3</v>
      </c>
      <c r="K24" t="str">
        <v>cdm_imp_firewood</v>
      </c>
      <c r="L24">
        <v>1</v>
      </c>
      <c r="M24" t="str">
        <v>Central America</v>
      </c>
      <c r="N24" t="str">
        <v>Mexico</v>
      </c>
      <c r="O24" t="str">
        <v>Mexico tot</v>
      </c>
      <c r="P24">
        <v>3.7</v>
      </c>
      <c r="Q24">
        <v>0.87</v>
      </c>
      <c r="R24">
        <v>4.5999999999999999E-2</v>
      </c>
      <c r="S24">
        <v>0.28399999999999997</v>
      </c>
      <c r="T24">
        <v>3883</v>
      </c>
      <c r="U24">
        <v>0</v>
      </c>
      <c r="V24">
        <v>212</v>
      </c>
      <c r="W24">
        <v>0</v>
      </c>
      <c r="X24">
        <v>823196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14.63013698630137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1.4999999999999999E-2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81.599999999999994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6.766945877105166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0.2162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1.4999999999999999E-2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81.599999999999994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0.5887</v>
      </c>
      <c r="LI24">
        <v>1</v>
      </c>
      <c r="LJ24">
        <v>0</v>
      </c>
      <c r="LK24">
        <v>0</v>
      </c>
      <c r="LL24">
        <v>1</v>
      </c>
      <c r="LM24">
        <v>0.95</v>
      </c>
      <c r="LN24">
        <v>0</v>
      </c>
      <c r="LO24">
        <v>1</v>
      </c>
      <c r="LP24">
        <v>0.78</v>
      </c>
      <c r="LQ24">
        <v>0</v>
      </c>
      <c r="LR24">
        <v>0.14011491799999998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</row>
    <row r="25" spans="1:355" x14ac:dyDescent="0.2">
      <c r="A25" t="str">
        <v>CDM AMS II G</v>
      </c>
      <c r="B25" t="str">
        <v>AMS-II.G. ver. 3</v>
      </c>
      <c r="C25" t="str">
        <v>VCS1216</v>
      </c>
      <c r="D25">
        <v>2017</v>
      </c>
      <c r="E25">
        <v>2014</v>
      </c>
      <c r="F25">
        <v>414109</v>
      </c>
      <c r="G25" t="str">
        <v>firewood</v>
      </c>
      <c r="H25">
        <v>3642.2793862200897</v>
      </c>
      <c r="I25">
        <v>4.0348724783650048E-3</v>
      </c>
      <c r="J25">
        <v>4.0347726042040226E-3</v>
      </c>
      <c r="K25" t="str">
        <v>cdm_imp_firewood</v>
      </c>
      <c r="L25">
        <v>1</v>
      </c>
      <c r="M25" t="str">
        <v>Central America</v>
      </c>
      <c r="N25" t="str">
        <v>Mexico</v>
      </c>
      <c r="O25" t="str">
        <v>Mexico tot</v>
      </c>
      <c r="P25">
        <v>3.7</v>
      </c>
      <c r="Q25">
        <v>0.87</v>
      </c>
      <c r="R25">
        <v>4.5999999999999999E-2</v>
      </c>
      <c r="S25">
        <v>0.28399999999999997</v>
      </c>
      <c r="T25">
        <v>5900</v>
      </c>
      <c r="U25">
        <v>0</v>
      </c>
      <c r="V25">
        <v>153</v>
      </c>
      <c r="W25">
        <v>0</v>
      </c>
      <c r="X25">
        <v>902700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14.63013698630137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1.4999999999999999E-2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81.599999999999994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6.7513322502544399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0.2167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1.4999999999999999E-2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81.599999999999994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0.5887</v>
      </c>
      <c r="LI25">
        <v>1</v>
      </c>
      <c r="LJ25">
        <v>0</v>
      </c>
      <c r="LK25">
        <v>0</v>
      </c>
      <c r="LL25">
        <v>1</v>
      </c>
      <c r="LM25">
        <v>0.95</v>
      </c>
      <c r="LN25">
        <v>0</v>
      </c>
      <c r="LO25">
        <v>1</v>
      </c>
      <c r="LP25">
        <v>0.78</v>
      </c>
      <c r="LQ25">
        <v>0</v>
      </c>
      <c r="LR25">
        <v>0.14011491799999998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</row>
    <row r="26" spans="1:355" x14ac:dyDescent="0.2">
      <c r="A26" t="str">
        <v>CDM AMS II G</v>
      </c>
      <c r="B26" t="str">
        <v>AMS-II.G. ver. 3</v>
      </c>
      <c r="C26" t="str">
        <v>VCS1216</v>
      </c>
      <c r="D26">
        <v>2018</v>
      </c>
      <c r="E26">
        <v>2014</v>
      </c>
      <c r="F26">
        <v>414109</v>
      </c>
      <c r="G26" t="str">
        <v>firewood</v>
      </c>
      <c r="H26">
        <v>5046.8184959389491</v>
      </c>
      <c r="I26">
        <v>4.0348724783650057E-3</v>
      </c>
      <c r="J26">
        <v>4.0347726042040226E-3</v>
      </c>
      <c r="K26" t="str">
        <v>cdm_imp_firewood</v>
      </c>
      <c r="L26">
        <v>1</v>
      </c>
      <c r="M26" t="str">
        <v>Central America</v>
      </c>
      <c r="N26" t="str">
        <v>Mexico</v>
      </c>
      <c r="O26" t="str">
        <v>Mexico tot</v>
      </c>
      <c r="P26">
        <v>3.7</v>
      </c>
      <c r="Q26">
        <v>0.87</v>
      </c>
      <c r="R26">
        <v>4.5999999999999999E-2</v>
      </c>
      <c r="S26">
        <v>0.28399999999999997</v>
      </c>
      <c r="T26">
        <v>5900</v>
      </c>
      <c r="U26">
        <v>0</v>
      </c>
      <c r="V26">
        <v>212</v>
      </c>
      <c r="W26">
        <v>0</v>
      </c>
      <c r="X26">
        <v>1250800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14.63013698630137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1.4999999999999999E-2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81.599999999999994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6.7513322502544399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0.2167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1.4999999999999999E-2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81.599999999999994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0.5887</v>
      </c>
      <c r="LI26">
        <v>1</v>
      </c>
      <c r="LJ26">
        <v>0</v>
      </c>
      <c r="LK26">
        <v>0</v>
      </c>
      <c r="LL26">
        <v>1</v>
      </c>
      <c r="LM26">
        <v>0.95</v>
      </c>
      <c r="LN26">
        <v>0</v>
      </c>
      <c r="LO26">
        <v>1</v>
      </c>
      <c r="LP26">
        <v>0.78</v>
      </c>
      <c r="LQ26">
        <v>0</v>
      </c>
      <c r="LR26">
        <v>0.14011491799999998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</row>
    <row r="27" spans="1:355" x14ac:dyDescent="0.2">
      <c r="A27" t="str">
        <v>CDM AMS II G</v>
      </c>
      <c r="B27" t="str">
        <v>AMS-II.G. ver. 3</v>
      </c>
      <c r="C27" t="str">
        <v>VCS1216</v>
      </c>
      <c r="D27">
        <v>2017</v>
      </c>
      <c r="E27">
        <v>2015</v>
      </c>
      <c r="F27">
        <v>414109</v>
      </c>
      <c r="G27" t="str">
        <v>firewood</v>
      </c>
      <c r="H27">
        <v>2510.703434535103</v>
      </c>
      <c r="I27">
        <v>4.0348724783650057E-3</v>
      </c>
      <c r="J27">
        <v>4.0347726042040226E-3</v>
      </c>
      <c r="K27" t="str">
        <v>cdm_imp_firewood</v>
      </c>
      <c r="L27">
        <v>1</v>
      </c>
      <c r="M27" t="str">
        <v>Central America</v>
      </c>
      <c r="N27" t="str">
        <v>Mexico</v>
      </c>
      <c r="O27" t="str">
        <v>Mexico tot</v>
      </c>
      <c r="P27">
        <v>3.7</v>
      </c>
      <c r="Q27">
        <v>0.87</v>
      </c>
      <c r="R27">
        <v>4.5999999999999999E-2</v>
      </c>
      <c r="S27">
        <v>0.28399999999999997</v>
      </c>
      <c r="T27">
        <v>4067</v>
      </c>
      <c r="U27">
        <v>0</v>
      </c>
      <c r="V27">
        <v>153</v>
      </c>
      <c r="W27">
        <v>0</v>
      </c>
      <c r="X27">
        <v>622251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14.63013698630137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1.4999999999999999E-2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81.599999999999994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6.7513322502544399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0.2167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1.4999999999999999E-2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81.599999999999994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0.5887</v>
      </c>
      <c r="LI27">
        <v>1</v>
      </c>
      <c r="LJ27">
        <v>0</v>
      </c>
      <c r="LK27">
        <v>0</v>
      </c>
      <c r="LL27">
        <v>1</v>
      </c>
      <c r="LM27">
        <v>0.95</v>
      </c>
      <c r="LN27">
        <v>0</v>
      </c>
      <c r="LO27">
        <v>1</v>
      </c>
      <c r="LP27">
        <v>0.78</v>
      </c>
      <c r="LQ27">
        <v>0</v>
      </c>
      <c r="LR27">
        <v>0.14011491799999998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</row>
    <row r="28" spans="1:355" x14ac:dyDescent="0.2">
      <c r="A28" t="str">
        <v>CDM AMS II G</v>
      </c>
      <c r="B28" t="str">
        <v>AMS-II.G. ver. 3</v>
      </c>
      <c r="C28" t="str">
        <v>VCS1216</v>
      </c>
      <c r="D28">
        <v>2018</v>
      </c>
      <c r="E28">
        <v>2015</v>
      </c>
      <c r="F28">
        <v>414109</v>
      </c>
      <c r="G28" t="str">
        <v>firewood</v>
      </c>
      <c r="H28">
        <v>3478.8831903362216</v>
      </c>
      <c r="I28">
        <v>4.0348724783650057E-3</v>
      </c>
      <c r="J28">
        <v>4.0347726042040226E-3</v>
      </c>
      <c r="K28" t="str">
        <v>cdm_imp_firewood</v>
      </c>
      <c r="L28">
        <v>1</v>
      </c>
      <c r="M28" t="str">
        <v>Central America</v>
      </c>
      <c r="N28" t="str">
        <v>Mexico</v>
      </c>
      <c r="O28" t="str">
        <v>Mexico tot</v>
      </c>
      <c r="P28">
        <v>3.7</v>
      </c>
      <c r="Q28">
        <v>0.87</v>
      </c>
      <c r="R28">
        <v>4.5999999999999999E-2</v>
      </c>
      <c r="S28">
        <v>0.28399999999999997</v>
      </c>
      <c r="T28">
        <v>4067</v>
      </c>
      <c r="U28">
        <v>0</v>
      </c>
      <c r="V28">
        <v>212</v>
      </c>
      <c r="W28">
        <v>0</v>
      </c>
      <c r="X28">
        <v>862204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14.63013698630137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1.4999999999999999E-2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81.599999999999994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6.7513322502544399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0.2167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1.4999999999999999E-2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81.599999999999994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0.5887</v>
      </c>
      <c r="LI28">
        <v>1</v>
      </c>
      <c r="LJ28">
        <v>0</v>
      </c>
      <c r="LK28">
        <v>0</v>
      </c>
      <c r="LL28">
        <v>1</v>
      </c>
      <c r="LM28">
        <v>0.95</v>
      </c>
      <c r="LN28">
        <v>0</v>
      </c>
      <c r="LO28">
        <v>1</v>
      </c>
      <c r="LP28">
        <v>0.78</v>
      </c>
      <c r="LQ28">
        <v>0</v>
      </c>
      <c r="LR28">
        <v>0.14011491799999998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</row>
    <row r="29" spans="1:355" x14ac:dyDescent="0.2">
      <c r="A29" t="str">
        <v>CDM AMS II G</v>
      </c>
      <c r="B29" t="str">
        <v>AMS-II.G. ver. 3</v>
      </c>
      <c r="C29" t="str">
        <v>VCS1216</v>
      </c>
      <c r="D29">
        <v>2017</v>
      </c>
      <c r="E29">
        <v>2016</v>
      </c>
      <c r="F29">
        <v>414109</v>
      </c>
      <c r="G29" t="str">
        <v>firewood</v>
      </c>
      <c r="H29">
        <v>2825.5991295463009</v>
      </c>
      <c r="I29">
        <v>4.1972654924930198E-3</v>
      </c>
      <c r="J29">
        <v>4.1593493320049232E-3</v>
      </c>
      <c r="K29" t="str">
        <v>cdm_imp_firewood</v>
      </c>
      <c r="L29">
        <v>1</v>
      </c>
      <c r="M29" t="str">
        <v>Central America</v>
      </c>
      <c r="N29" t="str">
        <v>Mexico</v>
      </c>
      <c r="O29" t="str">
        <v>Mexico tot</v>
      </c>
      <c r="P29">
        <v>3.7</v>
      </c>
      <c r="Q29">
        <v>0.87</v>
      </c>
      <c r="R29">
        <v>4.5999999999999999E-2</v>
      </c>
      <c r="S29">
        <v>0.28399999999999997</v>
      </c>
      <c r="T29">
        <v>4400</v>
      </c>
      <c r="U29">
        <v>0</v>
      </c>
      <c r="V29">
        <v>153</v>
      </c>
      <c r="W29">
        <v>0</v>
      </c>
      <c r="X29">
        <v>673200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14.63013698630137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1.4999999999999999E-2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81.599999999999994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6.5080680544045233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0.2248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1.4999999999999999E-2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81.599999999999994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0.5887</v>
      </c>
      <c r="LI29">
        <v>1</v>
      </c>
      <c r="LJ29">
        <v>0</v>
      </c>
      <c r="LK29">
        <v>0</v>
      </c>
      <c r="LL29">
        <v>1</v>
      </c>
      <c r="LM29">
        <v>0.95</v>
      </c>
      <c r="LN29">
        <v>0</v>
      </c>
      <c r="LO29">
        <v>1</v>
      </c>
      <c r="LP29">
        <v>0.78</v>
      </c>
      <c r="LQ29">
        <v>0</v>
      </c>
      <c r="LR29">
        <v>0.14011491799999998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</row>
    <row r="30" spans="1:355" x14ac:dyDescent="0.2">
      <c r="A30" t="str">
        <v>CDM AMS II G</v>
      </c>
      <c r="B30" t="str">
        <v>AMS-II.G. ver. 3</v>
      </c>
      <c r="C30" t="str">
        <v>VCS1216</v>
      </c>
      <c r="D30">
        <v>2018</v>
      </c>
      <c r="E30">
        <v>2016</v>
      </c>
      <c r="F30">
        <v>414109</v>
      </c>
      <c r="G30" t="str">
        <v>firewood</v>
      </c>
      <c r="H30">
        <v>3915.209251397489</v>
      </c>
      <c r="I30">
        <v>4.1972654924930198E-3</v>
      </c>
      <c r="J30">
        <v>4.1593493320049232E-3</v>
      </c>
      <c r="K30" t="str">
        <v>cdm_imp_firewood</v>
      </c>
      <c r="L30">
        <v>1</v>
      </c>
      <c r="M30" t="str">
        <v>Central America</v>
      </c>
      <c r="N30" t="str">
        <v>Mexico</v>
      </c>
      <c r="O30" t="str">
        <v>Mexico tot</v>
      </c>
      <c r="P30">
        <v>3.7</v>
      </c>
      <c r="Q30">
        <v>0.87</v>
      </c>
      <c r="R30">
        <v>4.5999999999999999E-2</v>
      </c>
      <c r="S30">
        <v>0.28399999999999997</v>
      </c>
      <c r="T30">
        <v>4400</v>
      </c>
      <c r="U30">
        <v>0</v>
      </c>
      <c r="V30">
        <v>212</v>
      </c>
      <c r="W30">
        <v>0</v>
      </c>
      <c r="X30">
        <v>932800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14.63013698630137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1.4999999999999999E-2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81.599999999999994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6.5080680544045233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0.2248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1.4999999999999999E-2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81.599999999999994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0.5887</v>
      </c>
      <c r="LI30">
        <v>1</v>
      </c>
      <c r="LJ30">
        <v>0</v>
      </c>
      <c r="LK30">
        <v>0</v>
      </c>
      <c r="LL30">
        <v>1</v>
      </c>
      <c r="LM30">
        <v>0.95</v>
      </c>
      <c r="LN30">
        <v>0</v>
      </c>
      <c r="LO30">
        <v>1</v>
      </c>
      <c r="LP30">
        <v>0.78</v>
      </c>
      <c r="LQ30">
        <v>0</v>
      </c>
      <c r="LR30">
        <v>0.14011491799999998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</row>
    <row r="31" spans="1:355" x14ac:dyDescent="0.2">
      <c r="A31" t="str">
        <v>CDM AMS II G</v>
      </c>
      <c r="B31" t="str">
        <v>AMS-II.G (Version 05.0 EB 70)</v>
      </c>
      <c r="C31" t="str">
        <v>GS2094</v>
      </c>
      <c r="D31">
        <v>2020</v>
      </c>
      <c r="E31">
        <v>2015</v>
      </c>
      <c r="F31">
        <v>1932086</v>
      </c>
      <c r="G31" t="str">
        <v>charcoal</v>
      </c>
      <c r="H31">
        <v>9826.9546099310537</v>
      </c>
      <c r="I31">
        <v>4.9901383046710357E-3</v>
      </c>
      <c r="J31">
        <v>4.9901383046710348E-3</v>
      </c>
      <c r="K31" t="str">
        <v>cdm_imp_charcoal</v>
      </c>
      <c r="L31">
        <v>1</v>
      </c>
      <c r="M31" t="str">
        <v>Sub-Saharan Africa</v>
      </c>
      <c r="N31" t="str">
        <v>Ghana</v>
      </c>
      <c r="O31" t="str">
        <v>Ghana tot</v>
      </c>
      <c r="P31">
        <v>3.5</v>
      </c>
      <c r="Q31">
        <v>0.82</v>
      </c>
      <c r="R31">
        <v>0.187</v>
      </c>
      <c r="S31">
        <v>0.29399999999999998</v>
      </c>
      <c r="T31">
        <v>16275</v>
      </c>
      <c r="U31">
        <v>0</v>
      </c>
      <c r="V31">
        <v>121</v>
      </c>
      <c r="W31">
        <v>0</v>
      </c>
      <c r="X31">
        <v>1969275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15.287671232876713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0.18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1.5599999999999999E-2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73.2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8.2191780821917817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0.33479999999999999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1.5599999999999999E-2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73.2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0.9</v>
      </c>
      <c r="LI31">
        <v>0.88180000000000003</v>
      </c>
      <c r="LJ31">
        <v>0</v>
      </c>
      <c r="LK31">
        <v>0</v>
      </c>
      <c r="LL31">
        <v>1</v>
      </c>
      <c r="LM31">
        <v>0.95</v>
      </c>
      <c r="LN31">
        <v>0</v>
      </c>
      <c r="LO31">
        <v>1</v>
      </c>
      <c r="LP31">
        <v>0.78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</row>
    <row r="32" spans="1:355" x14ac:dyDescent="0.2">
      <c r="A32" t="str">
        <v>CDM AMS II G</v>
      </c>
      <c r="B32" t="str">
        <v>AMS-II.G (Version 05.0 EB 70)</v>
      </c>
      <c r="C32" t="str">
        <v>GS2094</v>
      </c>
      <c r="D32">
        <v>2021</v>
      </c>
      <c r="E32">
        <v>2015</v>
      </c>
      <c r="F32">
        <v>1932086</v>
      </c>
      <c r="G32" t="str">
        <v>charcoal</v>
      </c>
      <c r="H32">
        <v>19735.123720770633</v>
      </c>
      <c r="I32">
        <v>4.9901383046710365E-3</v>
      </c>
      <c r="J32">
        <v>4.9901383046710348E-3</v>
      </c>
      <c r="K32" t="str">
        <v>cdm_imp_charcoal</v>
      </c>
      <c r="L32">
        <v>1</v>
      </c>
      <c r="M32" t="str">
        <v>Sub-Saharan Africa</v>
      </c>
      <c r="N32" t="str">
        <v>Ghana</v>
      </c>
      <c r="O32" t="str">
        <v>Ghana tot</v>
      </c>
      <c r="P32">
        <v>3.5</v>
      </c>
      <c r="Q32">
        <v>0.82</v>
      </c>
      <c r="R32">
        <v>0.187</v>
      </c>
      <c r="S32">
        <v>0.29399999999999998</v>
      </c>
      <c r="T32">
        <v>16275</v>
      </c>
      <c r="U32">
        <v>0</v>
      </c>
      <c r="V32">
        <v>243</v>
      </c>
      <c r="W32">
        <v>0</v>
      </c>
      <c r="X32">
        <v>3954825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15.287671232876713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1.5599999999999999E-2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73.2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8.2191780821917817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0.33479999999999999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1.5599999999999999E-2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73.2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0.9</v>
      </c>
      <c r="LI32">
        <v>0.88180000000000003</v>
      </c>
      <c r="LJ32">
        <v>0</v>
      </c>
      <c r="LK32">
        <v>0</v>
      </c>
      <c r="LL32">
        <v>1</v>
      </c>
      <c r="LM32">
        <v>0.95</v>
      </c>
      <c r="LN32">
        <v>0</v>
      </c>
      <c r="LO32">
        <v>1</v>
      </c>
      <c r="LP32">
        <v>0.78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</row>
    <row r="33" spans="1:355" x14ac:dyDescent="0.2">
      <c r="A33" t="str">
        <v>CDM AMS II G</v>
      </c>
      <c r="B33" t="str">
        <v>AMS-II.G (Version 05.0 EB 70)</v>
      </c>
      <c r="C33" t="str">
        <v>GS2094</v>
      </c>
      <c r="D33">
        <v>2020</v>
      </c>
      <c r="E33">
        <v>2016</v>
      </c>
      <c r="F33">
        <v>1932086</v>
      </c>
      <c r="G33" t="str">
        <v>charcoal</v>
      </c>
      <c r="H33">
        <v>19232.472146065327</v>
      </c>
      <c r="I33">
        <v>4.8950155767893914E-3</v>
      </c>
      <c r="J33">
        <v>4.8950155767893931E-3</v>
      </c>
      <c r="K33" t="str">
        <v>cdm_imp_charcoal</v>
      </c>
      <c r="L33">
        <v>1</v>
      </c>
      <c r="M33" t="str">
        <v>Sub-Saharan Africa</v>
      </c>
      <c r="N33" t="str">
        <v>Ghana</v>
      </c>
      <c r="O33" t="str">
        <v>Ghana tot</v>
      </c>
      <c r="P33">
        <v>3.5</v>
      </c>
      <c r="Q33">
        <v>0.82</v>
      </c>
      <c r="R33">
        <v>0.187</v>
      </c>
      <c r="S33">
        <v>0.29399999999999998</v>
      </c>
      <c r="T33">
        <v>32471</v>
      </c>
      <c r="U33">
        <v>0</v>
      </c>
      <c r="V33">
        <v>121</v>
      </c>
      <c r="W33">
        <v>0</v>
      </c>
      <c r="X33">
        <v>3928991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15.287671232876713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0.18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1.5599999999999999E-2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73.2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8.3539187064900062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0.32940000000000003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1.5599999999999999E-2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73.2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0.9</v>
      </c>
      <c r="LI33">
        <v>0.88180000000000003</v>
      </c>
      <c r="LJ33">
        <v>0</v>
      </c>
      <c r="LK33">
        <v>0</v>
      </c>
      <c r="LL33">
        <v>1</v>
      </c>
      <c r="LM33">
        <v>0.95</v>
      </c>
      <c r="LN33">
        <v>0</v>
      </c>
      <c r="LO33">
        <v>1</v>
      </c>
      <c r="LP33">
        <v>0.78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</row>
    <row r="34" spans="1:355" x14ac:dyDescent="0.2">
      <c r="A34" t="str">
        <v>CDM AMS II G</v>
      </c>
      <c r="B34" t="str">
        <v>AMS-II.G (Version 05.0 EB 70)</v>
      </c>
      <c r="C34" t="str">
        <v>GS2094</v>
      </c>
      <c r="D34">
        <v>2021</v>
      </c>
      <c r="E34">
        <v>2016</v>
      </c>
      <c r="F34">
        <v>1932086</v>
      </c>
      <c r="G34" t="str">
        <v>charcoal</v>
      </c>
      <c r="H34">
        <v>38623.890342924584</v>
      </c>
      <c r="I34">
        <v>4.8950155767893914E-3</v>
      </c>
      <c r="J34">
        <v>4.8950155767893931E-3</v>
      </c>
      <c r="K34" t="str">
        <v>cdm_imp_charcoal</v>
      </c>
      <c r="L34">
        <v>1</v>
      </c>
      <c r="M34" t="str">
        <v>Sub-Saharan Africa</v>
      </c>
      <c r="N34" t="str">
        <v>Ghana</v>
      </c>
      <c r="O34" t="str">
        <v>Ghana tot</v>
      </c>
      <c r="P34">
        <v>3.5</v>
      </c>
      <c r="Q34">
        <v>0.82</v>
      </c>
      <c r="R34">
        <v>0.187</v>
      </c>
      <c r="S34">
        <v>0.29399999999999998</v>
      </c>
      <c r="T34">
        <v>32471</v>
      </c>
      <c r="U34">
        <v>0</v>
      </c>
      <c r="V34">
        <v>243</v>
      </c>
      <c r="W34">
        <v>0</v>
      </c>
      <c r="X34">
        <v>7890453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15.287671232876713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0.18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1.5599999999999999E-2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73.2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8.3539187064900062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0.32940000000000003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1.5599999999999999E-2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73.2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0.9</v>
      </c>
      <c r="LI34">
        <v>0.88180000000000003</v>
      </c>
      <c r="LJ34">
        <v>0</v>
      </c>
      <c r="LK34">
        <v>0</v>
      </c>
      <c r="LL34">
        <v>1</v>
      </c>
      <c r="LM34">
        <v>0.95</v>
      </c>
      <c r="LN34">
        <v>0</v>
      </c>
      <c r="LO34">
        <v>1</v>
      </c>
      <c r="LP34">
        <v>0.78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</row>
    <row r="35" spans="1:355" x14ac:dyDescent="0.2">
      <c r="A35" t="str">
        <v>CDM AMS II G</v>
      </c>
      <c r="B35" t="str">
        <v>AMS-II.G (Version 05.0 EB 70)</v>
      </c>
      <c r="C35" t="str">
        <v>GS2094</v>
      </c>
      <c r="D35">
        <v>2020</v>
      </c>
      <c r="E35">
        <v>2017</v>
      </c>
      <c r="F35">
        <v>1932086</v>
      </c>
      <c r="G35" t="str">
        <v>charcoal</v>
      </c>
      <c r="H35">
        <v>17657.087959248522</v>
      </c>
      <c r="I35">
        <v>4.8316782587460739E-3</v>
      </c>
      <c r="J35">
        <v>4.8316782587460756E-3</v>
      </c>
      <c r="K35" t="str">
        <v>cdm_imp_charcoal</v>
      </c>
      <c r="L35">
        <v>1</v>
      </c>
      <c r="M35" t="str">
        <v>Sub-Saharan Africa</v>
      </c>
      <c r="N35" t="str">
        <v>Ghana</v>
      </c>
      <c r="O35" t="str">
        <v>Ghana tot</v>
      </c>
      <c r="P35">
        <v>3.5</v>
      </c>
      <c r="Q35">
        <v>0.82</v>
      </c>
      <c r="R35">
        <v>0.187</v>
      </c>
      <c r="S35">
        <v>0.29399999999999998</v>
      </c>
      <c r="T35">
        <v>30202</v>
      </c>
      <c r="U35">
        <v>0</v>
      </c>
      <c r="V35">
        <v>121</v>
      </c>
      <c r="W35">
        <v>0</v>
      </c>
      <c r="X35">
        <v>3654442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15.287671232876713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1.5599999999999999E-2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73.2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8.4436355382565456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0.32590000000000002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1.5599999999999999E-2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73.2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0.9</v>
      </c>
      <c r="LI35">
        <v>0.88180000000000003</v>
      </c>
      <c r="LJ35">
        <v>0</v>
      </c>
      <c r="LK35">
        <v>0</v>
      </c>
      <c r="LL35">
        <v>1</v>
      </c>
      <c r="LM35">
        <v>0.95</v>
      </c>
      <c r="LN35">
        <v>0</v>
      </c>
      <c r="LO35">
        <v>1</v>
      </c>
      <c r="LP35">
        <v>0.78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</row>
    <row r="36" spans="1:355" x14ac:dyDescent="0.2">
      <c r="A36" t="str">
        <v>CDM AMS II G</v>
      </c>
      <c r="B36" t="str">
        <v>AMS-II.G (Version 05.0 EB 70)</v>
      </c>
      <c r="C36" t="str">
        <v>GS2094</v>
      </c>
      <c r="D36">
        <v>2021</v>
      </c>
      <c r="E36">
        <v>2017</v>
      </c>
      <c r="F36">
        <v>1932086</v>
      </c>
      <c r="G36" t="str">
        <v>charcoal</v>
      </c>
      <c r="H36">
        <v>35460.102265267698</v>
      </c>
      <c r="I36">
        <v>4.8316782587460748E-3</v>
      </c>
      <c r="J36">
        <v>4.8316782587460756E-3</v>
      </c>
      <c r="K36" t="str">
        <v>cdm_imp_charcoal</v>
      </c>
      <c r="L36">
        <v>1</v>
      </c>
      <c r="M36" t="str">
        <v>Sub-Saharan Africa</v>
      </c>
      <c r="N36" t="str">
        <v>Ghana</v>
      </c>
      <c r="O36" t="str">
        <v>Ghana tot</v>
      </c>
      <c r="P36">
        <v>3.5</v>
      </c>
      <c r="Q36">
        <v>0.82</v>
      </c>
      <c r="R36">
        <v>0.187</v>
      </c>
      <c r="S36">
        <v>0.29399999999999998</v>
      </c>
      <c r="T36">
        <v>30202</v>
      </c>
      <c r="U36">
        <v>0</v>
      </c>
      <c r="V36">
        <v>243</v>
      </c>
      <c r="W36">
        <v>0</v>
      </c>
      <c r="X36">
        <v>7339086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15.287671232876713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0.18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1.5599999999999999E-2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73.2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8.4436355382565456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0.32590000000000002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1.5599999999999999E-2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73.2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0.9</v>
      </c>
      <c r="LI36">
        <v>0.88180000000000003</v>
      </c>
      <c r="LJ36">
        <v>0</v>
      </c>
      <c r="LK36">
        <v>0</v>
      </c>
      <c r="LL36">
        <v>1</v>
      </c>
      <c r="LM36">
        <v>0.95</v>
      </c>
      <c r="LN36">
        <v>0</v>
      </c>
      <c r="LO36">
        <v>1</v>
      </c>
      <c r="LP36">
        <v>0.78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</row>
    <row r="37" spans="1:355" x14ac:dyDescent="0.2">
      <c r="A37" t="str">
        <v>CDM AMS II G</v>
      </c>
      <c r="B37" t="str">
        <v>AMS-II.G (Version 05.0 EB 70)</v>
      </c>
      <c r="C37" t="str">
        <v>GS2094</v>
      </c>
      <c r="D37">
        <v>2020</v>
      </c>
      <c r="E37">
        <v>2018</v>
      </c>
      <c r="F37">
        <v>1932086</v>
      </c>
      <c r="G37" t="str">
        <v>charcoal</v>
      </c>
      <c r="H37">
        <v>16997.793478133739</v>
      </c>
      <c r="I37">
        <v>4.6273678124610336E-3</v>
      </c>
      <c r="J37">
        <v>4.6273678124610336E-3</v>
      </c>
      <c r="K37" t="str">
        <v>cdm_imp_charcoal</v>
      </c>
      <c r="L37">
        <v>1</v>
      </c>
      <c r="M37" t="str">
        <v>Sub-Saharan Africa</v>
      </c>
      <c r="N37" t="str">
        <v>Ghana</v>
      </c>
      <c r="O37" t="str">
        <v>Ghana tot</v>
      </c>
      <c r="P37">
        <v>3.5</v>
      </c>
      <c r="Q37">
        <v>0.82</v>
      </c>
      <c r="R37">
        <v>0.187</v>
      </c>
      <c r="S37">
        <v>0.29399999999999998</v>
      </c>
      <c r="T37">
        <v>30358</v>
      </c>
      <c r="U37">
        <v>0</v>
      </c>
      <c r="V37">
        <v>121</v>
      </c>
      <c r="W37">
        <v>0</v>
      </c>
      <c r="X37">
        <v>3673318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15.287671232876713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0.18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1.5599999999999999E-2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73.2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8.7330397395043118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0.31509999999999999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1.5599999999999999E-2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73.2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0.9</v>
      </c>
      <c r="LI37">
        <v>0.88180000000000003</v>
      </c>
      <c r="LJ37">
        <v>0</v>
      </c>
      <c r="LK37">
        <v>0</v>
      </c>
      <c r="LL37">
        <v>1</v>
      </c>
      <c r="LM37">
        <v>0.95</v>
      </c>
      <c r="LN37">
        <v>0</v>
      </c>
      <c r="LO37">
        <v>1</v>
      </c>
      <c r="LP37">
        <v>0.78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</row>
    <row r="38" spans="1:355" x14ac:dyDescent="0.2">
      <c r="A38" t="str">
        <v>CDM AMS II G</v>
      </c>
      <c r="B38" t="str">
        <v>AMS-II.G (Version 05.0 EB 70)</v>
      </c>
      <c r="C38" t="str">
        <v>GS2094</v>
      </c>
      <c r="D38">
        <v>2021</v>
      </c>
      <c r="E38">
        <v>2018</v>
      </c>
      <c r="F38">
        <v>1932086</v>
      </c>
      <c r="G38" t="str">
        <v>charcoal</v>
      </c>
      <c r="H38">
        <v>34136.064588318171</v>
      </c>
      <c r="I38">
        <v>4.6273678124610345E-3</v>
      </c>
      <c r="J38">
        <v>4.6273678124610336E-3</v>
      </c>
      <c r="K38" t="str">
        <v>cdm_imp_charcoal</v>
      </c>
      <c r="L38">
        <v>1</v>
      </c>
      <c r="M38" t="str">
        <v>Sub-Saharan Africa</v>
      </c>
      <c r="N38" t="str">
        <v>Ghana</v>
      </c>
      <c r="O38" t="str">
        <v>Ghana tot</v>
      </c>
      <c r="P38">
        <v>3.5</v>
      </c>
      <c r="Q38">
        <v>0.82</v>
      </c>
      <c r="R38">
        <v>0.187</v>
      </c>
      <c r="S38">
        <v>0.29399999999999998</v>
      </c>
      <c r="T38">
        <v>30358</v>
      </c>
      <c r="U38">
        <v>0</v>
      </c>
      <c r="V38">
        <v>243</v>
      </c>
      <c r="W38">
        <v>0</v>
      </c>
      <c r="X38">
        <v>7376994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15.287671232876713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1.5599999999999999E-2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73.2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8.7330397395043118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0.31509999999999999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1.5599999999999999E-2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73.2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0.9</v>
      </c>
      <c r="LI38">
        <v>0.88180000000000003</v>
      </c>
      <c r="LJ38">
        <v>0</v>
      </c>
      <c r="LK38">
        <v>0</v>
      </c>
      <c r="LL38">
        <v>1</v>
      </c>
      <c r="LM38">
        <v>0.95</v>
      </c>
      <c r="LN38">
        <v>0</v>
      </c>
      <c r="LO38">
        <v>1</v>
      </c>
      <c r="LP38">
        <v>0.78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</row>
    <row r="39" spans="1:355" x14ac:dyDescent="0.2">
      <c r="A39" t="str">
        <v>CDM AMS II G</v>
      </c>
      <c r="B39" t="str">
        <v>AMS-II.G (Version 05.0 EB 70)</v>
      </c>
      <c r="C39" t="str">
        <v>GS2094</v>
      </c>
      <c r="D39">
        <v>2020</v>
      </c>
      <c r="E39">
        <v>2019</v>
      </c>
      <c r="F39">
        <v>1932086</v>
      </c>
      <c r="G39" t="str">
        <v>charcoal</v>
      </c>
      <c r="H39">
        <v>44354.899675724089</v>
      </c>
      <c r="I39">
        <v>4.4273807769413635E-3</v>
      </c>
      <c r="J39">
        <v>4.4273807769413627E-3</v>
      </c>
      <c r="K39" t="str">
        <v>cdm_imp_charcoal</v>
      </c>
      <c r="L39">
        <v>1</v>
      </c>
      <c r="M39" t="str">
        <v>Sub-Saharan Africa</v>
      </c>
      <c r="N39" t="str">
        <v>Ghana</v>
      </c>
      <c r="O39" t="str">
        <v>Ghana tot</v>
      </c>
      <c r="P39">
        <v>3.5</v>
      </c>
      <c r="Q39">
        <v>0.82</v>
      </c>
      <c r="R39">
        <v>0.187</v>
      </c>
      <c r="S39">
        <v>0.29399999999999998</v>
      </c>
      <c r="T39">
        <v>82796</v>
      </c>
      <c r="U39">
        <v>0</v>
      </c>
      <c r="V39">
        <v>121</v>
      </c>
      <c r="W39">
        <v>0</v>
      </c>
      <c r="X39">
        <v>10018316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15.287671232876713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0.18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1.5599999999999999E-2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73.2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9.016319862116017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0.30520000000000003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1.5599999999999999E-2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73.2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0.9</v>
      </c>
      <c r="LI39">
        <v>0.88180000000000003</v>
      </c>
      <c r="LJ39">
        <v>0</v>
      </c>
      <c r="LK39">
        <v>0</v>
      </c>
      <c r="LL39">
        <v>1</v>
      </c>
      <c r="LM39">
        <v>0.95</v>
      </c>
      <c r="LN39">
        <v>0</v>
      </c>
      <c r="LO39">
        <v>1</v>
      </c>
      <c r="LP39">
        <v>0.78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</row>
    <row r="40" spans="1:355" x14ac:dyDescent="0.2">
      <c r="A40" t="str">
        <v>CDM AMS II G</v>
      </c>
      <c r="B40" t="str">
        <v>AMS-II.G (Version 05.0 EB 70)</v>
      </c>
      <c r="C40" t="str">
        <v>GS2094</v>
      </c>
      <c r="D40">
        <v>2021</v>
      </c>
      <c r="E40">
        <v>2019</v>
      </c>
      <c r="F40">
        <v>1932086</v>
      </c>
      <c r="G40" t="str">
        <v>charcoal</v>
      </c>
      <c r="H40">
        <v>89076.368770255809</v>
      </c>
      <c r="I40">
        <v>4.4273807769413627E-3</v>
      </c>
      <c r="J40">
        <v>4.4273807769413627E-3</v>
      </c>
      <c r="K40" t="str">
        <v>cdm_imp_charcoal</v>
      </c>
      <c r="L40">
        <v>1</v>
      </c>
      <c r="M40" t="str">
        <v>Sub-Saharan Africa</v>
      </c>
      <c r="N40" t="str">
        <v>Ghana</v>
      </c>
      <c r="O40" t="str">
        <v>Ghana tot</v>
      </c>
      <c r="P40">
        <v>3.5</v>
      </c>
      <c r="Q40">
        <v>0.82</v>
      </c>
      <c r="R40">
        <v>0.187</v>
      </c>
      <c r="S40">
        <v>0.29399999999999998</v>
      </c>
      <c r="T40">
        <v>82796</v>
      </c>
      <c r="U40">
        <v>0</v>
      </c>
      <c r="V40">
        <v>243</v>
      </c>
      <c r="W40">
        <v>0</v>
      </c>
      <c r="X40">
        <v>20119428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15.287671232876713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0.18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1.5599999999999999E-2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73.2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9.016319862116017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0.30520000000000003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1.5599999999999999E-2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73.2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0.9</v>
      </c>
      <c r="LI40">
        <v>0.88180000000000003</v>
      </c>
      <c r="LJ40">
        <v>0</v>
      </c>
      <c r="LK40">
        <v>0</v>
      </c>
      <c r="LL40">
        <v>1</v>
      </c>
      <c r="LM40">
        <v>0.95</v>
      </c>
      <c r="LN40">
        <v>0</v>
      </c>
      <c r="LO40">
        <v>1</v>
      </c>
      <c r="LP40">
        <v>0.78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</row>
    <row r="41" spans="1:355" x14ac:dyDescent="0.2">
      <c r="A41" t="str">
        <v>CDM AMS II G</v>
      </c>
      <c r="B41" t="str">
        <v>AMS-II.G (Version 05.0 EB 70)</v>
      </c>
      <c r="C41" t="str">
        <v>GS2094</v>
      </c>
      <c r="D41">
        <v>2020</v>
      </c>
      <c r="E41">
        <v>2020</v>
      </c>
      <c r="F41">
        <v>1932086</v>
      </c>
      <c r="G41" t="str">
        <v>charcoal</v>
      </c>
      <c r="H41">
        <v>38026.459741056904</v>
      </c>
      <c r="I41">
        <v>4.0612579452945687E-3</v>
      </c>
      <c r="J41">
        <v>4.0612579452945679E-3</v>
      </c>
      <c r="K41" t="str">
        <v>cdm_imp_charcoal</v>
      </c>
      <c r="L41">
        <v>1</v>
      </c>
      <c r="M41" t="str">
        <v>Sub-Saharan Africa</v>
      </c>
      <c r="N41" t="str">
        <v>Ghana</v>
      </c>
      <c r="O41" t="str">
        <v>Ghana tot</v>
      </c>
      <c r="P41">
        <v>3.5</v>
      </c>
      <c r="Q41">
        <v>0.82</v>
      </c>
      <c r="R41">
        <v>0.187</v>
      </c>
      <c r="S41">
        <v>0.29399999999999998</v>
      </c>
      <c r="T41">
        <v>77382</v>
      </c>
      <c r="U41">
        <v>0</v>
      </c>
      <c r="V41">
        <v>121</v>
      </c>
      <c r="W41">
        <v>0</v>
      </c>
      <c r="X41">
        <v>9363222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15.287671232876713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0.18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1.5599999999999999E-2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73.2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9.5349300828752881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0.28860000000000002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1.5599999999999999E-2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73.2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0.9</v>
      </c>
      <c r="LI41">
        <v>0.88180000000000003</v>
      </c>
      <c r="LJ41">
        <v>0</v>
      </c>
      <c r="LK41">
        <v>0</v>
      </c>
      <c r="LL41">
        <v>1</v>
      </c>
      <c r="LM41">
        <v>0.95</v>
      </c>
      <c r="LN41">
        <v>0</v>
      </c>
      <c r="LO41">
        <v>1</v>
      </c>
      <c r="LP41">
        <v>0.78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</row>
    <row r="42" spans="1:355" x14ac:dyDescent="0.2">
      <c r="A42" t="str">
        <v>CDM AMS II G</v>
      </c>
      <c r="B42" t="str">
        <v>AMS-II.G (Version 05.0 EB 70)</v>
      </c>
      <c r="C42" t="str">
        <v>GS2094</v>
      </c>
      <c r="D42">
        <v>2021</v>
      </c>
      <c r="E42">
        <v>2020</v>
      </c>
      <c r="F42">
        <v>1932086</v>
      </c>
      <c r="G42" t="str">
        <v>charcoal</v>
      </c>
      <c r="H42">
        <v>76367.187744436582</v>
      </c>
      <c r="I42">
        <v>4.0612579452945687E-3</v>
      </c>
      <c r="J42">
        <v>4.0612579452945679E-3</v>
      </c>
      <c r="K42" t="str">
        <v>cdm_imp_charcoal</v>
      </c>
      <c r="L42">
        <v>1</v>
      </c>
      <c r="M42" t="str">
        <v>Sub-Saharan Africa</v>
      </c>
      <c r="N42" t="str">
        <v>Ghana</v>
      </c>
      <c r="O42" t="str">
        <v>Ghana tot</v>
      </c>
      <c r="P42">
        <v>3.5</v>
      </c>
      <c r="Q42">
        <v>0.82</v>
      </c>
      <c r="R42">
        <v>0.187</v>
      </c>
      <c r="S42">
        <v>0.29399999999999998</v>
      </c>
      <c r="T42">
        <v>77382</v>
      </c>
      <c r="U42">
        <v>0</v>
      </c>
      <c r="V42">
        <v>243</v>
      </c>
      <c r="W42">
        <v>0</v>
      </c>
      <c r="X42">
        <v>18803826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15.287671232876713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1.5599999999999999E-2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73.2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9.5349300828752881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0.28860000000000002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1.5599999999999999E-2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73.2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0.9</v>
      </c>
      <c r="LI42">
        <v>0.88180000000000003</v>
      </c>
      <c r="LJ42">
        <v>0</v>
      </c>
      <c r="LK42">
        <v>0</v>
      </c>
      <c r="LL42">
        <v>1</v>
      </c>
      <c r="LM42">
        <v>0.95</v>
      </c>
      <c r="LN42">
        <v>0</v>
      </c>
      <c r="LO42">
        <v>1</v>
      </c>
      <c r="LP42">
        <v>0.78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</row>
    <row r="43" spans="1:355" x14ac:dyDescent="0.2">
      <c r="A43" t="str">
        <v>CDM AMS II G</v>
      </c>
      <c r="B43" t="str">
        <v>AMS-II.G. ver. 5</v>
      </c>
      <c r="C43" t="str">
        <v>VCS1719</v>
      </c>
      <c r="D43" t="str">
        <v>2016/2017</v>
      </c>
      <c r="E43" t="str">
        <v>NA</v>
      </c>
      <c r="F43">
        <v>6761</v>
      </c>
      <c r="G43" t="str">
        <v>firewood</v>
      </c>
      <c r="H43">
        <v>6631.4402597398275</v>
      </c>
      <c r="I43">
        <v>5.8806599343210241E-3</v>
      </c>
      <c r="J43">
        <v>5.7912333227137184E-3</v>
      </c>
      <c r="K43" t="str">
        <v>cdm_imp_firewood</v>
      </c>
      <c r="L43">
        <v>1</v>
      </c>
      <c r="M43" t="str">
        <v>Sub-Saharan Africa</v>
      </c>
      <c r="N43" t="str">
        <v>Malawi</v>
      </c>
      <c r="O43" t="str">
        <v>Central, Northern, &amp; Southern</v>
      </c>
      <c r="P43">
        <v>4.5</v>
      </c>
      <c r="Q43">
        <v>0.9</v>
      </c>
      <c r="R43">
        <v>0.315</v>
      </c>
      <c r="S43">
        <v>0.41600000000000004</v>
      </c>
      <c r="T43">
        <v>4381</v>
      </c>
      <c r="U43">
        <v>0</v>
      </c>
      <c r="V43">
        <v>257.39999999999998</v>
      </c>
      <c r="W43">
        <v>0</v>
      </c>
      <c r="X43">
        <v>1127669.3999999999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8.92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1.4999999999999999E-2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81.599999999999994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3.2697947214076253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0.27279999999999999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1.4999999999999999E-2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81.599999999999994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0.99452180000000001</v>
      </c>
      <c r="LI43">
        <v>1</v>
      </c>
      <c r="LJ43">
        <v>0</v>
      </c>
      <c r="LK43">
        <v>0</v>
      </c>
      <c r="LL43">
        <v>1</v>
      </c>
      <c r="LM43">
        <v>0.95</v>
      </c>
      <c r="LN43">
        <v>0</v>
      </c>
      <c r="LO43">
        <v>1</v>
      </c>
      <c r="LP43">
        <v>0.78</v>
      </c>
      <c r="LQ43">
        <v>0</v>
      </c>
      <c r="LR43">
        <v>1.5206901999999967E-2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</row>
    <row r="44" spans="1:355" x14ac:dyDescent="0.2">
      <c r="A44" t="str">
        <v>CDM AMS II G</v>
      </c>
      <c r="B44" t="str">
        <v>AMS-II.G. Version 03 </v>
      </c>
      <c r="C44" t="str">
        <v>VCS1721</v>
      </c>
      <c r="D44" t="str">
        <v>2016/2018</v>
      </c>
      <c r="E44" t="str">
        <v>NA</v>
      </c>
      <c r="F44">
        <v>508680</v>
      </c>
      <c r="G44" t="str">
        <v>firewood</v>
      </c>
      <c r="H44">
        <v>37509</v>
      </c>
      <c r="I44">
        <v>8.7698674437263428E-3</v>
      </c>
      <c r="J44">
        <v>8.614575106993554E-3</v>
      </c>
      <c r="K44" t="str">
        <v>cdm_imp_firewood</v>
      </c>
      <c r="L44">
        <v>1</v>
      </c>
      <c r="M44" t="str">
        <v>Central America</v>
      </c>
      <c r="N44" t="str">
        <v>Guatemala</v>
      </c>
      <c r="O44" t="str">
        <v>Guatemala tot</v>
      </c>
      <c r="P44">
        <v>4.8</v>
      </c>
      <c r="Q44">
        <v>0.91300000000000003</v>
      </c>
      <c r="R44">
        <v>0.28999999999999998</v>
      </c>
      <c r="S44">
        <v>0.34899999999999998</v>
      </c>
      <c r="T44">
        <v>11717.894736842105</v>
      </c>
      <c r="U44">
        <v>0</v>
      </c>
      <c r="V44">
        <v>365</v>
      </c>
      <c r="W44">
        <v>0</v>
      </c>
      <c r="X44">
        <v>4277031.5789473681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17.100547945205481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1.4999999999999999E-2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81.599999999999994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6.3879521648134041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0.26769999999999999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1.4999999999999999E-2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81.599999999999994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0.80579999999999996</v>
      </c>
      <c r="LI44">
        <v>1</v>
      </c>
      <c r="LJ44">
        <v>0</v>
      </c>
      <c r="LK44">
        <v>0</v>
      </c>
      <c r="LL44">
        <v>1</v>
      </c>
      <c r="LM44">
        <v>0.95</v>
      </c>
      <c r="LN44">
        <v>0</v>
      </c>
      <c r="LO44">
        <v>1</v>
      </c>
      <c r="LP44">
        <v>0.78</v>
      </c>
      <c r="LQ44">
        <v>0</v>
      </c>
      <c r="LR44">
        <v>5.9982194000000044E-2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</row>
    <row r="45" spans="1:355" x14ac:dyDescent="0.2">
      <c r="A45" t="str">
        <v>GS TPDDTEC</v>
      </c>
      <c r="B45" t="str">
        <v>GS TPDDTEC v3.1</v>
      </c>
      <c r="C45" t="str">
        <v>GS7312</v>
      </c>
      <c r="D45">
        <v>3</v>
      </c>
      <c r="E45">
        <v>2020</v>
      </c>
      <c r="F45">
        <v>3045660</v>
      </c>
      <c r="G45" t="str">
        <v>charcoal</v>
      </c>
      <c r="H45">
        <v>919166.49177504622</v>
      </c>
      <c r="I45">
        <v>1.2624830796980463E-2</v>
      </c>
      <c r="J45">
        <v>1.3000632836248719E-2</v>
      </c>
      <c r="K45" t="str">
        <v>gs_imp_charcoal</v>
      </c>
      <c r="L45">
        <v>1</v>
      </c>
      <c r="M45" t="str">
        <v>Sub-Saharan Africa</v>
      </c>
      <c r="N45" t="str">
        <v>Nigeria</v>
      </c>
      <c r="O45" t="str">
        <v>Nigeria tot</v>
      </c>
      <c r="P45">
        <v>4.9000000000000004</v>
      </c>
      <c r="Q45">
        <v>0.93</v>
      </c>
      <c r="R45">
        <v>0.48</v>
      </c>
      <c r="S45">
        <v>0.51200000000000001</v>
      </c>
      <c r="T45">
        <v>257540.34716550901</v>
      </c>
      <c r="U45">
        <v>0</v>
      </c>
      <c r="V45">
        <v>282.69839363730722</v>
      </c>
      <c r="W45">
        <v>0</v>
      </c>
      <c r="X45">
        <v>72806242.440483823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5.2038356164383561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2.9499999999999998E-2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61.08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1.5708300547945202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2.9499999999999998E-2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112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61.08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0.82</v>
      </c>
      <c r="LI45">
        <v>1</v>
      </c>
      <c r="LJ45">
        <v>0</v>
      </c>
      <c r="LK45">
        <v>0</v>
      </c>
      <c r="LL45">
        <v>0</v>
      </c>
      <c r="LM45">
        <v>1</v>
      </c>
      <c r="LN45">
        <v>110742.34928116888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</row>
    <row r="46" spans="1:355" x14ac:dyDescent="0.2">
      <c r="A46" t="str">
        <v>GS TPDDTEC</v>
      </c>
      <c r="B46" t="str">
        <v>GS TPDDTEC v3.2</v>
      </c>
      <c r="C46" t="str">
        <v>GS7312</v>
      </c>
      <c r="D46">
        <v>3</v>
      </c>
      <c r="E46">
        <v>2021</v>
      </c>
      <c r="F46">
        <v>3045660</v>
      </c>
      <c r="G46" t="str">
        <v>charcoal</v>
      </c>
      <c r="H46">
        <v>166356.55804674391</v>
      </c>
      <c r="I46">
        <v>1.2624830796980464E-2</v>
      </c>
      <c r="J46">
        <v>1.3000632836248719E-2</v>
      </c>
      <c r="K46" t="str">
        <v>gs_imp_charcoal</v>
      </c>
      <c r="L46">
        <v>1</v>
      </c>
      <c r="M46" t="str">
        <v>Sub-Saharan Africa</v>
      </c>
      <c r="N46" t="str">
        <v>Nigeria</v>
      </c>
      <c r="O46" t="str">
        <v>Nigeria tot</v>
      </c>
      <c r="P46">
        <v>4.9000000000000004</v>
      </c>
      <c r="Q46">
        <v>0.93</v>
      </c>
      <c r="R46">
        <v>0.48</v>
      </c>
      <c r="S46">
        <v>0.51200000000000001</v>
      </c>
      <c r="T46">
        <v>46611.278909743982</v>
      </c>
      <c r="U46">
        <v>0</v>
      </c>
      <c r="V46">
        <v>282.69839363730722</v>
      </c>
      <c r="W46">
        <v>0</v>
      </c>
      <c r="X46">
        <v>13176933.67316512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5.2038356164383561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2.9499999999999998E-2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61.08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1.5708300547945202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2.9499999999999998E-2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112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61.08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0.82</v>
      </c>
      <c r="LI46">
        <v>1</v>
      </c>
      <c r="LJ46">
        <v>0</v>
      </c>
      <c r="LK46">
        <v>0</v>
      </c>
      <c r="LL46">
        <v>0</v>
      </c>
      <c r="LM46">
        <v>1</v>
      </c>
      <c r="LN46">
        <v>20042.84993118991</v>
      </c>
      <c r="LO46">
        <v>1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</row>
    <row r="47" spans="1:355" x14ac:dyDescent="0.2">
      <c r="A47" t="str">
        <v>GS TPDDTEC</v>
      </c>
      <c r="B47" t="str">
        <v>GS Methodology for Improved Cook stoves and Kitchen Regimes v1.</v>
      </c>
      <c r="C47" t="str">
        <v>GS500</v>
      </c>
      <c r="D47" t="str">
        <v>8th</v>
      </c>
      <c r="E47" t="str">
        <v>NA</v>
      </c>
      <c r="F47">
        <v>329887</v>
      </c>
      <c r="G47" t="str">
        <v>switch</v>
      </c>
      <c r="H47">
        <v>46709</v>
      </c>
      <c r="I47">
        <v>1.1260876477701057E-2</v>
      </c>
      <c r="J47">
        <v>1.085821156832493E-2</v>
      </c>
      <c r="K47" t="str">
        <v>gs_lpg</v>
      </c>
      <c r="L47">
        <v>1</v>
      </c>
      <c r="M47" t="str">
        <v>Sub-Saharan Africa</v>
      </c>
      <c r="N47" t="str">
        <v>Sudan</v>
      </c>
      <c r="O47" t="str">
        <v>Northern Darfur</v>
      </c>
      <c r="P47">
        <v>5.6</v>
      </c>
      <c r="Q47">
        <v>0.85</v>
      </c>
      <c r="R47">
        <v>4.0999999999999995E-2</v>
      </c>
      <c r="S47">
        <v>0.25700000000000001</v>
      </c>
      <c r="T47">
        <v>11918.2555422842</v>
      </c>
      <c r="U47">
        <v>1</v>
      </c>
      <c r="V47">
        <v>347</v>
      </c>
      <c r="W47">
        <v>1</v>
      </c>
      <c r="X47">
        <v>4135634.6731726173</v>
      </c>
      <c r="Y47">
        <v>0.49149999999999999</v>
      </c>
      <c r="Z47">
        <v>0.50849999999999995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1.4920166198473284</v>
      </c>
      <c r="AN47">
        <v>0.88497827463461554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0.1179</v>
      </c>
      <c r="BD47">
        <v>0.20799999999999999</v>
      </c>
      <c r="BE47">
        <v>0</v>
      </c>
      <c r="BF47">
        <v>0.48599999999999999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4.7300000000000002E-2</v>
      </c>
      <c r="BR47">
        <v>4.7300000000000002E-2</v>
      </c>
      <c r="BS47">
        <v>0</v>
      </c>
      <c r="BT47">
        <v>0</v>
      </c>
      <c r="BU47">
        <v>0</v>
      </c>
      <c r="BV47">
        <v>0</v>
      </c>
      <c r="BW47">
        <v>112</v>
      </c>
      <c r="BX47">
        <v>112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33.878</v>
      </c>
      <c r="CE47">
        <v>9.7650000000000006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305.54875747030849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0.36195218000000001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4.8599999999999997E-2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4.7300000000000002E-2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112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21.846388783075387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0.99399999999999999</v>
      </c>
      <c r="LI47">
        <v>1</v>
      </c>
      <c r="LJ47">
        <v>0</v>
      </c>
      <c r="LK47">
        <v>0</v>
      </c>
      <c r="LL47">
        <v>0</v>
      </c>
      <c r="LM47">
        <v>1</v>
      </c>
      <c r="LN47">
        <v>0</v>
      </c>
      <c r="LO47">
        <v>1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</row>
    <row r="48" spans="1:355" x14ac:dyDescent="0.2">
      <c r="A48" t="str">
        <v>CDM AMS I E</v>
      </c>
      <c r="B48">
        <v>0</v>
      </c>
      <c r="C48" t="str">
        <v>GS10884</v>
      </c>
      <c r="D48" t="str">
        <v>PDD</v>
      </c>
      <c r="E48" t="str">
        <v>domestic</v>
      </c>
      <c r="F48">
        <v>167182</v>
      </c>
      <c r="G48" t="str">
        <v>switch</v>
      </c>
      <c r="H48">
        <v>135509.52064829718</v>
      </c>
      <c r="I48">
        <v>9.5194605302632383E-3</v>
      </c>
      <c r="J48">
        <v>9.171352877469929E-3</v>
      </c>
      <c r="K48" t="str">
        <v>ethanol</v>
      </c>
      <c r="L48">
        <v>1</v>
      </c>
      <c r="M48" t="str">
        <v>Sub-Saharan Africa</v>
      </c>
      <c r="N48" t="str">
        <v>Kenya</v>
      </c>
      <c r="O48" t="str">
        <v>Kenya tot</v>
      </c>
      <c r="P48">
        <v>3.6</v>
      </c>
      <c r="Q48">
        <v>0.92</v>
      </c>
      <c r="R48">
        <v>0.54200000000000004</v>
      </c>
      <c r="S48">
        <v>0.63900000000000001</v>
      </c>
      <c r="T48">
        <v>39000</v>
      </c>
      <c r="U48">
        <v>0</v>
      </c>
      <c r="V48">
        <v>365</v>
      </c>
      <c r="W48">
        <v>0</v>
      </c>
      <c r="X48">
        <v>14235000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10.969863013698628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0.12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1.5599999999999999E-2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63.7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0.57999999999999996</v>
      </c>
      <c r="GC48">
        <v>0.79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2.7E-2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3.2736938118129956E-3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0.99239999999999995</v>
      </c>
      <c r="LI48">
        <v>0.97</v>
      </c>
      <c r="LJ48">
        <v>1</v>
      </c>
      <c r="LK48">
        <v>1</v>
      </c>
      <c r="LL48">
        <v>1</v>
      </c>
      <c r="LM48">
        <v>0.95</v>
      </c>
      <c r="LN48">
        <v>0</v>
      </c>
      <c r="LO48">
        <v>1</v>
      </c>
      <c r="LP48">
        <v>0.78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</row>
    <row r="49" spans="1:355" x14ac:dyDescent="0.2">
      <c r="A49" t="str">
        <v>CDM AMS I E</v>
      </c>
      <c r="B49">
        <v>0</v>
      </c>
      <c r="C49" t="str">
        <v>GS10884</v>
      </c>
      <c r="D49" t="str">
        <v>PDD</v>
      </c>
      <c r="E49" t="str">
        <v>commercial</v>
      </c>
      <c r="F49">
        <v>167182</v>
      </c>
      <c r="G49" t="str">
        <v>switch</v>
      </c>
      <c r="H49">
        <v>21548.165733213209</v>
      </c>
      <c r="I49">
        <v>1.9678690167317998E-2</v>
      </c>
      <c r="J49">
        <v>1.8942424258440029E-2</v>
      </c>
      <c r="K49" t="str">
        <v>ethanol</v>
      </c>
      <c r="L49">
        <v>1</v>
      </c>
      <c r="M49" t="str">
        <v>Sub-Saharan Africa</v>
      </c>
      <c r="N49" t="str">
        <v>Kenya</v>
      </c>
      <c r="O49" t="str">
        <v>Kenya tot</v>
      </c>
      <c r="P49">
        <v>3.6</v>
      </c>
      <c r="Q49">
        <v>0.92</v>
      </c>
      <c r="R49">
        <v>0.54200000000000004</v>
      </c>
      <c r="S49">
        <v>0.63900000000000001</v>
      </c>
      <c r="T49">
        <v>3000</v>
      </c>
      <c r="U49">
        <v>0</v>
      </c>
      <c r="V49">
        <v>365</v>
      </c>
      <c r="W49">
        <v>0</v>
      </c>
      <c r="X49">
        <v>1095000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22.657534246575342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0.12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0.12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1.5599999999999999E-2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63.7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0.57999999999999996</v>
      </c>
      <c r="GC49">
        <v>0.79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2.7E-2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4.2558019553568943E-2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0.99239999999999995</v>
      </c>
      <c r="LI49">
        <v>0.97</v>
      </c>
      <c r="LJ49">
        <v>1</v>
      </c>
      <c r="LK49">
        <v>1</v>
      </c>
      <c r="LL49">
        <v>1</v>
      </c>
      <c r="LM49">
        <v>0.95</v>
      </c>
      <c r="LN49">
        <v>0</v>
      </c>
      <c r="LO49">
        <v>1</v>
      </c>
      <c r="LP49">
        <v>0.78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</row>
    <row r="50" spans="1:355" x14ac:dyDescent="0.2">
      <c r="A50" t="str">
        <v>GS TPDDTEC</v>
      </c>
      <c r="B50" t="str">
        <v>GS Improved Cook-Stoves and Kitchen Regimes version 01</v>
      </c>
      <c r="C50" t="str">
        <v>GS447</v>
      </c>
      <c r="D50">
        <v>2020</v>
      </c>
      <c r="E50" t="str">
        <v>NA</v>
      </c>
      <c r="F50">
        <v>7506609</v>
      </c>
      <c r="G50" t="str">
        <v>charcoal</v>
      </c>
      <c r="H50">
        <v>266312</v>
      </c>
      <c r="I50">
        <v>4.0100663036016148E-3</v>
      </c>
      <c r="J50">
        <v>3.9811877271919991E-3</v>
      </c>
      <c r="K50" t="str">
        <v>gs_imp_charcoal</v>
      </c>
      <c r="L50">
        <v>1</v>
      </c>
      <c r="M50" t="str">
        <v>Sub-Saharan Africa</v>
      </c>
      <c r="N50" t="str">
        <v>Uganda</v>
      </c>
      <c r="O50" t="str">
        <v>Uganda tot</v>
      </c>
      <c r="P50">
        <v>4.5</v>
      </c>
      <c r="Q50">
        <v>0.88</v>
      </c>
      <c r="R50">
        <v>0.49</v>
      </c>
      <c r="S50">
        <v>0.61499999999999999</v>
      </c>
      <c r="T50">
        <v>66410872</v>
      </c>
      <c r="U50">
        <v>0</v>
      </c>
      <c r="V50">
        <v>1</v>
      </c>
      <c r="W50">
        <v>0</v>
      </c>
      <c r="X50">
        <v>66410872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1.0939999999999999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2.9499999999999998E-2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9.8800000000000008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61.08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2.9499999999999998E-2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112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61.08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0.76600000000000001</v>
      </c>
      <c r="LI50">
        <v>1</v>
      </c>
      <c r="LJ50">
        <v>0</v>
      </c>
      <c r="LK50">
        <v>0</v>
      </c>
      <c r="LL50">
        <v>1</v>
      </c>
      <c r="LM50">
        <v>0.95</v>
      </c>
      <c r="LN50">
        <v>0</v>
      </c>
      <c r="LO50">
        <v>1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</row>
    <row r="51" spans="1:355" x14ac:dyDescent="0.2">
      <c r="A51" t="str">
        <v>GS TPDDTEC</v>
      </c>
      <c r="B51" t="str">
        <v>GS Improved Cook-Stoves and Kitchen Regimes version 01</v>
      </c>
      <c r="C51" t="str">
        <v>GS447</v>
      </c>
      <c r="D51">
        <v>2021</v>
      </c>
      <c r="E51" t="str">
        <v>NA</v>
      </c>
      <c r="F51">
        <v>7506609</v>
      </c>
      <c r="G51" t="str">
        <v>charcoal</v>
      </c>
      <c r="H51">
        <v>157844</v>
      </c>
      <c r="I51">
        <v>4.060451553267291E-3</v>
      </c>
      <c r="J51">
        <v>4.0310825081071987E-3</v>
      </c>
      <c r="K51" t="str">
        <v>gs_imp_charcoal</v>
      </c>
      <c r="L51">
        <v>1</v>
      </c>
      <c r="M51" t="str">
        <v>Sub-Saharan Africa</v>
      </c>
      <c r="N51" t="str">
        <v>Uganda</v>
      </c>
      <c r="O51" t="str">
        <v>Uganda tot</v>
      </c>
      <c r="P51">
        <v>4.5</v>
      </c>
      <c r="Q51">
        <v>0.88</v>
      </c>
      <c r="R51">
        <v>0.49</v>
      </c>
      <c r="S51">
        <v>0.61499999999999999</v>
      </c>
      <c r="T51">
        <v>38873509</v>
      </c>
      <c r="U51">
        <v>0</v>
      </c>
      <c r="V51">
        <v>1</v>
      </c>
      <c r="W51">
        <v>0</v>
      </c>
      <c r="X51">
        <v>38873509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1.0939999999999999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2.9499999999999998E-2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9.8800000000000008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61.08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2.9499999999999998E-2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112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61.08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0.77559999999999996</v>
      </c>
      <c r="LI51">
        <v>1</v>
      </c>
      <c r="LJ51">
        <v>0</v>
      </c>
      <c r="LK51">
        <v>0</v>
      </c>
      <c r="LL51">
        <v>1</v>
      </c>
      <c r="LM51">
        <v>0.95</v>
      </c>
      <c r="LN51">
        <v>0</v>
      </c>
      <c r="LO51">
        <v>1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</row>
    <row r="52" spans="1:355" x14ac:dyDescent="0.2">
      <c r="A52" t="str">
        <v>GS TPDDTEC</v>
      </c>
      <c r="B52" t="str">
        <v>GS TPDDTEC v3.1</v>
      </c>
      <c r="C52" t="str">
        <v>GS2564</v>
      </c>
      <c r="D52" t="str">
        <v>2019/2021</v>
      </c>
      <c r="E52" t="str">
        <v>NA</v>
      </c>
      <c r="F52">
        <v>124931</v>
      </c>
      <c r="G52" t="str">
        <v>switch</v>
      </c>
      <c r="H52">
        <v>99774</v>
      </c>
      <c r="I52">
        <v>3.3833599754761169E-2</v>
      </c>
      <c r="J52">
        <v>3.3270150307341061E-2</v>
      </c>
      <c r="K52" t="str">
        <v>gs_lpg</v>
      </c>
      <c r="L52">
        <v>1</v>
      </c>
      <c r="M52" t="str">
        <v>Central America</v>
      </c>
      <c r="N52" t="str">
        <v>Haiti</v>
      </c>
      <c r="O52" t="str">
        <v>Ouest</v>
      </c>
      <c r="P52">
        <v>4.3</v>
      </c>
      <c r="Q52">
        <v>0.96</v>
      </c>
      <c r="R52">
        <v>0.435</v>
      </c>
      <c r="S52">
        <v>0.54100000000000004</v>
      </c>
      <c r="T52">
        <v>2948962</v>
      </c>
      <c r="U52">
        <v>0</v>
      </c>
      <c r="V52">
        <v>1</v>
      </c>
      <c r="W52">
        <v>0</v>
      </c>
      <c r="X52">
        <v>2948962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2.3199999999999998</v>
      </c>
      <c r="AO52">
        <v>8.0000000000000002E-3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2.9499999999999998E-2</v>
      </c>
      <c r="BS52">
        <v>4.3799999999999999E-2</v>
      </c>
      <c r="BT52">
        <v>4.7300000000000002E-2</v>
      </c>
      <c r="BU52">
        <v>0</v>
      </c>
      <c r="BV52">
        <v>0</v>
      </c>
      <c r="BW52">
        <v>0</v>
      </c>
      <c r="BX52">
        <v>747.04</v>
      </c>
      <c r="BY52">
        <v>71.900000000000006</v>
      </c>
      <c r="BZ52">
        <v>63.1</v>
      </c>
      <c r="CA52">
        <v>0</v>
      </c>
      <c r="CB52">
        <v>0</v>
      </c>
      <c r="CC52">
        <v>0</v>
      </c>
      <c r="CD52">
        <v>0</v>
      </c>
      <c r="CE52">
        <v>226.45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0.3</v>
      </c>
      <c r="FZ52">
        <v>0.01</v>
      </c>
      <c r="GA52">
        <v>0.8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2.9499999999999998E-2</v>
      </c>
      <c r="HJ52">
        <v>4.3799999999999999E-2</v>
      </c>
      <c r="HK52">
        <v>4.7300000000000002E-2</v>
      </c>
      <c r="HL52">
        <v>0</v>
      </c>
      <c r="HM52">
        <v>0</v>
      </c>
      <c r="HN52">
        <v>0</v>
      </c>
      <c r="HO52">
        <v>747.04</v>
      </c>
      <c r="HP52">
        <v>71.900000000000006</v>
      </c>
      <c r="HQ52">
        <v>63.1</v>
      </c>
      <c r="HR52">
        <v>0</v>
      </c>
      <c r="HS52">
        <v>0</v>
      </c>
      <c r="HT52">
        <v>0</v>
      </c>
      <c r="HU52">
        <v>0</v>
      </c>
      <c r="HV52">
        <v>226.45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0.85</v>
      </c>
      <c r="LI52">
        <v>0.88</v>
      </c>
      <c r="LJ52">
        <v>0</v>
      </c>
      <c r="LK52">
        <v>0</v>
      </c>
      <c r="LL52">
        <v>0</v>
      </c>
      <c r="LM52">
        <v>1</v>
      </c>
      <c r="LN52">
        <v>0</v>
      </c>
      <c r="LO52">
        <v>0.82609999999999995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</row>
    <row r="53" spans="1:355" x14ac:dyDescent="0.2">
      <c r="A53" t="str">
        <v>GS TPDDTEC</v>
      </c>
      <c r="B53" t="str">
        <v>GS TPDDTEC v3.1</v>
      </c>
      <c r="C53" t="str">
        <v>GS7438</v>
      </c>
      <c r="D53">
        <v>2019</v>
      </c>
      <c r="E53" t="str">
        <v>NA</v>
      </c>
      <c r="F53">
        <v>103512</v>
      </c>
      <c r="G53" t="str">
        <v>firewood</v>
      </c>
      <c r="H53">
        <v>32837.242050398301</v>
      </c>
      <c r="I53">
        <v>7.3617305488824546E-3</v>
      </c>
      <c r="J53">
        <v>7.3468977440039988E-3</v>
      </c>
      <c r="K53" t="str">
        <v>gs_imp_firewood</v>
      </c>
      <c r="L53">
        <v>1</v>
      </c>
      <c r="M53" t="str">
        <v>Sub-Saharan Africa</v>
      </c>
      <c r="N53" t="str">
        <v>Uganda</v>
      </c>
      <c r="O53" t="str">
        <v>Uganda tot</v>
      </c>
      <c r="P53">
        <v>4.5</v>
      </c>
      <c r="Q53">
        <v>0.88</v>
      </c>
      <c r="R53">
        <v>0.49</v>
      </c>
      <c r="S53">
        <v>0.61499999999999999</v>
      </c>
      <c r="T53">
        <v>1</v>
      </c>
      <c r="U53">
        <v>0</v>
      </c>
      <c r="V53">
        <v>4460533</v>
      </c>
      <c r="W53">
        <v>0</v>
      </c>
      <c r="X53">
        <v>4460533</v>
      </c>
      <c r="Y53">
        <v>0.48099999999999998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12.24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1.5599999999999999E-2</v>
      </c>
      <c r="BR53">
        <v>1.5599999999999999E-2</v>
      </c>
      <c r="BS53">
        <v>0</v>
      </c>
      <c r="BT53">
        <v>0</v>
      </c>
      <c r="BU53">
        <v>0</v>
      </c>
      <c r="BV53">
        <v>0</v>
      </c>
      <c r="BW53">
        <v>112</v>
      </c>
      <c r="BX53">
        <v>896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33.950000000000003</v>
      </c>
      <c r="CE53">
        <v>271.60000000000002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0.48099999999999998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4.03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1.5599999999999999E-2</v>
      </c>
      <c r="HI53">
        <v>1.5599999999999999E-2</v>
      </c>
      <c r="HJ53">
        <v>0</v>
      </c>
      <c r="HK53">
        <v>0</v>
      </c>
      <c r="HL53">
        <v>0</v>
      </c>
      <c r="HM53">
        <v>0</v>
      </c>
      <c r="HN53">
        <v>112</v>
      </c>
      <c r="HO53">
        <v>896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33.950000000000003</v>
      </c>
      <c r="HV53">
        <v>271.60000000000002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0.9</v>
      </c>
      <c r="LI53">
        <v>1</v>
      </c>
      <c r="LJ53">
        <v>0</v>
      </c>
      <c r="LK53">
        <v>0</v>
      </c>
      <c r="LL53">
        <v>0</v>
      </c>
      <c r="LM53">
        <v>1</v>
      </c>
      <c r="LN53">
        <v>0</v>
      </c>
      <c r="LO53">
        <v>1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</row>
    <row r="54" spans="1:355" x14ac:dyDescent="0.2">
      <c r="A54" t="str">
        <v>GS TPDDTEC</v>
      </c>
      <c r="B54" t="str">
        <v>GS TPDDTEC v3.1</v>
      </c>
      <c r="C54" t="str">
        <v>GS7438</v>
      </c>
      <c r="D54">
        <v>2019</v>
      </c>
      <c r="E54" t="str">
        <v>NA</v>
      </c>
      <c r="F54">
        <v>103512</v>
      </c>
      <c r="G54" t="str">
        <v>charcoal</v>
      </c>
      <c r="H54">
        <v>70289.431499734113</v>
      </c>
      <c r="I54">
        <v>1.5758079023232001E-2</v>
      </c>
      <c r="J54">
        <v>1.5758079023232001E-2</v>
      </c>
      <c r="K54" t="str">
        <v>gs_imp_charcoal</v>
      </c>
      <c r="L54">
        <v>1</v>
      </c>
      <c r="M54" t="str">
        <v>Sub-Saharan Africa</v>
      </c>
      <c r="N54" t="str">
        <v>Uganda</v>
      </c>
      <c r="O54" t="str">
        <v>Uganda tot</v>
      </c>
      <c r="P54">
        <v>4.5</v>
      </c>
      <c r="Q54">
        <v>0.88</v>
      </c>
      <c r="R54">
        <v>0.49</v>
      </c>
      <c r="S54">
        <v>0.61499999999999999</v>
      </c>
      <c r="T54">
        <v>1</v>
      </c>
      <c r="U54">
        <v>0</v>
      </c>
      <c r="V54">
        <v>4460533</v>
      </c>
      <c r="W54">
        <v>0</v>
      </c>
      <c r="X54">
        <v>4460533</v>
      </c>
      <c r="Y54">
        <v>0</v>
      </c>
      <c r="Z54">
        <v>0.51900000000000002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2.54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1.5599999999999999E-2</v>
      </c>
      <c r="BR54">
        <v>1.5599999999999999E-2</v>
      </c>
      <c r="BS54">
        <v>0</v>
      </c>
      <c r="BT54">
        <v>0</v>
      </c>
      <c r="BU54">
        <v>0</v>
      </c>
      <c r="BV54">
        <v>0</v>
      </c>
      <c r="BW54">
        <v>112</v>
      </c>
      <c r="BX54">
        <v>896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33.950000000000003</v>
      </c>
      <c r="CE54">
        <v>271.60000000000002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0.51900000000000002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0.5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1.5599999999999999E-2</v>
      </c>
      <c r="HI54">
        <v>1.5599999999999999E-2</v>
      </c>
      <c r="HJ54">
        <v>0</v>
      </c>
      <c r="HK54">
        <v>0</v>
      </c>
      <c r="HL54">
        <v>0</v>
      </c>
      <c r="HM54">
        <v>0</v>
      </c>
      <c r="HN54">
        <v>112</v>
      </c>
      <c r="HO54">
        <v>896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33.950000000000003</v>
      </c>
      <c r="HV54">
        <v>271.60000000000002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0.9</v>
      </c>
      <c r="LI54">
        <v>1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1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</row>
    <row r="55" spans="1:355" x14ac:dyDescent="0.2">
      <c r="A55" t="str">
        <v>CDM AMS II G</v>
      </c>
      <c r="B55" t="str">
        <v>AMS-II.G. Version 03 </v>
      </c>
      <c r="C55" t="str">
        <v>GS913</v>
      </c>
      <c r="D55">
        <v>9</v>
      </c>
      <c r="E55" t="str">
        <v>domestic</v>
      </c>
      <c r="F55">
        <v>229704</v>
      </c>
      <c r="G55" t="str">
        <v>firewood</v>
      </c>
      <c r="H55">
        <v>25316</v>
      </c>
      <c r="I55">
        <v>7.5661123284952768E-3</v>
      </c>
      <c r="J55">
        <v>7.5275436822558354E-3</v>
      </c>
      <c r="K55" t="str">
        <v>cdm_imp_firewood</v>
      </c>
      <c r="L55">
        <v>1</v>
      </c>
      <c r="M55" t="str">
        <v>Sub-Saharan Africa</v>
      </c>
      <c r="N55" t="str">
        <v>Lesotho</v>
      </c>
      <c r="O55" t="str">
        <v>districts Berea, Maseru, Leribe, Mohale’s Hoek, Mafeteng
and Butha-Buthe.</v>
      </c>
      <c r="P55">
        <v>3.3</v>
      </c>
      <c r="Q55">
        <v>0.98</v>
      </c>
      <c r="R55">
        <v>0.36066666666666669</v>
      </c>
      <c r="S55">
        <v>0.4906666666666667</v>
      </c>
      <c r="T55">
        <v>9142</v>
      </c>
      <c r="U55">
        <v>0</v>
      </c>
      <c r="V55">
        <v>366</v>
      </c>
      <c r="W55">
        <v>0</v>
      </c>
      <c r="X55">
        <v>3345972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10.136986301369863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1.4999999999999999E-2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81.599999999999994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2.3038605230386056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0.44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1.4999999999999999E-2</v>
      </c>
      <c r="HI55">
        <v>1.4999999999999999E-2</v>
      </c>
      <c r="HJ55">
        <v>0</v>
      </c>
      <c r="HK55">
        <v>0</v>
      </c>
      <c r="HL55">
        <v>0</v>
      </c>
      <c r="HM55">
        <v>0</v>
      </c>
      <c r="HN55">
        <v>81.599999999999994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0.88239999999999996</v>
      </c>
      <c r="LI55">
        <v>0.95569999999999999</v>
      </c>
      <c r="LJ55">
        <v>0</v>
      </c>
      <c r="LK55">
        <v>0</v>
      </c>
      <c r="LL55">
        <v>1</v>
      </c>
      <c r="LM55">
        <v>0.95</v>
      </c>
      <c r="LN55">
        <v>0</v>
      </c>
      <c r="LO55">
        <v>1</v>
      </c>
      <c r="LP55">
        <v>0.78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</row>
    <row r="56" spans="1:355" x14ac:dyDescent="0.2">
      <c r="A56" t="str">
        <v>CDM AMS II G</v>
      </c>
      <c r="B56" t="str">
        <v>AMS II.G Version 09 </v>
      </c>
      <c r="C56" t="str">
        <v>GS6212</v>
      </c>
      <c r="D56">
        <v>5</v>
      </c>
      <c r="E56" t="str">
        <v>domestic</v>
      </c>
      <c r="F56">
        <v>143692</v>
      </c>
      <c r="G56" t="str">
        <v>firewood</v>
      </c>
      <c r="H56">
        <v>19872</v>
      </c>
      <c r="I56">
        <v>5.7120978507197041E-3</v>
      </c>
      <c r="J56">
        <v>5.8348855330783494E-3</v>
      </c>
      <c r="K56" t="str">
        <v>cdm_imp_firewood</v>
      </c>
      <c r="L56">
        <v>1</v>
      </c>
      <c r="M56" t="str">
        <v>Asia</v>
      </c>
      <c r="N56" t="str">
        <v>Nepal</v>
      </c>
      <c r="O56" t="str">
        <v>Nepal tot</v>
      </c>
      <c r="P56">
        <v>4.2</v>
      </c>
      <c r="Q56">
        <v>0.86</v>
      </c>
      <c r="R56">
        <v>0.44</v>
      </c>
      <c r="S56">
        <v>0.52800000000000002</v>
      </c>
      <c r="T56">
        <v>14142</v>
      </c>
      <c r="U56">
        <v>0</v>
      </c>
      <c r="V56">
        <v>246</v>
      </c>
      <c r="W56">
        <v>0</v>
      </c>
      <c r="X56">
        <v>3478932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11.589041095890412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1.5599999999999999E-2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63.7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4.1567579253552402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0.27879999999999999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1.4999999999999999E-2</v>
      </c>
      <c r="HI56">
        <v>1.5599999999999999E-2</v>
      </c>
      <c r="HJ56">
        <v>0</v>
      </c>
      <c r="HK56">
        <v>0</v>
      </c>
      <c r="HL56">
        <v>0</v>
      </c>
      <c r="HM56">
        <v>0</v>
      </c>
      <c r="HN56">
        <v>63.7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0.97330000000000005</v>
      </c>
      <c r="LI56">
        <v>0.97260000000000002</v>
      </c>
      <c r="LJ56">
        <v>0</v>
      </c>
      <c r="LK56">
        <v>0</v>
      </c>
      <c r="LL56">
        <v>1</v>
      </c>
      <c r="LM56">
        <v>0.95</v>
      </c>
      <c r="LN56">
        <v>0</v>
      </c>
      <c r="LO56">
        <v>1</v>
      </c>
      <c r="LP56">
        <v>0.78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</row>
    <row r="57" spans="1:355" x14ac:dyDescent="0.2">
      <c r="A57" t="str">
        <v>CDM AMS II G</v>
      </c>
      <c r="B57" t="str">
        <v>AMS II.G Version 09 </v>
      </c>
      <c r="C57" t="str">
        <v>GS6212</v>
      </c>
      <c r="D57">
        <v>2</v>
      </c>
      <c r="E57" t="str">
        <v>domestic</v>
      </c>
      <c r="F57">
        <v>143692</v>
      </c>
      <c r="G57" t="str">
        <v>firewood</v>
      </c>
      <c r="H57">
        <v>34135</v>
      </c>
      <c r="I57">
        <v>6.3528665134980969E-3</v>
      </c>
      <c r="J57">
        <v>6.4895531897502011E-3</v>
      </c>
      <c r="K57" t="str">
        <v>cdm_imp_firewood</v>
      </c>
      <c r="L57">
        <v>1</v>
      </c>
      <c r="M57" t="str">
        <v>Asia</v>
      </c>
      <c r="N57" t="str">
        <v>Nepal</v>
      </c>
      <c r="O57" t="str">
        <v>Nepal tot</v>
      </c>
      <c r="P57">
        <v>4.2</v>
      </c>
      <c r="Q57">
        <v>0.86099999999999999</v>
      </c>
      <c r="R57">
        <v>0.44</v>
      </c>
      <c r="S57">
        <v>0.52800000000000002</v>
      </c>
      <c r="T57">
        <v>14721</v>
      </c>
      <c r="U57">
        <v>0</v>
      </c>
      <c r="V57">
        <v>365</v>
      </c>
      <c r="W57">
        <v>0</v>
      </c>
      <c r="X57">
        <v>5373165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12.054794520547945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1.5599999999999999E-2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64.400000000000006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4.3238143904404387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0.27879999999999999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1.4999999999999999E-2</v>
      </c>
      <c r="HI57">
        <v>1.5599999999999999E-2</v>
      </c>
      <c r="HJ57">
        <v>0</v>
      </c>
      <c r="HK57">
        <v>0</v>
      </c>
      <c r="HL57">
        <v>0</v>
      </c>
      <c r="HM57">
        <v>0</v>
      </c>
      <c r="HN57">
        <v>64.400000000000006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0</v>
      </c>
      <c r="LL57">
        <v>1</v>
      </c>
      <c r="LM57">
        <v>0.95</v>
      </c>
      <c r="LN57">
        <v>0</v>
      </c>
      <c r="LO57">
        <v>1</v>
      </c>
      <c r="LP57">
        <v>0.78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</row>
    <row r="58" spans="1:355" x14ac:dyDescent="0.2">
      <c r="A58" t="str">
        <v>GS TPDDTEC</v>
      </c>
      <c r="B58" t="str">
        <v>GS TPDDTEC v2</v>
      </c>
      <c r="C58" t="str">
        <v>GS2758</v>
      </c>
      <c r="D58" t="str">
        <v>Dec 2015-Nov 2016</v>
      </c>
      <c r="E58" t="str">
        <v>domestic</v>
      </c>
      <c r="F58">
        <v>2119324</v>
      </c>
      <c r="G58" t="str">
        <v>firewood</v>
      </c>
      <c r="H58">
        <v>279029.12</v>
      </c>
      <c r="I58">
        <v>8.5050532427042424E-3</v>
      </c>
      <c r="J58">
        <v>8.4141855472785378E-3</v>
      </c>
      <c r="K58" t="str">
        <v>gs_imp_firewood</v>
      </c>
      <c r="L58">
        <v>1</v>
      </c>
      <c r="M58" t="str">
        <v>Central America</v>
      </c>
      <c r="N58" t="str">
        <v>Honduras</v>
      </c>
      <c r="O58" t="str">
        <v>Honduras tot</v>
      </c>
      <c r="P58">
        <v>4.5</v>
      </c>
      <c r="Q58">
        <v>0.69</v>
      </c>
      <c r="R58">
        <v>0.63600000000000001</v>
      </c>
      <c r="S58">
        <v>0.63700000000000001</v>
      </c>
      <c r="T58">
        <v>32807451.292483699</v>
      </c>
      <c r="U58">
        <v>0</v>
      </c>
      <c r="V58">
        <v>1</v>
      </c>
      <c r="W58">
        <v>0</v>
      </c>
      <c r="X58">
        <v>32807451.292483699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13.129999999999999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1.8599999999999998E-2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112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8.6920000000000002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7.6449999999999987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1.8599999999999998E-2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112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8.6920000000000002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0.98950314111409687</v>
      </c>
      <c r="LI58">
        <v>1</v>
      </c>
      <c r="LJ58">
        <v>0</v>
      </c>
      <c r="LK58">
        <v>0</v>
      </c>
      <c r="LL58">
        <v>0</v>
      </c>
      <c r="LM58">
        <v>1</v>
      </c>
      <c r="LN58">
        <v>0</v>
      </c>
      <c r="LO58">
        <v>1</v>
      </c>
      <c r="LP58">
        <v>1</v>
      </c>
      <c r="LQ58">
        <v>5755</v>
      </c>
      <c r="LR58">
        <v>1.0286921708185053E-2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</row>
    <row r="59" spans="1:355" x14ac:dyDescent="0.2">
      <c r="A59" t="str">
        <v>GS TPDDTEC</v>
      </c>
      <c r="B59" t="str">
        <v>GS TPDDTEC v2</v>
      </c>
      <c r="C59" t="str">
        <v>GS2758</v>
      </c>
      <c r="D59" t="str">
        <v>Dec 2016-Nov 2017</v>
      </c>
      <c r="E59" t="str">
        <v>domestic</v>
      </c>
      <c r="F59">
        <v>2119324</v>
      </c>
      <c r="G59" t="str">
        <v>firewood</v>
      </c>
      <c r="H59">
        <v>312520</v>
      </c>
      <c r="I59">
        <v>8.5275152541087716E-3</v>
      </c>
      <c r="J59">
        <v>8.4393442145248472E-3</v>
      </c>
      <c r="K59" t="str">
        <v>gs_imp_firewood</v>
      </c>
      <c r="L59">
        <v>1</v>
      </c>
      <c r="M59" t="str">
        <v>Central America</v>
      </c>
      <c r="N59" t="str">
        <v>Honduras</v>
      </c>
      <c r="O59" t="str">
        <v>Honduras tot</v>
      </c>
      <c r="P59">
        <v>4.5</v>
      </c>
      <c r="Q59">
        <v>0.69</v>
      </c>
      <c r="R59">
        <v>0.63600000000000001</v>
      </c>
      <c r="S59">
        <v>0.63700000000000001</v>
      </c>
      <c r="T59">
        <v>36648424.62162938</v>
      </c>
      <c r="U59">
        <v>0</v>
      </c>
      <c r="V59">
        <v>1</v>
      </c>
      <c r="W59">
        <v>0</v>
      </c>
      <c r="X59">
        <v>36648424.62162938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13.129999999999999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1.8599999999999998E-2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112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8.6920000000000002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7.6449999999999987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1.8599999999999998E-2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112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8.6920000000000002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0.98888720129607133</v>
      </c>
      <c r="LI59">
        <v>1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1</v>
      </c>
      <c r="LP59">
        <v>1</v>
      </c>
      <c r="LQ59">
        <v>5402</v>
      </c>
      <c r="LR59">
        <v>0.01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</row>
    <row r="60" spans="1:355" x14ac:dyDescent="0.2">
      <c r="A60" t="str">
        <v>GS TPDDTEC</v>
      </c>
      <c r="B60" t="str">
        <v>GS TPDDTEC v2</v>
      </c>
      <c r="C60" t="str">
        <v>GS2758</v>
      </c>
      <c r="D60" t="str">
        <v>Dec 2017-Nov 2018</v>
      </c>
      <c r="E60" t="str">
        <v>domestic</v>
      </c>
      <c r="F60">
        <v>2119324</v>
      </c>
      <c r="G60" t="str">
        <v>firewood</v>
      </c>
      <c r="H60">
        <v>311998</v>
      </c>
      <c r="I60">
        <v>7.8268555023798588E-3</v>
      </c>
      <c r="J60">
        <v>7.6418980742014534E-3</v>
      </c>
      <c r="K60" t="str">
        <v>gs_imp_firewood</v>
      </c>
      <c r="L60">
        <v>1</v>
      </c>
      <c r="M60" t="str">
        <v>Central America</v>
      </c>
      <c r="N60" t="str">
        <v>Honduras</v>
      </c>
      <c r="O60" t="str">
        <v>Honduras tot</v>
      </c>
      <c r="P60">
        <v>4.5</v>
      </c>
      <c r="Q60">
        <v>0.69</v>
      </c>
      <c r="R60">
        <v>0.63600000000000001</v>
      </c>
      <c r="S60">
        <v>0.63700000000000001</v>
      </c>
      <c r="T60">
        <v>39862496.491104618</v>
      </c>
      <c r="U60">
        <v>0</v>
      </c>
      <c r="V60">
        <v>1</v>
      </c>
      <c r="W60">
        <v>0</v>
      </c>
      <c r="X60">
        <v>39862496.491104618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13.129999999999999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1.8599999999999998E-2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112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8.6920000000000002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8.0839999999999996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1.8599999999999998E-2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112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8.6920000000000002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0.99448883902246221</v>
      </c>
      <c r="LI60">
        <v>1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1</v>
      </c>
      <c r="LP60">
        <v>1</v>
      </c>
      <c r="LQ60">
        <v>13561</v>
      </c>
      <c r="LR60">
        <v>5.2828090244677467E-3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</row>
    <row r="61" spans="1:355" x14ac:dyDescent="0.2">
      <c r="A61" t="str">
        <v>GS TPDDTEC</v>
      </c>
      <c r="B61" t="str">
        <v>GS TPDDTEC v2</v>
      </c>
      <c r="C61" t="str">
        <v>GS2758</v>
      </c>
      <c r="D61" t="str">
        <v>Dec 2018-Nov 2019</v>
      </c>
      <c r="E61" t="str">
        <v>domestic</v>
      </c>
      <c r="F61">
        <v>2119324</v>
      </c>
      <c r="G61" t="str">
        <v>firewood</v>
      </c>
      <c r="H61">
        <v>282475</v>
      </c>
      <c r="I61">
        <v>7.2955125194628032E-3</v>
      </c>
      <c r="J61">
        <v>7.2594685501627294E-3</v>
      </c>
      <c r="K61" t="str">
        <v>gs_imp_firewood</v>
      </c>
      <c r="L61">
        <v>1</v>
      </c>
      <c r="M61" t="str">
        <v>Central America</v>
      </c>
      <c r="N61" t="str">
        <v>Honduras</v>
      </c>
      <c r="O61" t="str">
        <v>Honduras tot</v>
      </c>
      <c r="P61">
        <v>4.5</v>
      </c>
      <c r="Q61">
        <v>0.69</v>
      </c>
      <c r="R61">
        <v>0.63600000000000001</v>
      </c>
      <c r="S61">
        <v>0.63700000000000001</v>
      </c>
      <c r="T61">
        <v>38719006.957553647</v>
      </c>
      <c r="U61">
        <v>0</v>
      </c>
      <c r="V61">
        <v>1</v>
      </c>
      <c r="W61">
        <v>0</v>
      </c>
      <c r="X61">
        <v>38719006.957553647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13.129999999999999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1.8599999999999998E-2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112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8.6920000000000002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8.5223999999999993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1.8599999999999998E-2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112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8.6920000000000002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0.99506124131225848</v>
      </c>
      <c r="LI61">
        <v>1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1</v>
      </c>
      <c r="LP61">
        <v>1</v>
      </c>
      <c r="LQ61">
        <v>1395</v>
      </c>
      <c r="LR61">
        <v>4.91460781289436E-3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</row>
    <row r="62" spans="1:355" x14ac:dyDescent="0.2">
      <c r="A62" t="str">
        <v>GS TPDDTEC</v>
      </c>
      <c r="B62" t="str">
        <v>GS TPDDTEC v2</v>
      </c>
      <c r="C62" t="str">
        <v>GS2758</v>
      </c>
      <c r="D62" t="str">
        <v>Dec 2019-Nov 2020</v>
      </c>
      <c r="E62" t="str">
        <v>domestic</v>
      </c>
      <c r="F62">
        <v>2119324</v>
      </c>
      <c r="G62" t="str">
        <v>firewood</v>
      </c>
      <c r="H62">
        <v>269044</v>
      </c>
      <c r="I62">
        <v>7.3470035238348639E-3</v>
      </c>
      <c r="J62">
        <v>7.2721629970048593E-3</v>
      </c>
      <c r="K62" t="str">
        <v>gs_imp_firewood</v>
      </c>
      <c r="L62">
        <v>1</v>
      </c>
      <c r="M62" t="str">
        <v>Central America</v>
      </c>
      <c r="N62" t="str">
        <v>Honduras</v>
      </c>
      <c r="O62" t="str">
        <v>Honduras tot</v>
      </c>
      <c r="P62">
        <v>4.5</v>
      </c>
      <c r="Q62">
        <v>0.69</v>
      </c>
      <c r="R62">
        <v>0.63600000000000001</v>
      </c>
      <c r="S62">
        <v>0.63700000000000001</v>
      </c>
      <c r="T62">
        <v>36619555.050869092</v>
      </c>
      <c r="U62">
        <v>0</v>
      </c>
      <c r="V62">
        <v>1</v>
      </c>
      <c r="W62">
        <v>0</v>
      </c>
      <c r="X62">
        <v>36619555.050869092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13.129999999999999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1.8599999999999998E-2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112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8.6920000000000002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8.5223999999999993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1.8599999999999998E-2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112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8.6920000000000002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0.99402940959136921</v>
      </c>
      <c r="LI62">
        <v>1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1</v>
      </c>
      <c r="LP62">
        <v>1</v>
      </c>
      <c r="LQ62">
        <v>296</v>
      </c>
      <c r="LR62">
        <v>5.96406796675475E-3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</row>
    <row r="63" spans="1:355" x14ac:dyDescent="0.2">
      <c r="A63" t="str">
        <v>GS TPDDTEC</v>
      </c>
      <c r="B63" t="str">
        <v>GS TPDDTEC v2</v>
      </c>
      <c r="C63" t="str">
        <v>GS2758</v>
      </c>
      <c r="D63" t="str">
        <v>Dec 2020-Nov 2021</v>
      </c>
      <c r="E63" t="str">
        <v>domestic</v>
      </c>
      <c r="F63">
        <v>2119324</v>
      </c>
      <c r="G63" t="str">
        <v>firewood</v>
      </c>
      <c r="H63">
        <v>277430</v>
      </c>
      <c r="I63">
        <v>7.3372236749886643E-3</v>
      </c>
      <c r="J63">
        <v>7.3078587532514417E-3</v>
      </c>
      <c r="K63" t="str">
        <v>gs_imp_firewood</v>
      </c>
      <c r="L63">
        <v>1</v>
      </c>
      <c r="M63" t="str">
        <v>Central America</v>
      </c>
      <c r="N63" t="str">
        <v>Honduras</v>
      </c>
      <c r="O63" t="str">
        <v>Honduras tot</v>
      </c>
      <c r="P63">
        <v>4.5</v>
      </c>
      <c r="Q63">
        <v>0.69</v>
      </c>
      <c r="R63">
        <v>0.63600000000000001</v>
      </c>
      <c r="S63">
        <v>0.63700000000000001</v>
      </c>
      <c r="T63">
        <v>37811304.696313299</v>
      </c>
      <c r="U63">
        <v>0</v>
      </c>
      <c r="V63">
        <v>1</v>
      </c>
      <c r="W63">
        <v>0</v>
      </c>
      <c r="X63">
        <v>37811304.696313299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13.129999999999999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1.8599999999999998E-2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112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8.6920000000000002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8.5223999999999993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1.8599999999999998E-2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112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8.6920000000000002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0.99715693639229241</v>
      </c>
      <c r="LI63">
        <v>1</v>
      </c>
      <c r="LJ63">
        <v>0</v>
      </c>
      <c r="LK63">
        <v>0</v>
      </c>
      <c r="LL63">
        <v>0</v>
      </c>
      <c r="LM63">
        <v>1</v>
      </c>
      <c r="LN63">
        <v>0</v>
      </c>
      <c r="LO63">
        <v>1</v>
      </c>
      <c r="LP63">
        <v>1</v>
      </c>
      <c r="LQ63">
        <v>691</v>
      </c>
      <c r="LR63">
        <v>2.8360199632859111E-3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</row>
    <row r="64" spans="1:355" x14ac:dyDescent="0.2">
      <c r="A64" t="str">
        <v>GS Simplified</v>
      </c>
      <c r="B64" t="str">
        <v>The Gold Standard Simplified Methodology for Efficient Cookstoves, Version 1.1,</v>
      </c>
      <c r="C64" t="str">
        <v>GS3112</v>
      </c>
      <c r="D64">
        <v>1</v>
      </c>
      <c r="E64" t="str">
        <v>1-2 years</v>
      </c>
      <c r="F64">
        <v>696</v>
      </c>
      <c r="G64" t="str">
        <v>firewood</v>
      </c>
      <c r="H64">
        <v>36049.309792223517</v>
      </c>
      <c r="I64">
        <v>2.8608619757438348E-3</v>
      </c>
      <c r="J64">
        <v>2.6978112307885081E-3</v>
      </c>
      <c r="K64" t="str">
        <v>gs_simple_firewood</v>
      </c>
      <c r="L64">
        <v>1</v>
      </c>
      <c r="M64" t="str">
        <v>Asia</v>
      </c>
      <c r="N64" t="str">
        <v>Bangladesh</v>
      </c>
      <c r="O64" t="str">
        <v>Bangladesh tot</v>
      </c>
      <c r="P64">
        <v>4.5</v>
      </c>
      <c r="Q64">
        <v>0.83</v>
      </c>
      <c r="R64">
        <v>0.46600000000000003</v>
      </c>
      <c r="S64">
        <v>0.52300000000000002</v>
      </c>
      <c r="T64">
        <v>12600855.999999987</v>
      </c>
      <c r="U64">
        <v>0</v>
      </c>
      <c r="V64">
        <v>1</v>
      </c>
      <c r="W64">
        <v>0</v>
      </c>
      <c r="X64">
        <v>12600855.999999987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2.9173698630136986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1.5598214285714286E-2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112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1.4909999999999999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0.2165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1.5598214285714286E-2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112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34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0.98040000000000005</v>
      </c>
      <c r="LI64">
        <v>0.98699999999999999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1</v>
      </c>
      <c r="LP64">
        <v>0.78</v>
      </c>
      <c r="LQ64">
        <v>0</v>
      </c>
      <c r="LR64">
        <v>1.3000000000000012E-2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</row>
    <row r="65" spans="1:355" x14ac:dyDescent="0.2">
      <c r="A65" t="str">
        <v>GS Simplified</v>
      </c>
      <c r="B65" t="str">
        <v>The Gold Standard Simplified Methodology for Efficient Cookstoves, Version 1.1,</v>
      </c>
      <c r="C65" t="str">
        <v>GS3112</v>
      </c>
      <c r="D65">
        <v>1</v>
      </c>
      <c r="E65" t="str">
        <v>2-3 years</v>
      </c>
      <c r="F65">
        <v>696</v>
      </c>
      <c r="G65" t="str">
        <v>firewood</v>
      </c>
      <c r="H65">
        <v>92361.753325743091</v>
      </c>
      <c r="I65">
        <v>2.7899718717776033E-3</v>
      </c>
      <c r="J65">
        <v>2.6579135665112268E-3</v>
      </c>
      <c r="K65" t="str">
        <v>gs_simple_firewood</v>
      </c>
      <c r="L65">
        <v>1</v>
      </c>
      <c r="M65" t="str">
        <v>Asia</v>
      </c>
      <c r="N65" t="str">
        <v>Bangladesh</v>
      </c>
      <c r="O65" t="str">
        <v>Bangladesh tot</v>
      </c>
      <c r="P65">
        <v>4.5</v>
      </c>
      <c r="Q65">
        <v>0.83</v>
      </c>
      <c r="R65">
        <v>0.46600000000000003</v>
      </c>
      <c r="S65">
        <v>0.52300000000000002</v>
      </c>
      <c r="T65">
        <v>33104904.84153007</v>
      </c>
      <c r="U65">
        <v>0</v>
      </c>
      <c r="V65">
        <v>1</v>
      </c>
      <c r="W65">
        <v>0</v>
      </c>
      <c r="X65">
        <v>33104904.84153007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2.9173698630136986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1.5598214285714286E-2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112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1.478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0.21429999999999999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1.5598214285714286E-2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112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34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0.97089999999999999</v>
      </c>
      <c r="LI65">
        <v>0.98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1</v>
      </c>
      <c r="LP65">
        <v>0.78</v>
      </c>
      <c r="LQ65">
        <v>0</v>
      </c>
      <c r="LR65">
        <v>2.0000000000000018E-2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</row>
    <row r="66" spans="1:355" x14ac:dyDescent="0.2">
      <c r="A66" t="str">
        <v>GS Simplified</v>
      </c>
      <c r="B66" t="str">
        <v>The Gold Standard Simplified Methodology for Efficient Cookstoves, Version 1.1,</v>
      </c>
      <c r="C66" t="str">
        <v>GS3112</v>
      </c>
      <c r="D66">
        <v>2</v>
      </c>
      <c r="E66" t="str">
        <v>2-3 years</v>
      </c>
      <c r="F66">
        <v>696</v>
      </c>
      <c r="G66" t="str">
        <v>firewood</v>
      </c>
      <c r="H66">
        <v>60498.132596898446</v>
      </c>
      <c r="I66">
        <v>2.788591616216112E-3</v>
      </c>
      <c r="J66">
        <v>2.656271020275873E-3</v>
      </c>
      <c r="K66" t="str">
        <v>gs_simple_firewood</v>
      </c>
      <c r="L66">
        <v>1</v>
      </c>
      <c r="M66" t="str">
        <v>Asia</v>
      </c>
      <c r="N66" t="str">
        <v>Bangladesh</v>
      </c>
      <c r="O66" t="str">
        <v>Bangladesh tot</v>
      </c>
      <c r="P66">
        <v>4.5</v>
      </c>
      <c r="Q66">
        <v>0.83</v>
      </c>
      <c r="R66">
        <v>0.46600000000000003</v>
      </c>
      <c r="S66">
        <v>0.52300000000000002</v>
      </c>
      <c r="T66">
        <v>21694870</v>
      </c>
      <c r="U66">
        <v>0</v>
      </c>
      <c r="V66">
        <v>1</v>
      </c>
      <c r="W66">
        <v>0</v>
      </c>
      <c r="X66">
        <v>21694870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2.9173698630136986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1.5598214285714286E-2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112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1.478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0.21429999999999999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1.5598214285714286E-2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112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34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0.97030000000000005</v>
      </c>
      <c r="LI66">
        <v>0.98</v>
      </c>
      <c r="LJ66">
        <v>0</v>
      </c>
      <c r="LK66">
        <v>0</v>
      </c>
      <c r="LL66">
        <v>0</v>
      </c>
      <c r="LM66">
        <v>1</v>
      </c>
      <c r="LN66">
        <v>0</v>
      </c>
      <c r="LO66">
        <v>1</v>
      </c>
      <c r="LP66">
        <v>0.78</v>
      </c>
      <c r="LQ66">
        <v>0</v>
      </c>
      <c r="LR66">
        <v>2.0000000000000018E-2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</row>
    <row r="67" spans="1:355" x14ac:dyDescent="0.2">
      <c r="A67" t="str">
        <v>GS Simplified</v>
      </c>
      <c r="B67" t="str">
        <v>The Gold Standard Simplified Methodology for Efficient Cookstoves, Version 1.1,</v>
      </c>
      <c r="C67" t="str">
        <v>GS3112</v>
      </c>
      <c r="D67">
        <v>2</v>
      </c>
      <c r="E67" t="str">
        <v>3-4 years</v>
      </c>
      <c r="F67">
        <v>696</v>
      </c>
      <c r="G67" t="str">
        <v>firewood</v>
      </c>
      <c r="H67">
        <v>123838.88862466688</v>
      </c>
      <c r="I67">
        <v>2.726404056193552E-3</v>
      </c>
      <c r="J67">
        <v>2.6354123983819392E-3</v>
      </c>
      <c r="K67" t="str">
        <v>gs_simple_firewood</v>
      </c>
      <c r="L67">
        <v>1</v>
      </c>
      <c r="M67" t="str">
        <v>Asia</v>
      </c>
      <c r="N67" t="str">
        <v>Bangladesh</v>
      </c>
      <c r="O67" t="str">
        <v>Bangladesh tot</v>
      </c>
      <c r="P67">
        <v>4.5</v>
      </c>
      <c r="Q67">
        <v>0.83</v>
      </c>
      <c r="R67">
        <v>0.46600000000000003</v>
      </c>
      <c r="S67">
        <v>0.52300000000000002</v>
      </c>
      <c r="T67">
        <v>45422060</v>
      </c>
      <c r="U67">
        <v>0</v>
      </c>
      <c r="V67">
        <v>1</v>
      </c>
      <c r="W67">
        <v>0</v>
      </c>
      <c r="X67">
        <v>45422060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2.9173698630136986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1.5598214285714286E-2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112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1.4649999999999999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0.2122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1.5598214285714286E-2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112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34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0.96189999999999998</v>
      </c>
      <c r="LI67">
        <v>0.97599999999999998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1</v>
      </c>
      <c r="LP67">
        <v>0.78</v>
      </c>
      <c r="LQ67">
        <v>0</v>
      </c>
      <c r="LR67">
        <v>2.4000000000000021E-2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</row>
    <row r="68" spans="1:355" x14ac:dyDescent="0.2">
      <c r="A68" t="str">
        <v>GS TPDDTEC</v>
      </c>
      <c r="B68" t="str">
        <v>GS TPDDTEC v3.1</v>
      </c>
      <c r="C68" t="str">
        <v>GS5642</v>
      </c>
      <c r="D68" t="str">
        <v>26/04/2017 to 30/09/2018</v>
      </c>
      <c r="E68" t="str">
        <v>domestic</v>
      </c>
      <c r="F68">
        <v>2057512</v>
      </c>
      <c r="G68" t="str">
        <v>charcoal</v>
      </c>
      <c r="H68">
        <v>435613</v>
      </c>
      <c r="I68">
        <v>3.9173082701190135E-3</v>
      </c>
      <c r="J68">
        <v>3.8519655431039999E-3</v>
      </c>
      <c r="K68" t="str">
        <v>gs_imp_charcoal</v>
      </c>
      <c r="L68">
        <v>1</v>
      </c>
      <c r="M68" t="str">
        <v>Sub-Saharan Africa</v>
      </c>
      <c r="N68" t="str">
        <v>Kenya</v>
      </c>
      <c r="O68" t="str">
        <v>Kenya tot</v>
      </c>
      <c r="P68">
        <v>3.6</v>
      </c>
      <c r="Q68">
        <v>0.89500000000000002</v>
      </c>
      <c r="R68">
        <v>0.54200000000000004</v>
      </c>
      <c r="S68">
        <v>0.63900000000000001</v>
      </c>
      <c r="T68">
        <v>111202124</v>
      </c>
      <c r="U68">
        <v>0</v>
      </c>
      <c r="V68">
        <v>1</v>
      </c>
      <c r="W68">
        <v>0</v>
      </c>
      <c r="X68">
        <v>111202124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9.8010000000000002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1.4999999999999999E-2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112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6.4074000000000009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1.4999999999999999E-2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112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0.75490000000000002</v>
      </c>
      <c r="LI68">
        <v>1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1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</row>
    <row r="69" spans="1:355" x14ac:dyDescent="0.2">
      <c r="A69" t="str">
        <v>GS TPDDTEC</v>
      </c>
      <c r="B69" t="str">
        <v>GS TPDDTEC v3.1</v>
      </c>
      <c r="C69" t="str">
        <v>GS5642</v>
      </c>
      <c r="D69" t="str">
        <v>01/06/2020 to 31/03/2022</v>
      </c>
      <c r="E69" t="str">
        <v>domestic</v>
      </c>
      <c r="F69">
        <v>2057512</v>
      </c>
      <c r="G69" t="str">
        <v>charcoal</v>
      </c>
      <c r="H69">
        <v>1535469</v>
      </c>
      <c r="I69">
        <v>6.576397524466363E-3</v>
      </c>
      <c r="J69">
        <v>6.4040441780000013E-3</v>
      </c>
      <c r="K69" t="str">
        <v>gs_imp_charcoal</v>
      </c>
      <c r="L69">
        <v>1</v>
      </c>
      <c r="M69" t="str">
        <v>Sub-Saharan Africa</v>
      </c>
      <c r="N69" t="str">
        <v>Kenya</v>
      </c>
      <c r="O69" t="str">
        <v>Kenya tot</v>
      </c>
      <c r="P69">
        <v>3.6</v>
      </c>
      <c r="Q69">
        <v>0.97</v>
      </c>
      <c r="R69">
        <v>0.54200000000000004</v>
      </c>
      <c r="S69">
        <v>0.63900000000000001</v>
      </c>
      <c r="T69">
        <v>630</v>
      </c>
      <c r="U69">
        <v>0</v>
      </c>
      <c r="V69">
        <v>370606</v>
      </c>
      <c r="W69">
        <v>0</v>
      </c>
      <c r="X69">
        <v>233481780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2.9000000000000001E-2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2.2000000000000002</v>
      </c>
      <c r="FY69">
        <v>1</v>
      </c>
      <c r="FZ69">
        <v>0</v>
      </c>
      <c r="GA69">
        <v>0.2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0.44900000000000001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1.4999999999999999E-2</v>
      </c>
      <c r="HI69">
        <v>2.9000000000000001E-2</v>
      </c>
      <c r="HJ69">
        <v>0</v>
      </c>
      <c r="HK69">
        <v>4.7300000000000002E-2</v>
      </c>
      <c r="HL69">
        <v>0</v>
      </c>
      <c r="HM69">
        <v>0</v>
      </c>
      <c r="HN69">
        <v>112</v>
      </c>
      <c r="HO69">
        <v>112</v>
      </c>
      <c r="HP69">
        <v>0</v>
      </c>
      <c r="HQ69">
        <v>56.1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0.67900000000000005</v>
      </c>
      <c r="LI69">
        <v>1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1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</row>
    <row r="70" spans="1:355" x14ac:dyDescent="0.2">
      <c r="A70" t="str">
        <v>CDM AMS II G</v>
      </c>
      <c r="B70" t="str">
        <v>AMS-II.G. Version 03 </v>
      </c>
      <c r="C70" t="str">
        <v>GS1060</v>
      </c>
      <c r="D70" t="str">
        <v>MP9</v>
      </c>
      <c r="E70" t="str">
        <v>scenario 1</v>
      </c>
      <c r="F70">
        <v>249400</v>
      </c>
      <c r="G70" t="str">
        <v>charcoal</v>
      </c>
      <c r="H70">
        <v>6234</v>
      </c>
      <c r="I70">
        <v>1.2021636631859072E-2</v>
      </c>
      <c r="J70">
        <v>1.202691671412537E-2</v>
      </c>
      <c r="K70" t="str">
        <v>cdm_imp_charcoal</v>
      </c>
      <c r="L70">
        <v>1</v>
      </c>
      <c r="M70" t="str">
        <v>Sub-Saharan Africa</v>
      </c>
      <c r="N70" t="str">
        <v>Rwanda</v>
      </c>
      <c r="O70" t="str">
        <v>Rwanda tot</v>
      </c>
      <c r="P70">
        <v>4.3</v>
      </c>
      <c r="Q70">
        <v>0.98</v>
      </c>
      <c r="R70">
        <v>0.63400000000000001</v>
      </c>
      <c r="S70">
        <v>0.64700000000000002</v>
      </c>
      <c r="T70">
        <v>2865</v>
      </c>
      <c r="U70">
        <v>0</v>
      </c>
      <c r="V70">
        <v>181</v>
      </c>
      <c r="W70">
        <v>0</v>
      </c>
      <c r="X70">
        <v>518565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14.191780821917808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6.5600000000000006E-2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1.4999999999999999E-2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81.599999999999994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2.0925619732924439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0.44490000000000002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1.4999999999999999E-2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81.599999999999994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0.87229999999999996</v>
      </c>
      <c r="LI70">
        <v>1</v>
      </c>
      <c r="LJ70">
        <v>0</v>
      </c>
      <c r="LK70">
        <v>0</v>
      </c>
      <c r="LL70">
        <v>1</v>
      </c>
      <c r="LM70">
        <v>0.95</v>
      </c>
      <c r="LN70">
        <v>0</v>
      </c>
      <c r="LO70">
        <v>1</v>
      </c>
      <c r="LP70">
        <v>0.78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</row>
    <row r="71" spans="1:355" x14ac:dyDescent="0.2">
      <c r="A71" t="str">
        <v>CDM AMS II G</v>
      </c>
      <c r="B71" t="str">
        <v>AMS-II.G. Version 03 </v>
      </c>
      <c r="C71" t="str">
        <v>GS1060</v>
      </c>
      <c r="D71" t="str">
        <v>MP9</v>
      </c>
      <c r="E71" t="str">
        <v>scenario 2</v>
      </c>
      <c r="F71">
        <v>249400</v>
      </c>
      <c r="G71" t="str">
        <v>charcoal</v>
      </c>
      <c r="H71">
        <v>3866</v>
      </c>
      <c r="I71">
        <v>1.9070639305445936E-2</v>
      </c>
      <c r="J71">
        <v>1.9081989134090829E-2</v>
      </c>
      <c r="K71" t="str">
        <v>cdm_imp_charcoal</v>
      </c>
      <c r="L71">
        <v>1</v>
      </c>
      <c r="M71" t="str">
        <v>Sub-Saharan Africa</v>
      </c>
      <c r="N71" t="str">
        <v>Rwanda</v>
      </c>
      <c r="O71" t="str">
        <v>Rwanda tot</v>
      </c>
      <c r="P71">
        <v>4.3</v>
      </c>
      <c r="Q71">
        <v>0.98</v>
      </c>
      <c r="R71">
        <v>0.63400000000000001</v>
      </c>
      <c r="S71">
        <v>0.64700000000000002</v>
      </c>
      <c r="T71">
        <v>1120</v>
      </c>
      <c r="U71">
        <v>0</v>
      </c>
      <c r="V71">
        <v>181</v>
      </c>
      <c r="W71">
        <v>0</v>
      </c>
      <c r="X71">
        <v>202720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21.287671232876711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4.3700000000000003E-2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1.4999999999999999E-2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81.599999999999994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2.09096703276402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0.44490000000000002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1.4999999999999999E-2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81.599999999999994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0.87229999999999996</v>
      </c>
      <c r="LI71">
        <v>1</v>
      </c>
      <c r="LJ71">
        <v>0</v>
      </c>
      <c r="LK71">
        <v>0</v>
      </c>
      <c r="LL71">
        <v>1</v>
      </c>
      <c r="LM71">
        <v>0.95</v>
      </c>
      <c r="LN71">
        <v>0</v>
      </c>
      <c r="LO71">
        <v>1</v>
      </c>
      <c r="LP71">
        <v>0.78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</row>
    <row r="72" spans="1:355" x14ac:dyDescent="0.2">
      <c r="A72" t="str">
        <v>CDM AMS II G</v>
      </c>
      <c r="B72" t="str">
        <v>AMS-II.G. Version 03 </v>
      </c>
      <c r="C72" t="str">
        <v>GS1060</v>
      </c>
      <c r="D72" t="str">
        <v>MP9</v>
      </c>
      <c r="E72" t="str">
        <v>scenario 3</v>
      </c>
      <c r="F72">
        <v>249400</v>
      </c>
      <c r="G72" t="str">
        <v>charcoal</v>
      </c>
      <c r="H72">
        <v>7653</v>
      </c>
      <c r="I72">
        <v>6.4444090772444911E-3</v>
      </c>
      <c r="J72">
        <v>6.4392418175528683E-3</v>
      </c>
      <c r="K72" t="str">
        <v>cdm_imp_charcoal</v>
      </c>
      <c r="L72">
        <v>1</v>
      </c>
      <c r="M72" t="str">
        <v>Sub-Saharan Africa</v>
      </c>
      <c r="N72" t="str">
        <v>Rwanda</v>
      </c>
      <c r="O72" t="str">
        <v>Rwanda tot</v>
      </c>
      <c r="P72">
        <v>4.3</v>
      </c>
      <c r="Q72">
        <v>0.98</v>
      </c>
      <c r="R72">
        <v>0.63400000000000001</v>
      </c>
      <c r="S72">
        <v>0.64700000000000002</v>
      </c>
      <c r="T72">
        <v>6561</v>
      </c>
      <c r="U72">
        <v>0</v>
      </c>
      <c r="V72">
        <v>181</v>
      </c>
      <c r="W72">
        <v>0</v>
      </c>
      <c r="X72">
        <v>1187541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8.3561643835616444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1.4999999999999999E-2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81.599999999999994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1.8782118191867037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0.44490000000000002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1.4999999999999999E-2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81.599999999999994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0.87229999999999996</v>
      </c>
      <c r="LI72">
        <v>1</v>
      </c>
      <c r="LJ72">
        <v>0</v>
      </c>
      <c r="LK72">
        <v>0</v>
      </c>
      <c r="LL72">
        <v>1</v>
      </c>
      <c r="LM72">
        <v>0.95</v>
      </c>
      <c r="LN72">
        <v>0</v>
      </c>
      <c r="LO72">
        <v>1</v>
      </c>
      <c r="LP72">
        <v>0.78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</row>
    <row r="73" spans="1:355" x14ac:dyDescent="0.2">
      <c r="A73" t="str">
        <v>CDM AMS II G</v>
      </c>
      <c r="B73" t="str">
        <v>AMS-II.G. Version 03 </v>
      </c>
      <c r="C73" t="str">
        <v>GS1060</v>
      </c>
      <c r="D73" t="str">
        <v>MP8</v>
      </c>
      <c r="E73" t="str">
        <v>scenario 1</v>
      </c>
      <c r="F73">
        <v>249400</v>
      </c>
      <c r="G73" t="str">
        <v>charcoal</v>
      </c>
      <c r="H73">
        <v>6337</v>
      </c>
      <c r="I73">
        <v>1.2021018286668184E-2</v>
      </c>
      <c r="J73">
        <v>1.202691671412537E-2</v>
      </c>
      <c r="K73" t="str">
        <v>cdm_imp_charcoal</v>
      </c>
      <c r="L73">
        <v>1</v>
      </c>
      <c r="M73" t="str">
        <v>Sub-Saharan Africa</v>
      </c>
      <c r="N73" t="str">
        <v>Rwanda</v>
      </c>
      <c r="O73" t="str">
        <v>Rwanda tot</v>
      </c>
      <c r="P73">
        <v>4.3</v>
      </c>
      <c r="Q73">
        <v>0.98</v>
      </c>
      <c r="R73">
        <v>0.63400000000000001</v>
      </c>
      <c r="S73">
        <v>0.64700000000000002</v>
      </c>
      <c r="T73">
        <v>2865</v>
      </c>
      <c r="U73">
        <v>0</v>
      </c>
      <c r="V73">
        <v>184</v>
      </c>
      <c r="W73">
        <v>0</v>
      </c>
      <c r="X73">
        <v>527160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14.191780821917808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6.5600000000000006E-2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1.4999999999999999E-2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81.599999999999994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2.0925619732924439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0.44490000000000002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1.4999999999999999E-2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81.599999999999994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0.87229999999999996</v>
      </c>
      <c r="LI73">
        <v>1</v>
      </c>
      <c r="LJ73">
        <v>0</v>
      </c>
      <c r="LK73">
        <v>0</v>
      </c>
      <c r="LL73">
        <v>1</v>
      </c>
      <c r="LM73">
        <v>0.95</v>
      </c>
      <c r="LN73">
        <v>0</v>
      </c>
      <c r="LO73">
        <v>1</v>
      </c>
      <c r="LP73">
        <v>0.78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</row>
    <row r="74" spans="1:355" x14ac:dyDescent="0.2">
      <c r="A74" t="str">
        <v>CDM AMS II G</v>
      </c>
      <c r="B74" t="str">
        <v>AMS-II.G. Version 03 </v>
      </c>
      <c r="C74" t="str">
        <v>GS1060</v>
      </c>
      <c r="D74" t="str">
        <v>MP8</v>
      </c>
      <c r="E74" t="str">
        <v>scenario 2</v>
      </c>
      <c r="F74">
        <v>249400</v>
      </c>
      <c r="G74" t="str">
        <v>charcoal</v>
      </c>
      <c r="H74">
        <v>3930</v>
      </c>
      <c r="I74">
        <v>1.907026397515528E-2</v>
      </c>
      <c r="J74">
        <v>1.9081989134090829E-2</v>
      </c>
      <c r="K74" t="str">
        <v>cdm_imp_charcoal</v>
      </c>
      <c r="L74">
        <v>1</v>
      </c>
      <c r="M74" t="str">
        <v>Sub-Saharan Africa</v>
      </c>
      <c r="N74" t="str">
        <v>Rwanda</v>
      </c>
      <c r="O74" t="str">
        <v>Rwanda tot</v>
      </c>
      <c r="P74">
        <v>4.3</v>
      </c>
      <c r="Q74">
        <v>0.98</v>
      </c>
      <c r="R74">
        <v>0.63400000000000001</v>
      </c>
      <c r="S74">
        <v>0.64700000000000002</v>
      </c>
      <c r="T74">
        <v>1120</v>
      </c>
      <c r="U74">
        <v>0</v>
      </c>
      <c r="V74">
        <v>184</v>
      </c>
      <c r="W74">
        <v>0</v>
      </c>
      <c r="X74">
        <v>206080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21.287671232876711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4.3700000000000003E-2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1.4999999999999999E-2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81.599999999999994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2.09096703276402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0.44490000000000002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1.4999999999999999E-2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81.599999999999994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0.87229999999999996</v>
      </c>
      <c r="LI74">
        <v>1</v>
      </c>
      <c r="LJ74">
        <v>0</v>
      </c>
      <c r="LK74">
        <v>0</v>
      </c>
      <c r="LL74">
        <v>1</v>
      </c>
      <c r="LM74">
        <v>0.95</v>
      </c>
      <c r="LN74">
        <v>0</v>
      </c>
      <c r="LO74">
        <v>1</v>
      </c>
      <c r="LP74">
        <v>0.78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</row>
    <row r="75" spans="1:355" x14ac:dyDescent="0.2">
      <c r="A75" t="str">
        <v>CDM AMS II G</v>
      </c>
      <c r="B75" t="str">
        <v>AMS-II.G. Version 03 </v>
      </c>
      <c r="C75" t="str">
        <v>GS1060</v>
      </c>
      <c r="D75" t="str">
        <v>MP8</v>
      </c>
      <c r="E75" t="str">
        <v>scenario 3</v>
      </c>
      <c r="F75">
        <v>249400</v>
      </c>
      <c r="G75" t="str">
        <v>charcoal</v>
      </c>
      <c r="H75">
        <v>7780</v>
      </c>
      <c r="I75">
        <v>6.4445372192733072E-3</v>
      </c>
      <c r="J75">
        <v>6.4392418175528683E-3</v>
      </c>
      <c r="K75" t="str">
        <v>cdm_imp_charcoal</v>
      </c>
      <c r="L75">
        <v>1</v>
      </c>
      <c r="M75" t="str">
        <v>Sub-Saharan Africa</v>
      </c>
      <c r="N75" t="str">
        <v>Rwanda</v>
      </c>
      <c r="O75" t="str">
        <v>Rwanda tot</v>
      </c>
      <c r="P75">
        <v>4.3</v>
      </c>
      <c r="Q75">
        <v>0.98</v>
      </c>
      <c r="R75">
        <v>0.63400000000000001</v>
      </c>
      <c r="S75">
        <v>0.64700000000000002</v>
      </c>
      <c r="T75">
        <v>6561</v>
      </c>
      <c r="U75">
        <v>0</v>
      </c>
      <c r="V75">
        <v>184</v>
      </c>
      <c r="W75">
        <v>0</v>
      </c>
      <c r="X75">
        <v>1207224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8.3561643835616444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1.4999999999999999E-2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81.599999999999994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1.8782118191867037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0.44490000000000002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1.4999999999999999E-2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81.599999999999994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0.87229999999999996</v>
      </c>
      <c r="LI75">
        <v>1</v>
      </c>
      <c r="LJ75">
        <v>0</v>
      </c>
      <c r="LK75">
        <v>0</v>
      </c>
      <c r="LL75">
        <v>1</v>
      </c>
      <c r="LM75">
        <v>0.95</v>
      </c>
      <c r="LN75">
        <v>0</v>
      </c>
      <c r="LO75">
        <v>1</v>
      </c>
      <c r="LP75">
        <v>0.78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</row>
    <row r="76" spans="1:355" x14ac:dyDescent="0.2">
      <c r="A76" t="str">
        <v>CDM AMS II G</v>
      </c>
      <c r="B76" t="str">
        <v>AMS-II.G. ver. 5</v>
      </c>
      <c r="C76" t="str">
        <v>GS2744</v>
      </c>
      <c r="D76" t="str">
        <v>new CP</v>
      </c>
      <c r="E76" t="str">
        <v>wassa large</v>
      </c>
      <c r="F76">
        <v>33637</v>
      </c>
      <c r="G76" t="str">
        <v>firewood</v>
      </c>
      <c r="H76">
        <v>0.434</v>
      </c>
      <c r="I76">
        <v>1.1890410958904109E-3</v>
      </c>
      <c r="J76">
        <v>1.1900025562372959E-3</v>
      </c>
      <c r="K76" t="str">
        <v>cdm_imp_firewood</v>
      </c>
      <c r="L76">
        <v>1</v>
      </c>
      <c r="M76" t="str">
        <v>West Africa</v>
      </c>
      <c r="N76" t="str">
        <v>Mali</v>
      </c>
      <c r="O76" t="str">
        <v>Bamako</v>
      </c>
      <c r="P76">
        <v>5.8</v>
      </c>
      <c r="Q76">
        <v>0.68683418448969069</v>
      </c>
      <c r="R76">
        <v>3.5000000000000003E-2</v>
      </c>
      <c r="S76">
        <v>0.27300000000000002</v>
      </c>
      <c r="T76">
        <v>1</v>
      </c>
      <c r="U76">
        <v>0</v>
      </c>
      <c r="V76">
        <v>365</v>
      </c>
      <c r="W76">
        <v>0</v>
      </c>
      <c r="X76">
        <v>365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7.9452054794520546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1.5599999999999999E-2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73.2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6.2193389271640349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0.2555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1.5599999999999999E-2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73.2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0.9254</v>
      </c>
      <c r="LJ76">
        <v>0</v>
      </c>
      <c r="LK76">
        <v>0</v>
      </c>
      <c r="LL76">
        <v>1</v>
      </c>
      <c r="LM76">
        <v>0.95</v>
      </c>
      <c r="LN76">
        <v>0</v>
      </c>
      <c r="LO76">
        <v>1</v>
      </c>
      <c r="LP76">
        <v>0.78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</row>
    <row r="77" spans="1:355" x14ac:dyDescent="0.2">
      <c r="A77" t="str">
        <v>CDM AMS II G</v>
      </c>
      <c r="B77" t="str">
        <v>AMS-II.G. ver. 5</v>
      </c>
      <c r="C77" t="str">
        <v>GS2744</v>
      </c>
      <c r="D77" t="str">
        <v>new CP</v>
      </c>
      <c r="E77" t="str">
        <v>wassa super</v>
      </c>
      <c r="F77">
        <v>38512</v>
      </c>
      <c r="G77" t="str">
        <v>firewood</v>
      </c>
      <c r="H77">
        <v>0.47899999999999998</v>
      </c>
      <c r="I77">
        <v>1.3123287671232876E-3</v>
      </c>
      <c r="J77">
        <v>1.3122924088975871E-3</v>
      </c>
      <c r="K77" t="str">
        <v>cdm_imp_firewood</v>
      </c>
      <c r="L77">
        <v>1</v>
      </c>
      <c r="M77" t="str">
        <v>West Africa</v>
      </c>
      <c r="N77" t="str">
        <v>Mali</v>
      </c>
      <c r="O77" t="str">
        <v>Bamako</v>
      </c>
      <c r="P77">
        <v>5.8</v>
      </c>
      <c r="Q77">
        <v>0.68683418448969069</v>
      </c>
      <c r="R77">
        <v>3.5000000000000003E-2</v>
      </c>
      <c r="S77">
        <v>0.27300000000000002</v>
      </c>
      <c r="T77">
        <v>1</v>
      </c>
      <c r="U77">
        <v>0</v>
      </c>
      <c r="V77">
        <v>365</v>
      </c>
      <c r="W77">
        <v>0</v>
      </c>
      <c r="X77">
        <v>365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7.9452054794520546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1.5599999999999999E-2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73.2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6.0419813531954798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0.26300000000000001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1.5599999999999999E-2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73.2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0.9254</v>
      </c>
      <c r="LJ77">
        <v>0</v>
      </c>
      <c r="LK77">
        <v>0</v>
      </c>
      <c r="LL77">
        <v>1</v>
      </c>
      <c r="LM77">
        <v>0.95</v>
      </c>
      <c r="LN77">
        <v>0</v>
      </c>
      <c r="LO77">
        <v>1</v>
      </c>
      <c r="LP77">
        <v>0.78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</row>
    <row r="78" spans="1:355" x14ac:dyDescent="0.2">
      <c r="A78" t="str">
        <v>CDM AMS II G</v>
      </c>
      <c r="B78" t="str">
        <v>AMS-II.G. Version 03 </v>
      </c>
      <c r="C78" t="str">
        <v>GS1094</v>
      </c>
      <c r="D78">
        <v>1</v>
      </c>
      <c r="E78">
        <v>0</v>
      </c>
      <c r="F78">
        <v>39067</v>
      </c>
      <c r="G78" t="str">
        <v>firewood</v>
      </c>
      <c r="H78">
        <v>4761</v>
      </c>
      <c r="I78">
        <v>3.2609589041095892E-2</v>
      </c>
      <c r="J78">
        <v>3.4324352560737813E-2</v>
      </c>
      <c r="K78" t="str">
        <v>cdm_imp_firewood</v>
      </c>
      <c r="L78">
        <v>1</v>
      </c>
      <c r="M78" t="str">
        <v>Asia</v>
      </c>
      <c r="N78" t="str">
        <v>China</v>
      </c>
      <c r="O78" t="str">
        <v>Sichuan province</v>
      </c>
      <c r="P78">
        <v>3.4</v>
      </c>
      <c r="Q78">
        <v>1</v>
      </c>
      <c r="R78">
        <v>0.159</v>
      </c>
      <c r="S78">
        <v>0.23899999999999999</v>
      </c>
      <c r="T78">
        <v>400</v>
      </c>
      <c r="U78">
        <v>0</v>
      </c>
      <c r="V78">
        <v>365</v>
      </c>
      <c r="W78">
        <v>0</v>
      </c>
      <c r="X78">
        <v>146000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50.926027397260277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1.4999999999999999E-2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81.599999999999994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20.097090527727023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0.25340000000000001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1.4999999999999999E-2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81.599999999999994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0.95750000000000002</v>
      </c>
      <c r="LI78">
        <v>1</v>
      </c>
      <c r="LJ78">
        <v>0</v>
      </c>
      <c r="LK78">
        <v>0</v>
      </c>
      <c r="LL78">
        <v>1</v>
      </c>
      <c r="LM78">
        <v>0.95</v>
      </c>
      <c r="LN78">
        <v>0</v>
      </c>
      <c r="LO78">
        <v>1</v>
      </c>
      <c r="LP78">
        <v>0.78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</row>
    <row r="79" spans="1:355" x14ac:dyDescent="0.2">
      <c r="A79" t="str">
        <v>CDM AMS II G</v>
      </c>
      <c r="B79" t="str">
        <v>AMS-II.G. Version 03 </v>
      </c>
      <c r="C79" t="str">
        <v>GS1094</v>
      </c>
      <c r="D79">
        <v>2</v>
      </c>
      <c r="E79">
        <v>0</v>
      </c>
      <c r="F79">
        <v>39067</v>
      </c>
      <c r="G79" t="str">
        <v>firewood</v>
      </c>
      <c r="H79">
        <v>4998</v>
      </c>
      <c r="I79">
        <v>3.4232876712328768E-2</v>
      </c>
      <c r="J79">
        <v>3.4237865330322852E-2</v>
      </c>
      <c r="K79" t="str">
        <v>cdm_imp_firewood</v>
      </c>
      <c r="L79">
        <v>1</v>
      </c>
      <c r="M79" t="str">
        <v>Asia</v>
      </c>
      <c r="N79" t="str">
        <v>China</v>
      </c>
      <c r="O79" t="str">
        <v>Sichuan province</v>
      </c>
      <c r="P79">
        <v>3.4</v>
      </c>
      <c r="Q79">
        <v>1</v>
      </c>
      <c r="R79">
        <v>0.159</v>
      </c>
      <c r="S79">
        <v>0.23899999999999999</v>
      </c>
      <c r="T79">
        <v>400</v>
      </c>
      <c r="U79">
        <v>0</v>
      </c>
      <c r="V79">
        <v>365</v>
      </c>
      <c r="W79">
        <v>0</v>
      </c>
      <c r="X79">
        <v>146000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50.926027397260277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1.4999999999999999E-2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81.599999999999994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19.685360416412937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0.25869999999999999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1.4999999999999999E-2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81.599999999999994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0.9425</v>
      </c>
      <c r="LI79">
        <v>1</v>
      </c>
      <c r="LJ79">
        <v>0</v>
      </c>
      <c r="LK79">
        <v>0</v>
      </c>
      <c r="LL79">
        <v>1</v>
      </c>
      <c r="LM79">
        <v>0.95</v>
      </c>
      <c r="LN79">
        <v>0</v>
      </c>
      <c r="LO79">
        <v>1</v>
      </c>
      <c r="LP79">
        <v>0.78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</row>
    <row r="80" spans="1:355" x14ac:dyDescent="0.2">
      <c r="A80" t="str">
        <v>CDM AMS II G</v>
      </c>
      <c r="B80" t="str">
        <v>AMS-II.G. Version 03 </v>
      </c>
      <c r="C80" t="str">
        <v>GS1094</v>
      </c>
      <c r="D80">
        <v>3</v>
      </c>
      <c r="E80">
        <v>0</v>
      </c>
      <c r="F80">
        <v>39067</v>
      </c>
      <c r="G80" t="str">
        <v>firewood</v>
      </c>
      <c r="H80">
        <v>5257</v>
      </c>
      <c r="I80">
        <v>3.6006849315068493E-2</v>
      </c>
      <c r="J80">
        <v>3.6012715434362519E-2</v>
      </c>
      <c r="K80" t="str">
        <v>cdm_imp_firewood</v>
      </c>
      <c r="L80">
        <v>1</v>
      </c>
      <c r="M80" t="str">
        <v>Asia</v>
      </c>
      <c r="N80" t="str">
        <v>China</v>
      </c>
      <c r="O80" t="str">
        <v>Sichuan province</v>
      </c>
      <c r="P80">
        <v>3.4</v>
      </c>
      <c r="Q80">
        <v>1</v>
      </c>
      <c r="R80">
        <v>0.159</v>
      </c>
      <c r="S80">
        <v>0.23899999999999999</v>
      </c>
      <c r="T80">
        <v>400</v>
      </c>
      <c r="U80">
        <v>0</v>
      </c>
      <c r="V80">
        <v>365</v>
      </c>
      <c r="W80">
        <v>0</v>
      </c>
      <c r="X80">
        <v>146000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50.926027397260277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1.4999999999999999E-2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81.599999999999994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19.955339889208574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0.25519999999999998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1.4999999999999999E-2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81.599999999999994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1</v>
      </c>
      <c r="LJ80">
        <v>0</v>
      </c>
      <c r="LK80">
        <v>0</v>
      </c>
      <c r="LL80">
        <v>1</v>
      </c>
      <c r="LM80">
        <v>0.95</v>
      </c>
      <c r="LN80">
        <v>0</v>
      </c>
      <c r="LO80">
        <v>1</v>
      </c>
      <c r="LP80">
        <v>0.78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</row>
    <row r="81" spans="1:355" x14ac:dyDescent="0.2">
      <c r="A81" t="str">
        <v>CDM AMS II G</v>
      </c>
      <c r="B81" t="str">
        <v>AMS-II.G. Version 03 </v>
      </c>
      <c r="C81" t="str">
        <v>GS1094</v>
      </c>
      <c r="D81">
        <v>4</v>
      </c>
      <c r="E81">
        <v>0</v>
      </c>
      <c r="F81">
        <v>39067</v>
      </c>
      <c r="G81" t="str">
        <v>firewood</v>
      </c>
      <c r="H81">
        <v>4983</v>
      </c>
      <c r="I81">
        <v>3.4130136986301365E-2</v>
      </c>
      <c r="J81">
        <v>3.4135554391742533E-2</v>
      </c>
      <c r="K81" t="str">
        <v>cdm_imp_firewood</v>
      </c>
      <c r="L81">
        <v>1</v>
      </c>
      <c r="M81" t="str">
        <v>Asia</v>
      </c>
      <c r="N81" t="str">
        <v>China</v>
      </c>
      <c r="O81" t="str">
        <v>Sichuan province</v>
      </c>
      <c r="P81">
        <v>3.4</v>
      </c>
      <c r="Q81">
        <v>1</v>
      </c>
      <c r="R81">
        <v>0.159</v>
      </c>
      <c r="S81">
        <v>0.23899999999999999</v>
      </c>
      <c r="T81">
        <v>400</v>
      </c>
      <c r="U81">
        <v>0</v>
      </c>
      <c r="V81">
        <v>365</v>
      </c>
      <c r="W81">
        <v>0</v>
      </c>
      <c r="X81">
        <v>146000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50.926027397260277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1.4999999999999999E-2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81.599999999999994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21.56968547109711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0.2361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1.4999999999999999E-2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81.599999999999994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1</v>
      </c>
      <c r="LJ81">
        <v>0</v>
      </c>
      <c r="LK81">
        <v>0</v>
      </c>
      <c r="LL81">
        <v>1</v>
      </c>
      <c r="LM81">
        <v>0.95</v>
      </c>
      <c r="LN81">
        <v>0</v>
      </c>
      <c r="LO81">
        <v>1</v>
      </c>
      <c r="LP81">
        <v>0.78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</row>
    <row r="82" spans="1:355" x14ac:dyDescent="0.2">
      <c r="A82" t="str">
        <v>CDM AMS II G</v>
      </c>
      <c r="B82" t="str">
        <v>AMS-II.G. Version 03 </v>
      </c>
      <c r="C82" t="str">
        <v>GS1094</v>
      </c>
      <c r="D82">
        <v>5</v>
      </c>
      <c r="E82">
        <v>0</v>
      </c>
      <c r="F82">
        <v>39067</v>
      </c>
      <c r="G82" t="str">
        <v>firewood</v>
      </c>
      <c r="H82">
        <v>9649</v>
      </c>
      <c r="I82">
        <v>3.1470971950424004E-2</v>
      </c>
      <c r="J82">
        <v>3.1480585754707892E-2</v>
      </c>
      <c r="K82" t="str">
        <v>cdm_imp_firewood</v>
      </c>
      <c r="L82">
        <v>1</v>
      </c>
      <c r="M82" t="str">
        <v>Asia</v>
      </c>
      <c r="N82" t="str">
        <v>China</v>
      </c>
      <c r="O82" t="str">
        <v>Sichuan province</v>
      </c>
      <c r="P82">
        <v>3.4</v>
      </c>
      <c r="Q82">
        <v>1</v>
      </c>
      <c r="R82">
        <v>0.159</v>
      </c>
      <c r="S82">
        <v>0.23899999999999999</v>
      </c>
      <c r="T82">
        <v>840</v>
      </c>
      <c r="U82">
        <v>0</v>
      </c>
      <c r="V82">
        <v>365</v>
      </c>
      <c r="W82">
        <v>0</v>
      </c>
      <c r="X82">
        <v>306600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50.926027397260277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1.4999999999999999E-2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81.599999999999994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23.8529402329088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0.2135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1.4999999999999999E-2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81.599999999999994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1</v>
      </c>
      <c r="LJ82">
        <v>0</v>
      </c>
      <c r="LK82">
        <v>0</v>
      </c>
      <c r="LL82">
        <v>1</v>
      </c>
      <c r="LM82">
        <v>0.95</v>
      </c>
      <c r="LN82">
        <v>0</v>
      </c>
      <c r="LO82">
        <v>1</v>
      </c>
      <c r="LP82">
        <v>0.78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</row>
    <row r="83" spans="1:355" x14ac:dyDescent="0.2">
      <c r="A83" t="str">
        <v>CDM AMS II G</v>
      </c>
      <c r="B83" t="str">
        <v>AMS-II.G. Version 03 </v>
      </c>
      <c r="C83" t="str">
        <v>GS1094</v>
      </c>
      <c r="D83">
        <v>6</v>
      </c>
      <c r="E83">
        <v>0</v>
      </c>
      <c r="F83">
        <v>39067</v>
      </c>
      <c r="G83" t="str">
        <v>firewood</v>
      </c>
      <c r="H83">
        <v>9429</v>
      </c>
      <c r="I83">
        <v>3.2291095890410959E-2</v>
      </c>
      <c r="J83">
        <v>3.230006435865504E-2</v>
      </c>
      <c r="K83" t="str">
        <v>cdm_imp_firewood</v>
      </c>
      <c r="L83">
        <v>1</v>
      </c>
      <c r="M83" t="str">
        <v>Asia</v>
      </c>
      <c r="N83" t="str">
        <v>China</v>
      </c>
      <c r="O83" t="str">
        <v>Sichuan province</v>
      </c>
      <c r="P83">
        <v>3.4</v>
      </c>
      <c r="Q83">
        <v>1</v>
      </c>
      <c r="R83">
        <v>0.159</v>
      </c>
      <c r="S83">
        <v>0.23899999999999999</v>
      </c>
      <c r="T83">
        <v>800</v>
      </c>
      <c r="U83">
        <v>0</v>
      </c>
      <c r="V83">
        <v>365</v>
      </c>
      <c r="W83">
        <v>0</v>
      </c>
      <c r="X83">
        <v>292000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50.926027397260277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1.4999999999999999E-2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81.599999999999994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23.148194271481945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0.22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1.4999999999999999E-2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81.599999999999994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1</v>
      </c>
      <c r="LJ83">
        <v>0</v>
      </c>
      <c r="LK83">
        <v>0</v>
      </c>
      <c r="LL83">
        <v>1</v>
      </c>
      <c r="LM83">
        <v>0.95</v>
      </c>
      <c r="LN83">
        <v>0</v>
      </c>
      <c r="LO83">
        <v>1</v>
      </c>
      <c r="LP83">
        <v>0.78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</row>
    <row r="84" spans="1:355" x14ac:dyDescent="0.2">
      <c r="A84" t="str">
        <v>CDM AMS II G</v>
      </c>
      <c r="B84" t="str">
        <v>AMS-II.G. Version 03 </v>
      </c>
      <c r="C84" t="str">
        <v>GS4291</v>
      </c>
      <c r="D84" t="str">
        <v>MR 3 -2019</v>
      </c>
      <c r="E84">
        <v>0</v>
      </c>
      <c r="F84">
        <v>169804</v>
      </c>
      <c r="G84" t="str">
        <v>firewood</v>
      </c>
      <c r="H84">
        <v>13630</v>
      </c>
      <c r="I84">
        <v>2.2820679520474414E-3</v>
      </c>
      <c r="J84">
        <v>2.281027065651186E-3</v>
      </c>
      <c r="K84" t="str">
        <v>cdm_imp_firewood</v>
      </c>
      <c r="L84">
        <v>1</v>
      </c>
      <c r="M84" t="str">
        <v>Asia</v>
      </c>
      <c r="N84" t="str">
        <v>India</v>
      </c>
      <c r="O84" t="str">
        <v>India tot</v>
      </c>
      <c r="P84">
        <v>4.5999999999999996</v>
      </c>
      <c r="Q84">
        <v>0.90200000000000002</v>
      </c>
      <c r="R84">
        <v>0.106</v>
      </c>
      <c r="S84">
        <v>0.23699999999999999</v>
      </c>
      <c r="T84">
        <v>16363.432876712322</v>
      </c>
      <c r="U84">
        <v>0</v>
      </c>
      <c r="V84">
        <v>365</v>
      </c>
      <c r="W84">
        <v>0</v>
      </c>
      <c r="X84">
        <v>5972652.9999999981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4.9534246575342467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1.4999999999999999E-2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81.599999999999994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2.221266662571411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0.223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1.4999999999999999E-2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81.599999999999994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0.79600000000000004</v>
      </c>
      <c r="LI84">
        <v>1</v>
      </c>
      <c r="LJ84">
        <v>0</v>
      </c>
      <c r="LK84">
        <v>0</v>
      </c>
      <c r="LL84">
        <v>1</v>
      </c>
      <c r="LM84">
        <v>0.95</v>
      </c>
      <c r="LN84">
        <v>0</v>
      </c>
      <c r="LO84">
        <v>1</v>
      </c>
      <c r="LP84">
        <v>0.78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</row>
    <row r="85" spans="1:355" x14ac:dyDescent="0.2">
      <c r="A85" t="str">
        <v>CDM AMS II G</v>
      </c>
      <c r="B85" t="str">
        <v>AMS-II.G. Version 03 </v>
      </c>
      <c r="C85" t="str">
        <v>GS4291</v>
      </c>
      <c r="D85" t="str">
        <v>MR 3- 2020</v>
      </c>
      <c r="E85">
        <v>0</v>
      </c>
      <c r="F85">
        <v>169804</v>
      </c>
      <c r="G85" t="str">
        <v>firewood</v>
      </c>
      <c r="H85">
        <v>12896</v>
      </c>
      <c r="I85">
        <v>2.2820321630783176E-3</v>
      </c>
      <c r="J85">
        <v>2.281027065651186E-3</v>
      </c>
      <c r="K85" t="str">
        <v>cdm_imp_firewood</v>
      </c>
      <c r="L85">
        <v>1</v>
      </c>
      <c r="M85" t="str">
        <v>Asia</v>
      </c>
      <c r="N85" t="str">
        <v>India</v>
      </c>
      <c r="O85" t="str">
        <v>India tot</v>
      </c>
      <c r="P85">
        <v>4.5999999999999996</v>
      </c>
      <c r="Q85">
        <v>0.90200000000000002</v>
      </c>
      <c r="R85">
        <v>0.106</v>
      </c>
      <c r="S85">
        <v>0.23699999999999999</v>
      </c>
      <c r="T85">
        <v>15482.475409836072</v>
      </c>
      <c r="U85">
        <v>0</v>
      </c>
      <c r="V85">
        <v>365</v>
      </c>
      <c r="W85">
        <v>0</v>
      </c>
      <c r="X85">
        <v>5651103.5245901663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4.9534246575342467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1.4999999999999999E-2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81.599999999999994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2.221266662571411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0.223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1.4999999999999999E-2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81.599999999999994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0.79600000000000004</v>
      </c>
      <c r="LI85">
        <v>1</v>
      </c>
      <c r="LJ85">
        <v>0</v>
      </c>
      <c r="LK85">
        <v>0</v>
      </c>
      <c r="LL85">
        <v>1</v>
      </c>
      <c r="LM85">
        <v>0.95</v>
      </c>
      <c r="LN85">
        <v>0</v>
      </c>
      <c r="LO85">
        <v>1</v>
      </c>
      <c r="LP85">
        <v>0.78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</row>
    <row r="86" spans="1:355" x14ac:dyDescent="0.2">
      <c r="A86" t="str">
        <v>CDM AMS II G</v>
      </c>
      <c r="B86" t="str">
        <v>AMS-II.G. Version 09</v>
      </c>
      <c r="C86" t="str">
        <v>GS6604</v>
      </c>
      <c r="D86" t="str">
        <v>1st</v>
      </c>
      <c r="E86">
        <v>0</v>
      </c>
      <c r="F86">
        <v>75317</v>
      </c>
      <c r="G86" t="str">
        <v>firewood</v>
      </c>
      <c r="H86">
        <v>33024</v>
      </c>
      <c r="I86">
        <v>3.3097290640394092E-3</v>
      </c>
      <c r="J86">
        <v>3.2133274199129349E-3</v>
      </c>
      <c r="K86" t="str">
        <v>cdm_imp_firewood</v>
      </c>
      <c r="L86">
        <v>1</v>
      </c>
      <c r="M86" t="str">
        <v>Sub-Saharan Africa</v>
      </c>
      <c r="N86" t="str">
        <v>Uganda</v>
      </c>
      <c r="O86" t="str">
        <v>Buikve (prior Mukono), Mukono and Kayunga</v>
      </c>
      <c r="P86">
        <v>4.5</v>
      </c>
      <c r="Q86">
        <v>0.88</v>
      </c>
      <c r="R86">
        <v>0.34650000000000003</v>
      </c>
      <c r="S86">
        <v>0.50949999999999995</v>
      </c>
      <c r="T86">
        <v>22272</v>
      </c>
      <c r="U86">
        <v>0</v>
      </c>
      <c r="V86">
        <v>448</v>
      </c>
      <c r="W86">
        <v>0</v>
      </c>
      <c r="X86">
        <v>9977856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6.4383561643835616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1.5599999999999999E-2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63.7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2.0971844183659814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0.307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1.5599999999999999E-2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63.7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0.9</v>
      </c>
      <c r="LI86">
        <v>1</v>
      </c>
      <c r="LJ86">
        <v>0</v>
      </c>
      <c r="LK86">
        <v>0</v>
      </c>
      <c r="LL86">
        <v>1</v>
      </c>
      <c r="LM86">
        <v>0.95</v>
      </c>
      <c r="LN86">
        <v>0</v>
      </c>
      <c r="LO86">
        <v>1</v>
      </c>
      <c r="LP86">
        <v>0.78</v>
      </c>
      <c r="LQ86">
        <v>0</v>
      </c>
      <c r="LR86">
        <v>0.01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</row>
    <row r="87" spans="1:355" x14ac:dyDescent="0.2">
      <c r="A87" t="str">
        <v>GS Simplified</v>
      </c>
      <c r="B87" t="str">
        <v>Gold Standard VER Methodology "The Gold Standard simplified methodology for efficient cook stoves" – February 2013</v>
      </c>
      <c r="C87" t="str">
        <v xml:space="preserve">GS 2896 </v>
      </c>
      <c r="D87" t="str">
        <v>MR 2019-2020</v>
      </c>
      <c r="E87">
        <v>0</v>
      </c>
      <c r="F87">
        <v>38512</v>
      </c>
      <c r="G87" t="str">
        <v>firewood</v>
      </c>
      <c r="H87">
        <v>31185</v>
      </c>
      <c r="I87">
        <v>1.2221446257380484E-2</v>
      </c>
      <c r="J87">
        <v>1.263914104097621E-2</v>
      </c>
      <c r="K87" t="str">
        <v>gs_simple_firewood</v>
      </c>
      <c r="L87">
        <v>1</v>
      </c>
      <c r="M87" t="str">
        <v>Sub-Saharan Africa</v>
      </c>
      <c r="N87" t="str">
        <v>Sudan</v>
      </c>
      <c r="O87" t="str">
        <v>El Fasher and El Kuma localities in the southern portion of Shamal (Northern) Darfur province. </v>
      </c>
      <c r="P87">
        <v>5.9</v>
      </c>
      <c r="Q87">
        <v>0.85</v>
      </c>
      <c r="R87">
        <v>4.1000000000000002E-2</v>
      </c>
      <c r="S87">
        <v>0.25700000000000001</v>
      </c>
      <c r="T87">
        <v>4974</v>
      </c>
      <c r="U87">
        <v>0</v>
      </c>
      <c r="V87">
        <v>513</v>
      </c>
      <c r="W87">
        <v>0</v>
      </c>
      <c r="X87">
        <v>2551662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16.164383561643834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1.5599999999999999E-2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112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29.17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5.814526461022961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0.27800000000000002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1.5599999999999999E-2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112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29.167000000000002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0.98499999999999999</v>
      </c>
      <c r="LI87">
        <v>1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1</v>
      </c>
      <c r="LP87">
        <v>0.78</v>
      </c>
      <c r="LQ87">
        <v>0</v>
      </c>
      <c r="LR87">
        <v>0.36099999999999999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</row>
    <row r="88" spans="1:355" x14ac:dyDescent="0.2">
      <c r="A88" t="str">
        <v>GS Simplified</v>
      </c>
      <c r="B88" t="str">
        <v>The Gold Standard Simplified Methodology for Efficient Cookstoves (February 2013)</v>
      </c>
      <c r="C88" t="str">
        <v xml:space="preserve">GS 3422 </v>
      </c>
      <c r="D88" t="str">
        <v>5th MR 2020</v>
      </c>
      <c r="E88">
        <v>0</v>
      </c>
      <c r="F88">
        <v>45989</v>
      </c>
      <c r="G88" t="str">
        <v>firewood</v>
      </c>
      <c r="H88">
        <v>7180</v>
      </c>
      <c r="I88">
        <v>4.1791444394969892E-3</v>
      </c>
      <c r="J88">
        <v>4.245230090924576E-3</v>
      </c>
      <c r="K88" t="str">
        <v>gs_simple_firewood</v>
      </c>
      <c r="L88">
        <v>1</v>
      </c>
      <c r="M88" t="str">
        <v>Sub-Saharan Africa</v>
      </c>
      <c r="N88" t="str">
        <v>Ethiopia</v>
      </c>
      <c r="O88" t="str">
        <v>Oromia and Somali Regional States</v>
      </c>
      <c r="P88">
        <v>4.7</v>
      </c>
      <c r="Q88">
        <v>0.88</v>
      </c>
      <c r="R88">
        <v>0.34725</v>
      </c>
      <c r="S88">
        <v>0.53150000000000008</v>
      </c>
      <c r="T88">
        <v>4707</v>
      </c>
      <c r="U88">
        <v>0</v>
      </c>
      <c r="V88">
        <v>365</v>
      </c>
      <c r="W88">
        <v>0</v>
      </c>
      <c r="X88">
        <v>1718055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6.8493150684931505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1.5599999999999999E-2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112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29.17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2.8378004095513552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0.24135999999999999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1.5599999999999999E-2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112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29.167000000000002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0.63</v>
      </c>
      <c r="LI88">
        <v>1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1</v>
      </c>
      <c r="LP88">
        <v>0.78</v>
      </c>
      <c r="LQ88">
        <v>0</v>
      </c>
      <c r="LR88">
        <v>0.15700000000000003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</row>
    <row r="89" spans="1:355" x14ac:dyDescent="0.2">
      <c r="A89" t="str">
        <v>GS Simplified</v>
      </c>
      <c r="B89">
        <v>0</v>
      </c>
      <c r="C89" t="str">
        <v>GS 2456</v>
      </c>
      <c r="D89" t="str">
        <v>6th MR</v>
      </c>
      <c r="E89" t="str">
        <v>AG 4-5</v>
      </c>
      <c r="F89">
        <v>46382</v>
      </c>
      <c r="G89" t="str">
        <v>firewood</v>
      </c>
      <c r="H89">
        <v>2577</v>
      </c>
      <c r="I89">
        <v>7.067341313916657E-3</v>
      </c>
      <c r="J89">
        <v>7.0278742377963581E-3</v>
      </c>
      <c r="K89" t="str">
        <v>gs_simple_firewood</v>
      </c>
      <c r="L89">
        <v>1</v>
      </c>
      <c r="M89" t="str">
        <v>Sub-Saharan Africa</v>
      </c>
      <c r="N89" t="str">
        <v xml:space="preserve">Burkina Faso </v>
      </c>
      <c r="O89" t="str">
        <v>Bam and Loroum</v>
      </c>
      <c r="P89">
        <v>5.9</v>
      </c>
      <c r="Q89">
        <v>0.9</v>
      </c>
      <c r="R89">
        <v>0.22875000000000001</v>
      </c>
      <c r="S89">
        <v>0.24775</v>
      </c>
      <c r="T89">
        <v>999</v>
      </c>
      <c r="U89">
        <v>0</v>
      </c>
      <c r="V89">
        <v>365</v>
      </c>
      <c r="W89">
        <v>0</v>
      </c>
      <c r="X89">
        <v>364635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9.287671232876713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1.5599999999999999E-2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112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33.97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4.42270058708415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0.21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1.5599999999999999E-2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112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33.97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0.72719999999999996</v>
      </c>
      <c r="LI89">
        <v>1</v>
      </c>
      <c r="LJ89">
        <v>0</v>
      </c>
      <c r="LK89">
        <v>0</v>
      </c>
      <c r="LL89">
        <v>1</v>
      </c>
      <c r="LM89">
        <v>0.95</v>
      </c>
      <c r="LN89">
        <v>0</v>
      </c>
      <c r="LO89">
        <v>1</v>
      </c>
      <c r="LP89">
        <v>0.78</v>
      </c>
      <c r="LQ89">
        <v>0</v>
      </c>
      <c r="LR89">
        <v>5.3999999999999604E-3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</row>
    <row r="90" spans="1:355" x14ac:dyDescent="0.2">
      <c r="A90" t="str">
        <v>GS Simplified</v>
      </c>
      <c r="B90">
        <v>0</v>
      </c>
      <c r="C90" t="str">
        <v>GS 2456</v>
      </c>
      <c r="D90" t="str">
        <v>6th MR</v>
      </c>
      <c r="E90" t="str">
        <v>AG 3-4</v>
      </c>
      <c r="F90">
        <v>46382</v>
      </c>
      <c r="G90" t="str">
        <v>firewood</v>
      </c>
      <c r="H90">
        <v>3217</v>
      </c>
      <c r="I90">
        <v>8.4260981167657619E-3</v>
      </c>
      <c r="J90">
        <v>8.4137413761632956E-3</v>
      </c>
      <c r="K90" t="str">
        <v>gs_simple_firewood</v>
      </c>
      <c r="L90">
        <v>1</v>
      </c>
      <c r="M90" t="str">
        <v>Sub-Saharan Africa</v>
      </c>
      <c r="N90" t="str">
        <v xml:space="preserve">Burkina Faso </v>
      </c>
      <c r="O90" t="str">
        <v>Bam and Loroum</v>
      </c>
      <c r="P90">
        <v>5.9</v>
      </c>
      <c r="Q90">
        <v>0.9</v>
      </c>
      <c r="R90">
        <v>0.22875000000000001</v>
      </c>
      <c r="S90">
        <v>0.24775</v>
      </c>
      <c r="T90">
        <v>1046</v>
      </c>
      <c r="U90">
        <v>0</v>
      </c>
      <c r="V90">
        <v>365</v>
      </c>
      <c r="W90">
        <v>0</v>
      </c>
      <c r="X90">
        <v>381790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9.287671232876713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1.5599999999999999E-2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112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33.97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4.3604090295195848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0.21299999999999999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1.5599999999999999E-2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112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33.97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0.85829999999999995</v>
      </c>
      <c r="LI90">
        <v>1</v>
      </c>
      <c r="LJ90">
        <v>0</v>
      </c>
      <c r="LK90">
        <v>0</v>
      </c>
      <c r="LL90">
        <v>1</v>
      </c>
      <c r="LM90">
        <v>0.95</v>
      </c>
      <c r="LN90">
        <v>0</v>
      </c>
      <c r="LO90">
        <v>1</v>
      </c>
      <c r="LP90">
        <v>0.78</v>
      </c>
      <c r="LQ90">
        <v>0</v>
      </c>
      <c r="LR90">
        <v>3.9000000000000146E-3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</row>
    <row r="91" spans="1:355" x14ac:dyDescent="0.2">
      <c r="A91" t="str">
        <v>GS Simplified</v>
      </c>
      <c r="B91">
        <v>0</v>
      </c>
      <c r="C91" t="str">
        <v>GS 2456</v>
      </c>
      <c r="D91" t="str">
        <v>6th MR</v>
      </c>
      <c r="E91" t="str">
        <v>AG 2-3</v>
      </c>
      <c r="F91">
        <v>46382</v>
      </c>
      <c r="G91" t="str">
        <v>firewood</v>
      </c>
      <c r="H91">
        <v>522</v>
      </c>
      <c r="I91">
        <v>9.2866038071517526E-3</v>
      </c>
      <c r="J91">
        <v>9.2743646800397123E-3</v>
      </c>
      <c r="K91" t="str">
        <v>gs_simple_firewood</v>
      </c>
      <c r="L91">
        <v>1</v>
      </c>
      <c r="M91" t="str">
        <v>Sub-Saharan Africa</v>
      </c>
      <c r="N91" t="str">
        <v xml:space="preserve">Burkina Faso </v>
      </c>
      <c r="O91" t="str">
        <v>Bam and Loroum</v>
      </c>
      <c r="P91">
        <v>5.9</v>
      </c>
      <c r="Q91">
        <v>0.9</v>
      </c>
      <c r="R91">
        <v>0.22875000000000001</v>
      </c>
      <c r="S91">
        <v>0.24775</v>
      </c>
      <c r="T91">
        <v>154</v>
      </c>
      <c r="U91">
        <v>0</v>
      </c>
      <c r="V91">
        <v>365</v>
      </c>
      <c r="W91">
        <v>0</v>
      </c>
      <c r="X91">
        <v>56210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9.287671232876713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1.5599999999999999E-2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112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33.97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4.2998477929984791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0.216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1.5599999999999999E-2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112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33.97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0.93179999999999996</v>
      </c>
      <c r="LI91">
        <v>1</v>
      </c>
      <c r="LJ91">
        <v>0</v>
      </c>
      <c r="LK91">
        <v>0</v>
      </c>
      <c r="LL91">
        <v>1</v>
      </c>
      <c r="LM91">
        <v>0.95</v>
      </c>
      <c r="LN91">
        <v>0</v>
      </c>
      <c r="LO91">
        <v>1</v>
      </c>
      <c r="LP91">
        <v>0.78</v>
      </c>
      <c r="LQ91">
        <v>0</v>
      </c>
      <c r="LR91">
        <v>9.000000000000119E-4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</row>
    <row r="92" spans="1:355" x14ac:dyDescent="0.2">
      <c r="A92" t="str">
        <v>GS Simplified</v>
      </c>
      <c r="B92">
        <v>0</v>
      </c>
      <c r="C92" t="str">
        <v>GS 2456</v>
      </c>
      <c r="D92" t="str">
        <v>6th MR</v>
      </c>
      <c r="E92" t="str">
        <v>AG 1-2</v>
      </c>
      <c r="F92">
        <v>46382</v>
      </c>
      <c r="G92" t="str">
        <v>firewood</v>
      </c>
      <c r="H92">
        <v>11.7</v>
      </c>
      <c r="I92">
        <v>1.0684931506849314E-2</v>
      </c>
      <c r="J92">
        <v>1.002740425458769E-2</v>
      </c>
      <c r="K92" t="str">
        <v>gs_simple_firewood</v>
      </c>
      <c r="L92">
        <v>1</v>
      </c>
      <c r="M92" t="str">
        <v>Sub-Saharan Africa</v>
      </c>
      <c r="N92" t="str">
        <v xml:space="preserve">Burkina Faso </v>
      </c>
      <c r="O92" t="str">
        <v>Bam and Loroum</v>
      </c>
      <c r="P92">
        <v>5.9</v>
      </c>
      <c r="Q92">
        <v>0.9</v>
      </c>
      <c r="R92">
        <v>0.22875000000000001</v>
      </c>
      <c r="S92">
        <v>0.24775</v>
      </c>
      <c r="T92">
        <v>3</v>
      </c>
      <c r="U92">
        <v>0</v>
      </c>
      <c r="V92">
        <v>365</v>
      </c>
      <c r="W92">
        <v>0</v>
      </c>
      <c r="X92">
        <v>1095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9.287671232876713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1.5599999999999999E-2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112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33.97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4.0084899580823112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0.23169999999999999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1.5599999999999999E-2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112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33.97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0.95099999999999996</v>
      </c>
      <c r="LI92">
        <v>1</v>
      </c>
      <c r="LJ92">
        <v>0</v>
      </c>
      <c r="LK92">
        <v>0</v>
      </c>
      <c r="LL92">
        <v>1</v>
      </c>
      <c r="LM92">
        <v>0.95</v>
      </c>
      <c r="LN92">
        <v>0</v>
      </c>
      <c r="LO92">
        <v>1</v>
      </c>
      <c r="LP92">
        <v>0.78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</row>
    <row r="93" spans="1:355" x14ac:dyDescent="0.2">
      <c r="A93" t="str">
        <v>GS Simplified</v>
      </c>
      <c r="B93" t="str">
        <v>Gold Standard Simplified Methodology for Efficient Cookstoves - Version 1</v>
      </c>
      <c r="C93" t="str">
        <v>GS 2456</v>
      </c>
      <c r="D93" t="str">
        <v>6th MR</v>
      </c>
      <c r="E93" t="str">
        <v>AG 0-1</v>
      </c>
      <c r="F93">
        <v>46382</v>
      </c>
      <c r="G93" t="str">
        <v>firewood</v>
      </c>
      <c r="H93">
        <v>2073</v>
      </c>
      <c r="I93">
        <v>8.8327403651547749E-3</v>
      </c>
      <c r="J93">
        <v>8.5670662072284721E-3</v>
      </c>
      <c r="K93" t="str">
        <v>gs_simple_firewood</v>
      </c>
      <c r="L93">
        <v>1</v>
      </c>
      <c r="M93" t="str">
        <v>Sub-Saharan Africa</v>
      </c>
      <c r="N93" t="str">
        <v xml:space="preserve">Burkina Faso </v>
      </c>
      <c r="O93" t="str">
        <v>Bam and Loroum</v>
      </c>
      <c r="P93">
        <v>5.9</v>
      </c>
      <c r="Q93">
        <v>0.9</v>
      </c>
      <c r="R93">
        <v>0.22875000000000001</v>
      </c>
      <c r="S93">
        <v>0.24775</v>
      </c>
      <c r="T93">
        <v>643</v>
      </c>
      <c r="U93">
        <v>0</v>
      </c>
      <c r="V93">
        <v>365</v>
      </c>
      <c r="W93">
        <v>0</v>
      </c>
      <c r="X93">
        <v>234695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9.287671232876713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1.5599999999999999E-2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112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33.97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4.2216687422166883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0.22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1.5599999999999999E-2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112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33.97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0.84719999999999995</v>
      </c>
      <c r="LI93">
        <v>1</v>
      </c>
      <c r="LJ93">
        <v>0</v>
      </c>
      <c r="LK93">
        <v>0</v>
      </c>
      <c r="LL93">
        <v>1</v>
      </c>
      <c r="LM93">
        <v>0.95</v>
      </c>
      <c r="LN93">
        <v>0</v>
      </c>
      <c r="LO93">
        <v>1</v>
      </c>
      <c r="LP93">
        <v>0.78</v>
      </c>
      <c r="LQ93">
        <v>0</v>
      </c>
      <c r="LR93">
        <v>6.0000000000004494E-4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</row>
    <row r="94" spans="1:355" x14ac:dyDescent="0.2">
      <c r="A94" t="str">
        <v>GS Simplified</v>
      </c>
      <c r="B94" t="str">
        <v>The Gold Standard
Simplified Methodology for Efficient Cookstoves
Version 01</v>
      </c>
      <c r="C94" t="str">
        <v>GS 1028</v>
      </c>
      <c r="D94">
        <v>2016</v>
      </c>
      <c r="E94">
        <v>2016</v>
      </c>
      <c r="F94">
        <v>29330</v>
      </c>
      <c r="G94" t="str">
        <v>firewood</v>
      </c>
      <c r="H94">
        <v>710</v>
      </c>
      <c r="I94">
        <v>7.2044647387113142E-3</v>
      </c>
      <c r="J94">
        <v>7.1987631780821917E-3</v>
      </c>
      <c r="K94" t="str">
        <v>gs_simple_firewood</v>
      </c>
      <c r="L94">
        <v>1</v>
      </c>
      <c r="M94" t="str">
        <v>South America</v>
      </c>
      <c r="N94" t="str">
        <v>Brazil</v>
      </c>
      <c r="O94" t="str">
        <v xml:space="preserve"> the municipalities of Conceição do Almeida, Dom Macedo Costa, Muniz Ferreira and Sapeaçú. , Rovacon region, Bahia</v>
      </c>
      <c r="P94">
        <v>3.3</v>
      </c>
      <c r="Q94">
        <v>0.81</v>
      </c>
      <c r="R94">
        <v>5.8000000000000003E-2</v>
      </c>
      <c r="S94">
        <v>0.18</v>
      </c>
      <c r="T94">
        <v>270</v>
      </c>
      <c r="U94">
        <v>0</v>
      </c>
      <c r="V94">
        <v>365</v>
      </c>
      <c r="W94">
        <v>0</v>
      </c>
      <c r="X94">
        <v>98550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11.506849315068493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1.5599999999999999E-2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112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33.97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6.2199185486856718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0.185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1.5599999999999999E-2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112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33.97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0.7</v>
      </c>
      <c r="LI94">
        <v>1</v>
      </c>
      <c r="LJ94">
        <v>0</v>
      </c>
      <c r="LK94">
        <v>0</v>
      </c>
      <c r="LL94">
        <v>0</v>
      </c>
      <c r="LM94">
        <v>1</v>
      </c>
      <c r="LN94">
        <v>0</v>
      </c>
      <c r="LO94">
        <v>1</v>
      </c>
      <c r="LP94">
        <v>0.78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</row>
    <row r="95" spans="1:355" x14ac:dyDescent="0.2">
      <c r="A95" t="str">
        <v>GS Simplified</v>
      </c>
      <c r="B95" t="str">
        <v>The Gold Standard
Simplified Methodology for Efficient Cookstoves
Version 01</v>
      </c>
      <c r="C95" t="str">
        <v>GS 1028</v>
      </c>
      <c r="D95">
        <v>2017</v>
      </c>
      <c r="E95">
        <v>2017</v>
      </c>
      <c r="F95">
        <v>29330</v>
      </c>
      <c r="G95" t="str">
        <v>firewood</v>
      </c>
      <c r="H95">
        <v>621</v>
      </c>
      <c r="I95">
        <v>6.3247950297907014E-3</v>
      </c>
      <c r="J95">
        <v>6.2940667063103514E-3</v>
      </c>
      <c r="K95" t="str">
        <v>gs_simple_firewood</v>
      </c>
      <c r="L95">
        <v>1</v>
      </c>
      <c r="M95" t="str">
        <v>South America</v>
      </c>
      <c r="N95" t="str">
        <v>Brazil</v>
      </c>
      <c r="O95" t="str">
        <v xml:space="preserve"> the municipalities of Conceição do Almeida, Dom Macedo Costa, Muniz Ferreira and Sapeaçú. , Rovacon region, Bahia</v>
      </c>
      <c r="P95">
        <v>3.3</v>
      </c>
      <c r="Q95">
        <v>0.81</v>
      </c>
      <c r="R95">
        <v>5.8000000000000003E-2</v>
      </c>
      <c r="S95">
        <v>0.18</v>
      </c>
      <c r="T95">
        <v>269</v>
      </c>
      <c r="U95">
        <v>0</v>
      </c>
      <c r="V95">
        <v>365</v>
      </c>
      <c r="W95">
        <v>0</v>
      </c>
      <c r="X95">
        <v>98185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11.506849315068493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1.5599999999999999E-2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112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33.97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6.2878958005838763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0.183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1.5599999999999999E-2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112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33.97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0.62</v>
      </c>
      <c r="LI95">
        <v>1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1</v>
      </c>
      <c r="LP95">
        <v>0.78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</row>
    <row r="96" spans="1:355" x14ac:dyDescent="0.2">
      <c r="A96" t="str">
        <v>GS Simplified</v>
      </c>
      <c r="B96" t="str">
        <v>The Gold Standard
Simplified Methodology for Efficient Cookstoves
Version 01</v>
      </c>
      <c r="C96" t="str">
        <v>GS 1028</v>
      </c>
      <c r="D96">
        <v>2018</v>
      </c>
      <c r="E96">
        <v>2018</v>
      </c>
      <c r="F96">
        <v>29330</v>
      </c>
      <c r="G96" t="str">
        <v>firewood</v>
      </c>
      <c r="H96">
        <v>1615</v>
      </c>
      <c r="I96">
        <v>6.019942223464728E-3</v>
      </c>
      <c r="J96">
        <v>6.0099428695981208E-3</v>
      </c>
      <c r="K96" t="str">
        <v>gs_simple_firewood</v>
      </c>
      <c r="L96">
        <v>1</v>
      </c>
      <c r="M96" t="str">
        <v>South America</v>
      </c>
      <c r="N96" t="str">
        <v>Brazil</v>
      </c>
      <c r="O96" t="str">
        <v xml:space="preserve"> the municipalities of Conceição do Almeida, Dom Macedo Costa, Muniz Ferreira and Sapeaçú. , Rovacon region, Bahia</v>
      </c>
      <c r="P96">
        <v>3.3</v>
      </c>
      <c r="Q96">
        <v>0.81</v>
      </c>
      <c r="R96">
        <v>5.8000000000000003E-2</v>
      </c>
      <c r="S96">
        <v>0.18</v>
      </c>
      <c r="T96">
        <v>735</v>
      </c>
      <c r="U96">
        <v>0</v>
      </c>
      <c r="V96">
        <v>365</v>
      </c>
      <c r="W96">
        <v>0</v>
      </c>
      <c r="X96">
        <v>268275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11.506849315068493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1.5599999999999999E-2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33.97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6.3573753121925378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0.18099999999999999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1.5599999999999999E-2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112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33.97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0.6</v>
      </c>
      <c r="LI96">
        <v>1</v>
      </c>
      <c r="LJ96">
        <v>0</v>
      </c>
      <c r="LK96">
        <v>0</v>
      </c>
      <c r="LL96">
        <v>0</v>
      </c>
      <c r="LM96">
        <v>1</v>
      </c>
      <c r="LN96">
        <v>0</v>
      </c>
      <c r="LO96">
        <v>1</v>
      </c>
      <c r="LP96">
        <v>0.78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</row>
    <row r="97" spans="1:355" x14ac:dyDescent="0.2">
      <c r="A97" t="str">
        <v>GS Simplified</v>
      </c>
      <c r="B97" t="str">
        <v>The Gold Standard
Simplified Methodology for Efficient Cookstoves
Version 01</v>
      </c>
      <c r="C97" t="str">
        <v>GS 1028</v>
      </c>
      <c r="D97">
        <v>2019</v>
      </c>
      <c r="E97">
        <v>2019</v>
      </c>
      <c r="F97">
        <v>29330</v>
      </c>
      <c r="G97" t="str">
        <v>firewood</v>
      </c>
      <c r="H97">
        <v>4023</v>
      </c>
      <c r="I97">
        <v>9.911796590125161E-3</v>
      </c>
      <c r="J97">
        <v>9.8784023142266756E-3</v>
      </c>
      <c r="K97" t="str">
        <v>gs_simple_firewood</v>
      </c>
      <c r="L97">
        <v>1</v>
      </c>
      <c r="M97" t="str">
        <v>South America</v>
      </c>
      <c r="N97" t="str">
        <v>Brazil</v>
      </c>
      <c r="O97" t="str">
        <v xml:space="preserve"> the municipalities of Conceição do Almeida, Dom Macedo Costa, Muniz Ferreira and Sapeaçú. , Rovacon region, Bahia</v>
      </c>
      <c r="P97">
        <v>3.3</v>
      </c>
      <c r="Q97">
        <v>0.81</v>
      </c>
      <c r="R97">
        <v>5.8000000000000003E-2</v>
      </c>
      <c r="S97">
        <v>0.18</v>
      </c>
      <c r="T97">
        <v>1112</v>
      </c>
      <c r="U97">
        <v>0</v>
      </c>
      <c r="V97">
        <v>365</v>
      </c>
      <c r="W97">
        <v>0</v>
      </c>
      <c r="X97">
        <v>405880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11.506849315068493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1.5599999999999999E-2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112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33.97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6.4284074385857508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0.17899999999999999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1.5599999999999999E-2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112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33.97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1</v>
      </c>
      <c r="LJ97">
        <v>0</v>
      </c>
      <c r="LK97">
        <v>0</v>
      </c>
      <c r="LL97">
        <v>0</v>
      </c>
      <c r="LM97">
        <v>1</v>
      </c>
      <c r="LN97">
        <v>0</v>
      </c>
      <c r="LO97">
        <v>1</v>
      </c>
      <c r="LP97">
        <v>0.78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</row>
    <row r="98" spans="1:355" x14ac:dyDescent="0.2">
      <c r="A98" t="str">
        <v>GS Simplified</v>
      </c>
      <c r="B98" t="str">
        <v>The Gold Standard
Simplified Methodology for Efficient Cookstoves
Version 01</v>
      </c>
      <c r="C98" t="str">
        <v>GS 1028</v>
      </c>
      <c r="D98">
        <v>2020</v>
      </c>
      <c r="E98">
        <v>2020</v>
      </c>
      <c r="F98">
        <v>29330</v>
      </c>
      <c r="G98" t="str">
        <v>firewood</v>
      </c>
      <c r="H98">
        <v>4354</v>
      </c>
      <c r="I98">
        <v>2.8449241887163537E-3</v>
      </c>
      <c r="J98">
        <v>2.933618681949207E-3</v>
      </c>
      <c r="K98" t="str">
        <v>gs_simple_firewood</v>
      </c>
      <c r="L98">
        <v>1</v>
      </c>
      <c r="M98" t="str">
        <v>South America</v>
      </c>
      <c r="N98" t="str">
        <v>Brazil</v>
      </c>
      <c r="O98" t="str">
        <v xml:space="preserve"> the municipalities of Conceição do Almeida, Dom Macedo Costa, Muniz Ferreira and Sapeaçú. , Rovacon region, Bahia</v>
      </c>
      <c r="P98">
        <v>3.3</v>
      </c>
      <c r="Q98">
        <v>0.81</v>
      </c>
      <c r="R98">
        <v>5.8000000000000003E-2</v>
      </c>
      <c r="S98">
        <v>0.18</v>
      </c>
      <c r="T98">
        <v>4193</v>
      </c>
      <c r="U98">
        <v>0</v>
      </c>
      <c r="V98">
        <v>365</v>
      </c>
      <c r="W98">
        <v>0</v>
      </c>
      <c r="X98">
        <v>1530445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11.506849315068493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1.5599999999999999E-2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112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33.97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6.4645220871171309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0.17799999999999999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1.5599999999999999E-2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112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33.97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0.3</v>
      </c>
      <c r="LI98">
        <v>1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1</v>
      </c>
      <c r="LP98">
        <v>0.78</v>
      </c>
      <c r="LQ98">
        <v>0</v>
      </c>
      <c r="LR98">
        <v>3.0000000000000027E-3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</row>
    <row r="99" spans="1:355" x14ac:dyDescent="0.2">
      <c r="A99" t="str">
        <v>GS Simplified</v>
      </c>
      <c r="B99" t="str">
        <v>“The Gold Standard Simplified Methodology for Efficient Cookstoves” February 2013</v>
      </c>
      <c r="C99" t="str">
        <v>GS 3018</v>
      </c>
      <c r="D99" t="str">
        <v>2nd MR 2015-2017</v>
      </c>
      <c r="E99" t="str">
        <v>Age 1-2</v>
      </c>
      <c r="F99">
        <v>27096</v>
      </c>
      <c r="G99" t="str">
        <v>firewood</v>
      </c>
      <c r="H99">
        <v>157</v>
      </c>
      <c r="I99">
        <v>4.7267800692458225E-3</v>
      </c>
      <c r="J99">
        <v>4.7066682713133327E-3</v>
      </c>
      <c r="K99" t="str">
        <v>gs_simple_firewood</v>
      </c>
      <c r="L99">
        <v>1</v>
      </c>
      <c r="M99" t="str">
        <v>Asia</v>
      </c>
      <c r="N99" t="str">
        <v>Nepal</v>
      </c>
      <c r="O99" t="str">
        <v>districts Doti, Dadeldhura, Baitadi, Achham, Darchula, Bajhang &amp; Bajura (in color) in which ICS may be installed. </v>
      </c>
      <c r="P99">
        <v>4.3</v>
      </c>
      <c r="Q99">
        <v>0.86</v>
      </c>
      <c r="R99">
        <v>0.48699999999999999</v>
      </c>
      <c r="S99">
        <v>0.57199999999999995</v>
      </c>
      <c r="T99">
        <v>91</v>
      </c>
      <c r="U99">
        <v>0</v>
      </c>
      <c r="V99">
        <v>365</v>
      </c>
      <c r="W99">
        <v>0</v>
      </c>
      <c r="X99">
        <v>33215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11.043835616438354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1.5599999999999999E-2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112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29.17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4.9747007281253852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0.222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1.5599999999999999E-2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112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29.17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0.432</v>
      </c>
      <c r="LI99">
        <v>1</v>
      </c>
      <c r="LJ99">
        <v>0</v>
      </c>
      <c r="LK99">
        <v>0</v>
      </c>
      <c r="LL99">
        <v>0</v>
      </c>
      <c r="LM99">
        <v>1</v>
      </c>
      <c r="LN99">
        <v>0</v>
      </c>
      <c r="LO99">
        <v>1</v>
      </c>
      <c r="LP99">
        <v>0.78</v>
      </c>
      <c r="LQ99">
        <v>0</v>
      </c>
      <c r="LR99">
        <v>8.2999999999999963E-2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</row>
    <row r="100" spans="1:355" x14ac:dyDescent="0.2">
      <c r="A100" t="str">
        <v>GS Simplified</v>
      </c>
      <c r="B100" t="str">
        <v>“The Gold Standard Simplified Methodology for Efficient Cookstoves” February 2013</v>
      </c>
      <c r="C100" t="str">
        <v>GS 3018</v>
      </c>
      <c r="D100" t="str">
        <v>2nd MR 2015-2017</v>
      </c>
      <c r="E100" t="str">
        <v>Age 2-3</v>
      </c>
      <c r="F100">
        <v>27096</v>
      </c>
      <c r="G100" t="str">
        <v>firewood</v>
      </c>
      <c r="H100">
        <v>4403</v>
      </c>
      <c r="I100">
        <v>3.0986421008554169E-3</v>
      </c>
      <c r="J100">
        <v>3.1054822250656429E-3</v>
      </c>
      <c r="K100" t="str">
        <v>gs_simple_firewood</v>
      </c>
      <c r="L100">
        <v>1</v>
      </c>
      <c r="M100" t="str">
        <v>Asia</v>
      </c>
      <c r="N100" t="str">
        <v>Nepal</v>
      </c>
      <c r="O100" t="str">
        <v>districts Doti, Dadeldhura, Baitadi, Achham, Darchula, Bajhang &amp; Bajura (in color) in which ICS may be installed. </v>
      </c>
      <c r="P100">
        <v>4.3</v>
      </c>
      <c r="Q100">
        <v>0.86</v>
      </c>
      <c r="R100">
        <v>0.48699999999999999</v>
      </c>
      <c r="S100">
        <v>0.57199999999999995</v>
      </c>
      <c r="T100">
        <v>3893</v>
      </c>
      <c r="U100">
        <v>0</v>
      </c>
      <c r="V100">
        <v>365</v>
      </c>
      <c r="W100">
        <v>0</v>
      </c>
      <c r="X100">
        <v>1420945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11.043835616438354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1.5599999999999999E-2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112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29.17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5.019925280199252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0.22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1.5599999999999999E-2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112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29.17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0.28499999999999998</v>
      </c>
      <c r="LI100">
        <v>1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1</v>
      </c>
      <c r="LP100">
        <v>0.78</v>
      </c>
      <c r="LQ100">
        <v>0</v>
      </c>
      <c r="LR100">
        <v>7.5999999999999956E-2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</row>
    <row r="101" spans="1:355" x14ac:dyDescent="0.2">
      <c r="A101" t="str">
        <v>GS Simplified</v>
      </c>
      <c r="B101" t="str">
        <v>“The Gold Standard Simplified Methodology for Efficient Cookstoves” February 2013</v>
      </c>
      <c r="C101" t="str">
        <v>GS 3018</v>
      </c>
      <c r="D101" t="str">
        <v>2nd MR 2015-2017</v>
      </c>
      <c r="E101" t="str">
        <v>Age 3-4</v>
      </c>
      <c r="F101">
        <v>27096</v>
      </c>
      <c r="G101" t="str">
        <v>firewood</v>
      </c>
      <c r="H101">
        <v>3035</v>
      </c>
      <c r="I101">
        <v>1.5594652087679453E-3</v>
      </c>
      <c r="J101">
        <v>1.5594184876159701E-3</v>
      </c>
      <c r="K101" t="str">
        <v>gs_simple_firewood</v>
      </c>
      <c r="L101">
        <v>1</v>
      </c>
      <c r="M101" t="str">
        <v>Asia</v>
      </c>
      <c r="N101" t="str">
        <v>Nepal</v>
      </c>
      <c r="O101" t="str">
        <v>districts Doti, Dadeldhura, Baitadi, Achham, Darchula, Bajhang &amp; Bajura (in color) in which ICS may be installed. </v>
      </c>
      <c r="P101">
        <v>4.3</v>
      </c>
      <c r="Q101">
        <v>0.86</v>
      </c>
      <c r="R101">
        <v>0.48699999999999999</v>
      </c>
      <c r="S101">
        <v>0.57199999999999995</v>
      </c>
      <c r="T101">
        <v>5332</v>
      </c>
      <c r="U101">
        <v>0</v>
      </c>
      <c r="V101">
        <v>365</v>
      </c>
      <c r="W101">
        <v>0</v>
      </c>
      <c r="X101">
        <v>1946180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11.043835616438354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1.5599999999999999E-2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112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29.17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5.0659796405680524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0.218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1.5599999999999999E-2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112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29.17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0.14499999999999999</v>
      </c>
      <c r="LI101">
        <v>1</v>
      </c>
      <c r="LJ101">
        <v>0</v>
      </c>
      <c r="LK101">
        <v>0</v>
      </c>
      <c r="LL101">
        <v>0</v>
      </c>
      <c r="LM101">
        <v>1</v>
      </c>
      <c r="LN101">
        <v>0</v>
      </c>
      <c r="LO101">
        <v>1</v>
      </c>
      <c r="LP101">
        <v>0.78</v>
      </c>
      <c r="LQ101">
        <v>0</v>
      </c>
      <c r="LR101">
        <v>8.0999999999999961E-2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</row>
    <row r="102" spans="1:355" x14ac:dyDescent="0.2">
      <c r="A102" t="str">
        <v>GS TPDDTEC</v>
      </c>
      <c r="B102" t="str">
        <v>GS TPDDTEC v1</v>
      </c>
      <c r="C102" t="str">
        <v>GS1267</v>
      </c>
      <c r="D102" t="str">
        <v>1st</v>
      </c>
      <c r="E102">
        <v>0</v>
      </c>
      <c r="F102">
        <v>59891</v>
      </c>
      <c r="G102" t="str">
        <v>firewood</v>
      </c>
      <c r="H102">
        <v>6515</v>
      </c>
      <c r="I102">
        <v>1.9202824863752788E-2</v>
      </c>
      <c r="J102">
        <v>1.8466536989589041E-2</v>
      </c>
      <c r="K102" t="str">
        <v>gs_imp_firewood</v>
      </c>
      <c r="L102">
        <v>1</v>
      </c>
      <c r="M102" t="str">
        <v>Sub-Saharan Africa</v>
      </c>
      <c r="N102" t="str">
        <v>Rwanda</v>
      </c>
      <c r="O102" t="str">
        <v>Eastern Province- Bugesera (formerly kigali-ngali admin unit)</v>
      </c>
      <c r="P102">
        <v>4.3</v>
      </c>
      <c r="Q102">
        <v>0.98</v>
      </c>
      <c r="R102">
        <v>0.48299999999999998</v>
      </c>
      <c r="S102">
        <v>0.501</v>
      </c>
      <c r="T102">
        <v>339273</v>
      </c>
      <c r="U102">
        <v>0</v>
      </c>
      <c r="V102">
        <v>1</v>
      </c>
      <c r="W102">
        <v>0</v>
      </c>
      <c r="X102">
        <v>339273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13.615999999999998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1.4999999999999999E-2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112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8.6920000000000002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3.2227397260273971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1.4999999999999999E-2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112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8.6920000000000002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1</v>
      </c>
      <c r="LI102">
        <v>1</v>
      </c>
      <c r="LJ102">
        <v>0</v>
      </c>
      <c r="LK102">
        <v>0</v>
      </c>
      <c r="LL102">
        <v>0</v>
      </c>
      <c r="LM102">
        <v>1</v>
      </c>
      <c r="LN102">
        <v>0</v>
      </c>
      <c r="LO102">
        <v>1</v>
      </c>
      <c r="LP102">
        <v>1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</row>
    <row r="103" spans="1:355" x14ac:dyDescent="0.2">
      <c r="A103" t="str">
        <v>GS TPDDTEC</v>
      </c>
      <c r="B103" t="str">
        <v>GS TPDDTEC v1</v>
      </c>
      <c r="C103" t="str">
        <v>GS1267</v>
      </c>
      <c r="D103" t="str">
        <v>2nd</v>
      </c>
      <c r="E103">
        <v>0</v>
      </c>
      <c r="F103">
        <v>59891</v>
      </c>
      <c r="G103" t="str">
        <v>firewood</v>
      </c>
      <c r="H103">
        <v>3527</v>
      </c>
      <c r="I103">
        <v>1.8674220363212791E-2</v>
      </c>
      <c r="J103">
        <v>1.7956138680000001E-2</v>
      </c>
      <c r="K103" t="str">
        <v>gs_imp_firewood</v>
      </c>
      <c r="L103">
        <v>1</v>
      </c>
      <c r="M103" t="str">
        <v>Sub-Saharan Africa</v>
      </c>
      <c r="N103" t="str">
        <v>Rwanda</v>
      </c>
      <c r="O103" t="str">
        <v>Eastern Province- Bugesera (formerly kigali-ngali admin unit)</v>
      </c>
      <c r="P103">
        <v>4.3</v>
      </c>
      <c r="Q103">
        <v>0.98</v>
      </c>
      <c r="R103">
        <v>0.48299999999999998</v>
      </c>
      <c r="S103">
        <v>0.501</v>
      </c>
      <c r="T103">
        <v>188870</v>
      </c>
      <c r="U103">
        <v>0</v>
      </c>
      <c r="V103">
        <v>1</v>
      </c>
      <c r="W103">
        <v>0</v>
      </c>
      <c r="X103">
        <v>188870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13.615999999999998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1.4999999999999999E-2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112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8.6920000000000002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3.51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1.4999999999999999E-2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112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8.6920000000000002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1</v>
      </c>
      <c r="LI103">
        <v>1</v>
      </c>
      <c r="LJ103">
        <v>0</v>
      </c>
      <c r="LK103">
        <v>0</v>
      </c>
      <c r="LL103">
        <v>0</v>
      </c>
      <c r="LM103">
        <v>1</v>
      </c>
      <c r="LN103">
        <v>0</v>
      </c>
      <c r="LO103">
        <v>1</v>
      </c>
      <c r="LP103">
        <v>1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</row>
    <row r="104" spans="1:355" x14ac:dyDescent="0.2">
      <c r="A104" t="str">
        <v>GS TPDDTEC</v>
      </c>
      <c r="B104" t="str">
        <v>GS TPDDTEC v1</v>
      </c>
      <c r="C104" t="str">
        <v>GS1267</v>
      </c>
      <c r="D104" t="str">
        <v>3rd</v>
      </c>
      <c r="E104">
        <v>0</v>
      </c>
      <c r="F104">
        <v>59891</v>
      </c>
      <c r="G104" t="str">
        <v>firewood</v>
      </c>
      <c r="H104">
        <v>26147</v>
      </c>
      <c r="I104">
        <v>1.8397832817337461E-2</v>
      </c>
      <c r="J104">
        <v>1.7691416227799999E-2</v>
      </c>
      <c r="K104" t="str">
        <v>gs_imp_firewood</v>
      </c>
      <c r="L104">
        <v>1</v>
      </c>
      <c r="M104" t="str">
        <v>Sub-Saharan Africa</v>
      </c>
      <c r="N104" t="str">
        <v>Rwanda</v>
      </c>
      <c r="O104" t="str">
        <v>Eastern Province- Bugesera (formerly kigali-ngali admin unit)</v>
      </c>
      <c r="P104">
        <v>4.3</v>
      </c>
      <c r="Q104">
        <v>0.98</v>
      </c>
      <c r="R104">
        <v>0.48299999999999998</v>
      </c>
      <c r="S104">
        <v>0.501</v>
      </c>
      <c r="T104">
        <v>1421200</v>
      </c>
      <c r="U104">
        <v>0</v>
      </c>
      <c r="V104">
        <v>1</v>
      </c>
      <c r="W104">
        <v>0</v>
      </c>
      <c r="X104">
        <v>1421200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13.615999999999998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1.4999999999999999E-2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112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8.6920000000000002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3.3159999999999998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1.4999999999999999E-2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112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8.6920000000000002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0.9667</v>
      </c>
      <c r="LI104">
        <v>1</v>
      </c>
      <c r="LJ104">
        <v>0</v>
      </c>
      <c r="LK104">
        <v>0</v>
      </c>
      <c r="LL104">
        <v>0</v>
      </c>
      <c r="LM104">
        <v>1</v>
      </c>
      <c r="LN104">
        <v>0</v>
      </c>
      <c r="LO104">
        <v>1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</row>
    <row r="105" spans="1:355" x14ac:dyDescent="0.2">
      <c r="A105" t="str">
        <v>GS TPDDTEC</v>
      </c>
      <c r="B105" t="str">
        <v>GS TPDDTEC v1</v>
      </c>
      <c r="C105" t="str">
        <v>GS1267</v>
      </c>
      <c r="D105" t="str">
        <v>4th</v>
      </c>
      <c r="E105">
        <v>0</v>
      </c>
      <c r="F105">
        <v>59891</v>
      </c>
      <c r="G105" t="str">
        <v>firewood</v>
      </c>
      <c r="H105">
        <v>11617</v>
      </c>
      <c r="I105">
        <v>1.7129923175604935E-2</v>
      </c>
      <c r="J105">
        <v>1.64707506E-2</v>
      </c>
      <c r="K105" t="str">
        <v>gs_imp_firewood</v>
      </c>
      <c r="L105">
        <v>1</v>
      </c>
      <c r="M105" t="str">
        <v>Sub-Saharan Africa</v>
      </c>
      <c r="N105" t="str">
        <v>Rwanda</v>
      </c>
      <c r="O105" t="str">
        <v>Eastern Province- Bugesera (formerly kigali-ngali admin unit)</v>
      </c>
      <c r="P105">
        <v>4.3</v>
      </c>
      <c r="Q105">
        <v>0.98</v>
      </c>
      <c r="R105">
        <v>0.48299999999999998</v>
      </c>
      <c r="S105">
        <v>0.501</v>
      </c>
      <c r="T105">
        <v>678170</v>
      </c>
      <c r="U105">
        <v>0</v>
      </c>
      <c r="V105">
        <v>1</v>
      </c>
      <c r="W105">
        <v>0</v>
      </c>
      <c r="X105">
        <v>678170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13.615999999999998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1.4999999999999999E-2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112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8.6920000000000002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3.3159999999999998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1.4999999999999999E-2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112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8.6920000000000002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0.9</v>
      </c>
      <c r="LI105">
        <v>1</v>
      </c>
      <c r="LJ105">
        <v>0</v>
      </c>
      <c r="LK105">
        <v>0</v>
      </c>
      <c r="LL105">
        <v>0</v>
      </c>
      <c r="LM105">
        <v>1</v>
      </c>
      <c r="LN105">
        <v>0</v>
      </c>
      <c r="LO105">
        <v>1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</row>
    <row r="106" spans="1:355" x14ac:dyDescent="0.2">
      <c r="A106" t="str">
        <v>GS TPDDTEC</v>
      </c>
      <c r="B106" t="str">
        <v>GS TPDDTEC v1</v>
      </c>
      <c r="C106" t="str">
        <v>GS1267</v>
      </c>
      <c r="D106" t="str">
        <v>5th</v>
      </c>
      <c r="E106">
        <v>0</v>
      </c>
      <c r="F106">
        <v>59891</v>
      </c>
      <c r="G106" t="str">
        <v>firewood</v>
      </c>
      <c r="H106">
        <v>10996</v>
      </c>
      <c r="I106">
        <v>1.6214223572260641E-2</v>
      </c>
      <c r="J106">
        <v>1.5584848092E-2</v>
      </c>
      <c r="K106" t="str">
        <v>gs_imp_firewood</v>
      </c>
      <c r="L106">
        <v>1</v>
      </c>
      <c r="M106" t="str">
        <v>Sub-Saharan Africa</v>
      </c>
      <c r="N106" t="str">
        <v>Rwanda</v>
      </c>
      <c r="O106" t="str">
        <v>Eastern Province- Bugesera (formerly kigali-ngali admin unit)</v>
      </c>
      <c r="P106">
        <v>4.3</v>
      </c>
      <c r="Q106">
        <v>0.98</v>
      </c>
      <c r="R106">
        <v>0.48299999999999998</v>
      </c>
      <c r="S106">
        <v>0.501</v>
      </c>
      <c r="T106">
        <v>678170</v>
      </c>
      <c r="U106">
        <v>0</v>
      </c>
      <c r="V106">
        <v>1</v>
      </c>
      <c r="W106">
        <v>0</v>
      </c>
      <c r="X106">
        <v>678170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13.615999999999998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1.4999999999999999E-2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112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8.6920000000000002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3.8699999999999997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1.4999999999999999E-2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112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8.6920000000000002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0.9</v>
      </c>
      <c r="LI106">
        <v>1</v>
      </c>
      <c r="LJ106">
        <v>0</v>
      </c>
      <c r="LK106">
        <v>0</v>
      </c>
      <c r="LL106">
        <v>0</v>
      </c>
      <c r="LM106">
        <v>1</v>
      </c>
      <c r="LN106">
        <v>0</v>
      </c>
      <c r="LO106">
        <v>1</v>
      </c>
      <c r="LP106">
        <v>1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</row>
    <row r="107" spans="1:355" x14ac:dyDescent="0.2">
      <c r="A107" t="str">
        <v>GS TPDDTEC</v>
      </c>
      <c r="B107" t="str">
        <v>GS TPDDTEC v1</v>
      </c>
      <c r="C107" t="str">
        <v>GS1267</v>
      </c>
      <c r="D107" t="str">
        <v>6th</v>
      </c>
      <c r="E107">
        <v>0</v>
      </c>
      <c r="F107">
        <v>59891</v>
      </c>
      <c r="G107" t="str">
        <v>firewood</v>
      </c>
      <c r="H107">
        <v>3083</v>
      </c>
      <c r="I107">
        <v>4.5336368502473428E-3</v>
      </c>
      <c r="J107">
        <v>4.3143333849863016E-3</v>
      </c>
      <c r="K107" t="str">
        <v>gs_imp_firewood</v>
      </c>
      <c r="L107">
        <v>1</v>
      </c>
      <c r="M107" t="str">
        <v>Sub-Saharan Africa</v>
      </c>
      <c r="N107" t="str">
        <v>Rwanda</v>
      </c>
      <c r="O107" t="str">
        <v>Eastern Province- Bugesera (formerly kigali-ngali admin unit)</v>
      </c>
      <c r="P107">
        <v>4.3</v>
      </c>
      <c r="Q107">
        <v>0.98</v>
      </c>
      <c r="R107">
        <v>0.48299999999999998</v>
      </c>
      <c r="S107">
        <v>0.501</v>
      </c>
      <c r="T107">
        <v>680028</v>
      </c>
      <c r="U107">
        <v>0</v>
      </c>
      <c r="V107">
        <v>1</v>
      </c>
      <c r="W107">
        <v>0</v>
      </c>
      <c r="X107">
        <v>680028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13.620000000000001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1.4999999999999999E-2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112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8.6920000000000002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4.9479452054794519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1.4999999999999999E-2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112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8.6920000000000002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0.28000000000000003</v>
      </c>
      <c r="LI107">
        <v>1</v>
      </c>
      <c r="LJ107">
        <v>0</v>
      </c>
      <c r="LK107">
        <v>0</v>
      </c>
      <c r="LL107">
        <v>0</v>
      </c>
      <c r="LM107">
        <v>1</v>
      </c>
      <c r="LN107">
        <v>0</v>
      </c>
      <c r="LO107">
        <v>1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</row>
    <row r="108" spans="1:355" x14ac:dyDescent="0.2">
      <c r="A108" t="str">
        <v>GS TPDDTEC</v>
      </c>
      <c r="B108" t="str">
        <v>GS TPDDTEC v1</v>
      </c>
      <c r="C108" t="str">
        <v>GS2439</v>
      </c>
      <c r="D108" t="str">
        <v>1st 2012</v>
      </c>
      <c r="E108" t="str">
        <v>ecocina</v>
      </c>
      <c r="F108">
        <v>30313</v>
      </c>
      <c r="G108" t="str">
        <v>firewood</v>
      </c>
      <c r="H108">
        <v>172</v>
      </c>
      <c r="I108">
        <v>1.9232919601923294E-2</v>
      </c>
      <c r="J108">
        <v>1.8698659063391999E-2</v>
      </c>
      <c r="K108" t="str">
        <v>gs_imp_firewood</v>
      </c>
      <c r="L108">
        <v>1</v>
      </c>
      <c r="M108" t="str">
        <v>Central America</v>
      </c>
      <c r="N108" t="str">
        <v>Guatemala</v>
      </c>
      <c r="O108" t="str">
        <v>Guatemala tot</v>
      </c>
      <c r="P108">
        <v>4.8</v>
      </c>
      <c r="Q108">
        <v>0.61170000000000002</v>
      </c>
      <c r="R108">
        <v>0.28999999999999998</v>
      </c>
      <c r="S108">
        <v>0.34899999999999998</v>
      </c>
      <c r="T108">
        <v>8943</v>
      </c>
      <c r="U108">
        <v>0</v>
      </c>
      <c r="V108">
        <v>1</v>
      </c>
      <c r="W108">
        <v>0</v>
      </c>
      <c r="X108">
        <v>8943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24.119999999999997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1.4999999999999999E-2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112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8.6920000000000002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7.46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1.4999999999999999E-2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112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8.6920000000000002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0.96919999999999995</v>
      </c>
      <c r="LI108">
        <v>1</v>
      </c>
      <c r="LJ108">
        <v>0</v>
      </c>
      <c r="LK108">
        <v>0</v>
      </c>
      <c r="LL108">
        <v>0</v>
      </c>
      <c r="LM108">
        <v>1</v>
      </c>
      <c r="LN108">
        <v>0</v>
      </c>
      <c r="LO108">
        <v>1</v>
      </c>
      <c r="LP108">
        <v>1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</row>
    <row r="109" spans="1:355" x14ac:dyDescent="0.2">
      <c r="A109" t="str">
        <v>GS TPDDTEC</v>
      </c>
      <c r="B109" t="str">
        <v>GS TPDDTEC v1</v>
      </c>
      <c r="C109" t="str">
        <v>GS2439</v>
      </c>
      <c r="D109" t="str">
        <v>1st 2013</v>
      </c>
      <c r="E109" t="str">
        <v>ecocina</v>
      </c>
      <c r="F109">
        <v>30313</v>
      </c>
      <c r="G109" t="str">
        <v>firewood</v>
      </c>
      <c r="H109">
        <v>4754</v>
      </c>
      <c r="I109">
        <v>1.9372295254317405E-2</v>
      </c>
      <c r="J109">
        <v>1.8876889141651199E-2</v>
      </c>
      <c r="K109" t="str">
        <v>gs_imp_firewood</v>
      </c>
      <c r="L109">
        <v>1</v>
      </c>
      <c r="M109" t="str">
        <v>Central America</v>
      </c>
      <c r="N109" t="str">
        <v>Guatemala</v>
      </c>
      <c r="O109" t="str">
        <v>Guatemala tot</v>
      </c>
      <c r="P109">
        <v>4.8</v>
      </c>
      <c r="Q109">
        <v>0.61170000000000002</v>
      </c>
      <c r="R109">
        <v>0.28999999999999998</v>
      </c>
      <c r="S109">
        <v>0.34899999999999998</v>
      </c>
      <c r="T109">
        <v>245402</v>
      </c>
      <c r="U109">
        <v>0</v>
      </c>
      <c r="V109">
        <v>1</v>
      </c>
      <c r="W109">
        <v>0</v>
      </c>
      <c r="X109">
        <v>245402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24.119999999999997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1.4999999999999999E-2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112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8.6920000000000002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7.3220000000000001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1.4999999999999999E-2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112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8.6920000000000002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0.97040000000000004</v>
      </c>
      <c r="LI109">
        <v>1</v>
      </c>
      <c r="LJ109">
        <v>0</v>
      </c>
      <c r="LK109">
        <v>0</v>
      </c>
      <c r="LL109">
        <v>0</v>
      </c>
      <c r="LM109">
        <v>1</v>
      </c>
      <c r="LN109">
        <v>0</v>
      </c>
      <c r="LO109">
        <v>1</v>
      </c>
      <c r="LP109">
        <v>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</row>
    <row r="110" spans="1:355" x14ac:dyDescent="0.2">
      <c r="A110" t="str">
        <v>GS TPDDTEC</v>
      </c>
      <c r="B110" t="str">
        <v>GS TPDDTEC v1</v>
      </c>
      <c r="C110" t="str">
        <v>GS2439</v>
      </c>
      <c r="D110" t="str">
        <v>1st 2014</v>
      </c>
      <c r="E110" t="str">
        <v>ecocina</v>
      </c>
      <c r="F110">
        <v>30313</v>
      </c>
      <c r="G110" t="str">
        <v>firewood</v>
      </c>
      <c r="H110">
        <v>8973</v>
      </c>
      <c r="I110">
        <v>1.9821467623610808E-2</v>
      </c>
      <c r="J110">
        <v>1.9178405816935199E-2</v>
      </c>
      <c r="K110" t="str">
        <v>gs_imp_firewood</v>
      </c>
      <c r="L110">
        <v>1</v>
      </c>
      <c r="M110" t="str">
        <v>Central America</v>
      </c>
      <c r="N110" t="str">
        <v>Guatemala</v>
      </c>
      <c r="O110" t="str">
        <v>Guatemala tot</v>
      </c>
      <c r="P110">
        <v>4.8</v>
      </c>
      <c r="Q110">
        <v>0.61170000000000002</v>
      </c>
      <c r="R110">
        <v>0.28999999999999998</v>
      </c>
      <c r="S110">
        <v>0.34899999999999998</v>
      </c>
      <c r="T110">
        <v>452691</v>
      </c>
      <c r="U110">
        <v>0</v>
      </c>
      <c r="V110">
        <v>1</v>
      </c>
      <c r="W110">
        <v>0</v>
      </c>
      <c r="X110">
        <v>452691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24.119999999999997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1.4999999999999999E-2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112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8.6920000000000002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7.3220000000000001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1.4999999999999999E-2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112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8.6920000000000002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0.9859</v>
      </c>
      <c r="LI110">
        <v>1</v>
      </c>
      <c r="LJ110">
        <v>0</v>
      </c>
      <c r="LK110">
        <v>0</v>
      </c>
      <c r="LL110">
        <v>0</v>
      </c>
      <c r="LM110">
        <v>1</v>
      </c>
      <c r="LN110">
        <v>0</v>
      </c>
      <c r="LO110">
        <v>1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</row>
    <row r="111" spans="1:355" x14ac:dyDescent="0.2">
      <c r="A111" t="str">
        <v>GS TPDDTEC</v>
      </c>
      <c r="B111" t="str">
        <v>GS TPDDTEC v1</v>
      </c>
      <c r="C111" t="str">
        <v>GS2439</v>
      </c>
      <c r="D111" t="str">
        <v>1st 2012</v>
      </c>
      <c r="E111" t="str">
        <v>ecoplancha</v>
      </c>
      <c r="F111">
        <v>30313</v>
      </c>
      <c r="G111" t="str">
        <v>firewood</v>
      </c>
      <c r="H111">
        <v>1443</v>
      </c>
      <c r="I111">
        <v>1.8721781099174842E-2</v>
      </c>
      <c r="J111">
        <v>1.782363512823102E-2</v>
      </c>
      <c r="K111" t="str">
        <v>gs_imp_firewood</v>
      </c>
      <c r="L111">
        <v>1</v>
      </c>
      <c r="M111" t="str">
        <v>Central America</v>
      </c>
      <c r="N111" t="str">
        <v>Guatemala</v>
      </c>
      <c r="O111" t="str">
        <v>Guatemala tot</v>
      </c>
      <c r="P111">
        <v>4.8</v>
      </c>
      <c r="Q111">
        <v>0.61170000000000002</v>
      </c>
      <c r="R111">
        <v>0.28999999999999998</v>
      </c>
      <c r="S111">
        <v>0.34899999999999998</v>
      </c>
      <c r="T111">
        <v>77076</v>
      </c>
      <c r="U111">
        <v>0</v>
      </c>
      <c r="V111">
        <v>1</v>
      </c>
      <c r="W111">
        <v>0</v>
      </c>
      <c r="X111">
        <v>77076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24.119999999999997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1.4999999999999999E-2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112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8.6920000000000002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6.569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1.4999999999999999E-2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112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8.6920000000000002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0.87694499999999997</v>
      </c>
      <c r="LI111">
        <v>1</v>
      </c>
      <c r="LJ111">
        <v>0</v>
      </c>
      <c r="LK111">
        <v>0</v>
      </c>
      <c r="LL111">
        <v>0</v>
      </c>
      <c r="LM111">
        <v>1</v>
      </c>
      <c r="LN111">
        <v>0</v>
      </c>
      <c r="LO111">
        <v>1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</row>
    <row r="112" spans="1:355" x14ac:dyDescent="0.2">
      <c r="A112" t="str">
        <v>GS TPDDTEC</v>
      </c>
      <c r="B112" t="str">
        <v>GS TPDDTEC v1</v>
      </c>
      <c r="C112" t="str">
        <v>GS2439</v>
      </c>
      <c r="D112" t="str">
        <v>1st 2013</v>
      </c>
      <c r="E112" t="str">
        <v>ecoplancha</v>
      </c>
      <c r="F112">
        <v>30313</v>
      </c>
      <c r="G112" t="str">
        <v>firewood</v>
      </c>
      <c r="H112">
        <v>4775</v>
      </c>
      <c r="I112">
        <v>1.9135362149251819E-2</v>
      </c>
      <c r="J112">
        <v>1.8399332714768939E-2</v>
      </c>
      <c r="K112" t="str">
        <v>gs_imp_firewood</v>
      </c>
      <c r="L112">
        <v>1</v>
      </c>
      <c r="M112" t="str">
        <v>Central America</v>
      </c>
      <c r="N112" t="str">
        <v>Guatemala</v>
      </c>
      <c r="O112" t="str">
        <v>Guatemala tot</v>
      </c>
      <c r="P112">
        <v>4.8</v>
      </c>
      <c r="Q112">
        <v>0.61170000000000002</v>
      </c>
      <c r="R112">
        <v>0.28999999999999998</v>
      </c>
      <c r="S112">
        <v>0.34899999999999998</v>
      </c>
      <c r="T112">
        <v>249538</v>
      </c>
      <c r="U112">
        <v>0</v>
      </c>
      <c r="V112">
        <v>1</v>
      </c>
      <c r="W112">
        <v>0</v>
      </c>
      <c r="X112">
        <v>249538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24.119999999999997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1.4999999999999999E-2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112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8.6920000000000002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6.3070000000000004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1.4999999999999999E-2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112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8.6920000000000002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0.89195499999999994</v>
      </c>
      <c r="LI112">
        <v>1</v>
      </c>
      <c r="LJ112">
        <v>0</v>
      </c>
      <c r="LK112">
        <v>0</v>
      </c>
      <c r="LL112">
        <v>0</v>
      </c>
      <c r="LM112">
        <v>1</v>
      </c>
      <c r="LN112">
        <v>0</v>
      </c>
      <c r="LO112">
        <v>1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</row>
    <row r="113" spans="1:355" x14ac:dyDescent="0.2">
      <c r="A113" t="str">
        <v>GS TPDDTEC</v>
      </c>
      <c r="B113" t="str">
        <v>GS TPDDTEC v1</v>
      </c>
      <c r="C113" t="str">
        <v>GS2439</v>
      </c>
      <c r="D113" t="str">
        <v>1st 2014</v>
      </c>
      <c r="E113" t="str">
        <v>ecoplancha</v>
      </c>
      <c r="F113">
        <v>30313</v>
      </c>
      <c r="G113" t="str">
        <v>firewood</v>
      </c>
      <c r="H113">
        <v>10196</v>
      </c>
      <c r="I113">
        <v>1.8944876652056047E-2</v>
      </c>
      <c r="J113">
        <v>1.804238306222352E-2</v>
      </c>
      <c r="K113" t="str">
        <v>gs_imp_firewood</v>
      </c>
      <c r="L113">
        <v>1</v>
      </c>
      <c r="M113" t="str">
        <v>Central America</v>
      </c>
      <c r="N113" t="str">
        <v>Guatemala</v>
      </c>
      <c r="O113" t="str">
        <v>Guatemala tot</v>
      </c>
      <c r="P113">
        <v>4.8</v>
      </c>
      <c r="Q113">
        <v>0.61170000000000002</v>
      </c>
      <c r="R113">
        <v>0.28999999999999998</v>
      </c>
      <c r="S113">
        <v>0.34899999999999998</v>
      </c>
      <c r="T113">
        <v>538193</v>
      </c>
      <c r="U113">
        <v>0</v>
      </c>
      <c r="V113">
        <v>1</v>
      </c>
      <c r="W113">
        <v>0</v>
      </c>
      <c r="X113">
        <v>538193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24.119999999999997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1.4999999999999999E-2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112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8.6920000000000002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6.7910000000000004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1.4999999999999999E-2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112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8.6920000000000002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0.89907999999999999</v>
      </c>
      <c r="LI113">
        <v>1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1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</row>
    <row r="114" spans="1:355" x14ac:dyDescent="0.2">
      <c r="A114" t="str">
        <v>GS TPDDTEC</v>
      </c>
      <c r="B114" t="str">
        <v>GS TPDDTEC v1</v>
      </c>
      <c r="C114" t="str">
        <v>GS2445</v>
      </c>
      <c r="D114" t="str">
        <v>per stove per day in 1st MR</v>
      </c>
      <c r="E114">
        <v>0</v>
      </c>
      <c r="F114">
        <v>250634</v>
      </c>
      <c r="G114" t="str">
        <v>firewood</v>
      </c>
      <c r="H114">
        <v>7.79143537187112E-3</v>
      </c>
      <c r="I114">
        <v>7.79143537187112E-3</v>
      </c>
      <c r="J114">
        <v>7.7669147255395024E-3</v>
      </c>
      <c r="K114" t="str">
        <v>gs_imp_firewood</v>
      </c>
      <c r="L114">
        <v>1</v>
      </c>
      <c r="M114" t="str">
        <v>Sub-Saharan Africa</v>
      </c>
      <c r="N114" t="str">
        <v>Malawi</v>
      </c>
      <c r="O114" t="str">
        <v>Malawi tot</v>
      </c>
      <c r="P114">
        <v>4.5</v>
      </c>
      <c r="Q114">
        <v>0.81</v>
      </c>
      <c r="R114">
        <v>0.312</v>
      </c>
      <c r="S114">
        <v>0.41399999999999998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14.161643835616436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1.4999999999999999E-2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112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34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5.772602739726028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1.4999999999999999E-2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112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34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1</v>
      </c>
      <c r="LI114">
        <v>0.63349999999999995</v>
      </c>
      <c r="LJ114">
        <v>0</v>
      </c>
      <c r="LK114">
        <v>0</v>
      </c>
      <c r="LL114">
        <v>1</v>
      </c>
      <c r="LM114">
        <v>0.78120000000000001</v>
      </c>
      <c r="LN114">
        <v>0</v>
      </c>
      <c r="LO114">
        <v>1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</row>
    <row r="115" spans="1:355" x14ac:dyDescent="0.2">
      <c r="A115" t="str">
        <v>CDM AMS I E</v>
      </c>
      <c r="B115" t="str">
        <v>AMS-I.E, version 10</v>
      </c>
      <c r="C115" t="str">
        <v>GS7578</v>
      </c>
      <c r="D115" t="str">
        <v>PDD</v>
      </c>
      <c r="E115">
        <v>0</v>
      </c>
      <c r="F115">
        <v>356309</v>
      </c>
      <c r="G115" t="str">
        <v>switch</v>
      </c>
      <c r="H115">
        <v>96658</v>
      </c>
      <c r="I115">
        <v>1.0384958366908408E-2</v>
      </c>
      <c r="J115">
        <v>9.9783231780821904E-3</v>
      </c>
      <c r="K115" t="str">
        <v>ethanol</v>
      </c>
      <c r="L115">
        <v>1</v>
      </c>
      <c r="M115" t="str">
        <v>Sub-Saharan Africa</v>
      </c>
      <c r="N115" t="str">
        <v>Mozambique</v>
      </c>
      <c r="O115" t="str">
        <v>Maputo &amp; Matola</v>
      </c>
      <c r="P115">
        <v>4.4000000000000004</v>
      </c>
      <c r="Q115">
        <v>0.86</v>
      </c>
      <c r="R115">
        <v>1.2E-2</v>
      </c>
      <c r="S115">
        <v>0.23799999999999999</v>
      </c>
      <c r="T115">
        <v>25500</v>
      </c>
      <c r="U115">
        <v>0</v>
      </c>
      <c r="V115">
        <v>365</v>
      </c>
      <c r="W115">
        <v>0</v>
      </c>
      <c r="X115">
        <v>9307500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11.123287671232875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1.4999999999999999E-2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73.2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0.5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1</v>
      </c>
      <c r="LI115">
        <v>1</v>
      </c>
      <c r="LJ115">
        <v>0</v>
      </c>
      <c r="LK115">
        <v>0</v>
      </c>
      <c r="LL115">
        <v>1</v>
      </c>
      <c r="LM115">
        <v>0.95</v>
      </c>
      <c r="LN115">
        <v>0</v>
      </c>
      <c r="LO115">
        <v>1</v>
      </c>
      <c r="LP115">
        <v>0.78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</row>
    <row r="116" spans="1:355" x14ac:dyDescent="0.2">
      <c r="A116" t="str">
        <v>CDM AMS I E</v>
      </c>
      <c r="B116" t="str">
        <v>AMS-I.E, version 5</v>
      </c>
      <c r="C116" t="str">
        <v>GS2513</v>
      </c>
      <c r="D116" t="str">
        <v>PDD</v>
      </c>
      <c r="E116">
        <v>0</v>
      </c>
      <c r="F116">
        <v>174984</v>
      </c>
      <c r="G116" t="str">
        <v>switch</v>
      </c>
      <c r="H116">
        <v>6.75</v>
      </c>
      <c r="I116">
        <v>1.8493150684931507E-2</v>
      </c>
      <c r="J116">
        <v>1.7788482542465751E-2</v>
      </c>
      <c r="K116" t="str">
        <v>ethanol</v>
      </c>
      <c r="L116">
        <v>1</v>
      </c>
      <c r="M116" t="str">
        <v>Sub-Saharan Africa</v>
      </c>
      <c r="N116" t="str">
        <v>Mozambique</v>
      </c>
      <c r="O116" t="str">
        <v>Maputo Province and Maputo City Province</v>
      </c>
      <c r="P116">
        <v>4.4000000000000004</v>
      </c>
      <c r="Q116">
        <v>0.91</v>
      </c>
      <c r="R116">
        <v>1.2E-2</v>
      </c>
      <c r="S116">
        <v>0.23799999999999999</v>
      </c>
      <c r="T116">
        <v>1</v>
      </c>
      <c r="U116">
        <v>0</v>
      </c>
      <c r="V116">
        <v>365</v>
      </c>
      <c r="W116">
        <v>0</v>
      </c>
      <c r="X116">
        <v>365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16.81095890410959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1.4999999999999999E-2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81.599999999999994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0.48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1</v>
      </c>
      <c r="LI116">
        <v>1</v>
      </c>
      <c r="LJ116">
        <v>0</v>
      </c>
      <c r="LK116">
        <v>0</v>
      </c>
      <c r="LL116">
        <v>1</v>
      </c>
      <c r="LM116">
        <v>0.95</v>
      </c>
      <c r="LN116">
        <v>0</v>
      </c>
      <c r="LO116">
        <v>1</v>
      </c>
      <c r="LP116">
        <v>0.78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</row>
    <row r="117" spans="1:355" x14ac:dyDescent="0.2">
      <c r="A117" t="str">
        <v>CDM AMS I E</v>
      </c>
      <c r="B117" t="str">
        <v>AMS-I.E, version 6</v>
      </c>
      <c r="C117" t="str">
        <v>GS4677</v>
      </c>
      <c r="D117" t="str">
        <v>PDD</v>
      </c>
      <c r="E117">
        <v>0</v>
      </c>
      <c r="F117">
        <v>73181</v>
      </c>
      <c r="G117" t="str">
        <v>switch</v>
      </c>
      <c r="H117">
        <v>4.2</v>
      </c>
      <c r="I117">
        <v>1.1506849315068493E-2</v>
      </c>
      <c r="J117">
        <v>1.150961740273972E-2</v>
      </c>
      <c r="K117" t="str">
        <v>ethanol</v>
      </c>
      <c r="L117">
        <v>1</v>
      </c>
      <c r="M117" t="str">
        <v>Sub-Saharan Africa</v>
      </c>
      <c r="N117" t="str">
        <v>Ethiopia</v>
      </c>
      <c r="O117" t="str">
        <v>Ethiopia tot</v>
      </c>
      <c r="P117">
        <v>4.5999999999999996</v>
      </c>
      <c r="Q117">
        <v>0.88</v>
      </c>
      <c r="R117">
        <v>0.46100000000000002</v>
      </c>
      <c r="S117">
        <v>0.61599999999999999</v>
      </c>
      <c r="T117">
        <v>1</v>
      </c>
      <c r="U117">
        <v>0</v>
      </c>
      <c r="V117">
        <v>365</v>
      </c>
      <c r="W117">
        <v>0</v>
      </c>
      <c r="X117">
        <v>365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13.232876712328768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1.4999999999999999E-2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81.599999999999994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0.6098881987577639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1</v>
      </c>
      <c r="LI117">
        <v>0.85</v>
      </c>
      <c r="LJ117">
        <v>0</v>
      </c>
      <c r="LK117">
        <v>0</v>
      </c>
      <c r="LL117">
        <v>1</v>
      </c>
      <c r="LM117">
        <v>0.95</v>
      </c>
      <c r="LN117">
        <v>0</v>
      </c>
      <c r="LO117">
        <v>1</v>
      </c>
      <c r="LP117">
        <v>0.78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</row>
    <row r="118" spans="1:355" x14ac:dyDescent="0.2">
      <c r="A118" t="str">
        <v>GS TPDDTEC</v>
      </c>
      <c r="B118" t="str">
        <v>GS TPDDTEC v1</v>
      </c>
      <c r="C118" t="str">
        <v>GS2441</v>
      </c>
      <c r="D118" t="str">
        <v>1st</v>
      </c>
      <c r="E118" t="str">
        <v>Ecocina 2013</v>
      </c>
      <c r="F118">
        <v>172720</v>
      </c>
      <c r="G118" t="str">
        <v>firewood</v>
      </c>
      <c r="H118">
        <v>314</v>
      </c>
      <c r="I118">
        <v>8.5598233514161872E-3</v>
      </c>
      <c r="J118">
        <v>8.2618230048191691E-3</v>
      </c>
      <c r="K118" t="str">
        <v>gs_imp_firewood</v>
      </c>
      <c r="L118">
        <v>1</v>
      </c>
      <c r="M118" t="str">
        <v>Central America</v>
      </c>
      <c r="N118" t="str">
        <v>Mexico</v>
      </c>
      <c r="O118" t="str">
        <v>Jalisco, Mexico, San Luis Potosi, Veracruz, Sonora, Michoacan, Oaxaca, and Guanajuato</v>
      </c>
      <c r="P118">
        <v>3.7</v>
      </c>
      <c r="Q118">
        <v>0.86670000000000003</v>
      </c>
      <c r="R118">
        <v>2.9714285714285714E-2</v>
      </c>
      <c r="S118">
        <v>0.27742857142857141</v>
      </c>
      <c r="T118">
        <v>36683</v>
      </c>
      <c r="U118">
        <v>0</v>
      </c>
      <c r="V118">
        <v>1</v>
      </c>
      <c r="W118">
        <v>0</v>
      </c>
      <c r="X118">
        <v>36683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12.91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1.5599999999999999E-2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112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8.6920000000000002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5.8599999999999994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1.5599999999999999E-2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112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8.6920000000000002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0.71965665000000001</v>
      </c>
      <c r="LI118">
        <v>1</v>
      </c>
      <c r="LJ118">
        <v>0</v>
      </c>
      <c r="LK118">
        <v>0</v>
      </c>
      <c r="LL118">
        <v>0</v>
      </c>
      <c r="LM118">
        <v>1</v>
      </c>
      <c r="LN118">
        <v>4</v>
      </c>
      <c r="LO118">
        <v>1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</row>
    <row r="119" spans="1:355" x14ac:dyDescent="0.2">
      <c r="A119" t="str">
        <v>GS TPDDTEC</v>
      </c>
      <c r="B119" t="str">
        <v>GS TPDDTEC v1</v>
      </c>
      <c r="C119" t="str">
        <v>GS2441</v>
      </c>
      <c r="D119" t="str">
        <v>1st</v>
      </c>
      <c r="E119" t="str">
        <v>Ecocina 2014</v>
      </c>
      <c r="F119">
        <v>172720</v>
      </c>
      <c r="G119" t="str">
        <v>firewood</v>
      </c>
      <c r="H119">
        <v>578</v>
      </c>
      <c r="I119">
        <v>8.9047743764347001E-3</v>
      </c>
      <c r="J119">
        <v>8.940486187391454E-3</v>
      </c>
      <c r="K119" t="str">
        <v>gs_imp_firewood</v>
      </c>
      <c r="L119">
        <v>1</v>
      </c>
      <c r="M119" t="str">
        <v>Central America</v>
      </c>
      <c r="N119" t="str">
        <v>Mexico</v>
      </c>
      <c r="O119" t="str">
        <v>Jalisco, Mexico, San Luis Potosi, Veracruz, Sonora, Michoacan, Oaxaca, and Guanajuato</v>
      </c>
      <c r="P119">
        <v>3.7</v>
      </c>
      <c r="Q119">
        <v>0.86670000000000003</v>
      </c>
      <c r="R119">
        <v>2.9714285714285714E-2</v>
      </c>
      <c r="S119">
        <v>0.27742857142857141</v>
      </c>
      <c r="T119">
        <v>64909</v>
      </c>
      <c r="U119">
        <v>0</v>
      </c>
      <c r="V119">
        <v>1</v>
      </c>
      <c r="W119">
        <v>0</v>
      </c>
      <c r="X119">
        <v>64909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12.91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1.5599999999999999E-2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112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8.6920000000000002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5.8599999999999994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1.5599999999999999E-2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112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8.6920000000000002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0.77392584000000009</v>
      </c>
      <c r="LI119">
        <v>1</v>
      </c>
      <c r="LJ119">
        <v>0</v>
      </c>
      <c r="LK119">
        <v>0</v>
      </c>
      <c r="LL119">
        <v>0</v>
      </c>
      <c r="LM119">
        <v>1</v>
      </c>
      <c r="LN119">
        <v>4</v>
      </c>
      <c r="LO119">
        <v>1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</row>
    <row r="120" spans="1:355" x14ac:dyDescent="0.2">
      <c r="A120" t="str">
        <v>GS TPDDTEC</v>
      </c>
      <c r="B120" t="str">
        <v>GS TPDDTEC v1</v>
      </c>
      <c r="C120" t="str">
        <v>GS2441</v>
      </c>
      <c r="D120" t="str">
        <v>1st</v>
      </c>
      <c r="E120" t="str">
        <v>Plancha 2011</v>
      </c>
      <c r="F120">
        <v>172720</v>
      </c>
      <c r="G120" t="str">
        <v>firewood</v>
      </c>
      <c r="H120">
        <v>30</v>
      </c>
      <c r="I120">
        <v>1.0471204188481676E-2</v>
      </c>
      <c r="J120">
        <v>1.0625313753599999E-2</v>
      </c>
      <c r="K120" t="str">
        <v>gs_imp_firewood</v>
      </c>
      <c r="L120">
        <v>1</v>
      </c>
      <c r="M120" t="str">
        <v>Central America</v>
      </c>
      <c r="N120" t="str">
        <v>Mexico</v>
      </c>
      <c r="O120" t="str">
        <v>Jalisco, Mexico, San Luis Potosi, Veracruz, Sonora, Michoacan, Oaxaca, and Guanajuato</v>
      </c>
      <c r="P120">
        <v>3.7</v>
      </c>
      <c r="Q120">
        <v>0.86670000000000003</v>
      </c>
      <c r="R120">
        <v>2.9714285714285714E-2</v>
      </c>
      <c r="S120">
        <v>0.27742857142857141</v>
      </c>
      <c r="T120">
        <v>2865</v>
      </c>
      <c r="U120">
        <v>0</v>
      </c>
      <c r="V120">
        <v>1</v>
      </c>
      <c r="W120">
        <v>0</v>
      </c>
      <c r="X120">
        <v>2865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15.98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1.5599999999999999E-2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112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8.6920000000000002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9.5399999999999991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1.5599999999999999E-2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112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8.6920000000000002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1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1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</row>
    <row r="121" spans="1:355" x14ac:dyDescent="0.2">
      <c r="A121" t="str">
        <v>GS TPDDTEC</v>
      </c>
      <c r="B121" t="str">
        <v>GS TPDDTEC v1</v>
      </c>
      <c r="C121" t="str">
        <v>GS2441</v>
      </c>
      <c r="D121" t="str">
        <v>1st</v>
      </c>
      <c r="E121" t="str">
        <v>Plancha 2012</v>
      </c>
      <c r="F121">
        <v>172720</v>
      </c>
      <c r="G121" t="str">
        <v>firewood</v>
      </c>
      <c r="H121">
        <v>2456</v>
      </c>
      <c r="I121">
        <v>1.0227367369034729E-2</v>
      </c>
      <c r="J121">
        <v>1.060831325159424E-2</v>
      </c>
      <c r="K121" t="str">
        <v>gs_imp_firewood</v>
      </c>
      <c r="L121">
        <v>1</v>
      </c>
      <c r="M121" t="str">
        <v>Central America</v>
      </c>
      <c r="N121" t="str">
        <v>Mexico</v>
      </c>
      <c r="O121" t="str">
        <v>Jalisco, Mexico, San Luis Potosi, Veracruz, Sonora, Michoacan, Oaxaca, and Guanajuato</v>
      </c>
      <c r="P121">
        <v>3.7</v>
      </c>
      <c r="Q121">
        <v>0.86670000000000003</v>
      </c>
      <c r="R121">
        <v>2.9714285714285714E-2</v>
      </c>
      <c r="S121">
        <v>0.27742857142857141</v>
      </c>
      <c r="T121">
        <v>240140</v>
      </c>
      <c r="U121">
        <v>0</v>
      </c>
      <c r="V121">
        <v>1</v>
      </c>
      <c r="W121">
        <v>0</v>
      </c>
      <c r="X121">
        <v>240140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15.98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1.5599999999999999E-2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112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8.6920000000000002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9.5399999999999991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1.5599999999999999E-2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112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8.6920000000000002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0.99839999999999995</v>
      </c>
      <c r="LI121">
        <v>1</v>
      </c>
      <c r="LJ121">
        <v>0</v>
      </c>
      <c r="LK121">
        <v>0</v>
      </c>
      <c r="LL121">
        <v>0</v>
      </c>
      <c r="LM121">
        <v>1</v>
      </c>
      <c r="LN121">
        <v>0</v>
      </c>
      <c r="LO121">
        <v>1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</row>
    <row r="122" spans="1:355" x14ac:dyDescent="0.2">
      <c r="A122" t="str">
        <v>GS TPDDTEC</v>
      </c>
      <c r="B122" t="str">
        <v>GS TPDDTEC v1</v>
      </c>
      <c r="C122" t="str">
        <v>GS2441</v>
      </c>
      <c r="D122" t="str">
        <v>1st</v>
      </c>
      <c r="E122" t="str">
        <v>ONIL 2011</v>
      </c>
      <c r="F122">
        <v>172720</v>
      </c>
      <c r="G122" t="str">
        <v>firewood</v>
      </c>
      <c r="H122">
        <v>51</v>
      </c>
      <c r="I122">
        <v>1.3484928609201481E-2</v>
      </c>
      <c r="J122">
        <v>1.3320630823880641E-2</v>
      </c>
      <c r="K122" t="str">
        <v>gs_imp_firewood</v>
      </c>
      <c r="L122">
        <v>1</v>
      </c>
      <c r="M122" t="str">
        <v>Central America</v>
      </c>
      <c r="N122" t="str">
        <v>Mexico</v>
      </c>
      <c r="O122" t="str">
        <v>Jalisco, Mexico, San Luis Potosi, Veracruz, Sonora, Michoacan, Oaxaca, and Guanajuato</v>
      </c>
      <c r="P122">
        <v>3.7</v>
      </c>
      <c r="Q122">
        <v>0.86670000000000003</v>
      </c>
      <c r="R122">
        <v>2.9714285714285714E-2</v>
      </c>
      <c r="S122">
        <v>0.27742857142857141</v>
      </c>
      <c r="T122">
        <v>3782</v>
      </c>
      <c r="U122">
        <v>0</v>
      </c>
      <c r="V122">
        <v>1</v>
      </c>
      <c r="W122">
        <v>0</v>
      </c>
      <c r="X122">
        <v>3782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15.85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1.5599999999999999E-2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112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8.6920000000000002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7.56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1.5599999999999999E-2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112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8.6920000000000002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0.97389999999999999</v>
      </c>
      <c r="LI122">
        <v>1</v>
      </c>
      <c r="LJ122">
        <v>0</v>
      </c>
      <c r="LK122">
        <v>0</v>
      </c>
      <c r="LL122">
        <v>0</v>
      </c>
      <c r="LM122">
        <v>1</v>
      </c>
      <c r="LN122">
        <v>0</v>
      </c>
      <c r="LO122">
        <v>1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</row>
    <row r="123" spans="1:355" x14ac:dyDescent="0.2">
      <c r="A123" t="str">
        <v>GS TPDDTEC</v>
      </c>
      <c r="B123" t="str">
        <v>GS TPDDTEC v1</v>
      </c>
      <c r="C123" t="str">
        <v>GS2441</v>
      </c>
      <c r="D123" t="str">
        <v>1st</v>
      </c>
      <c r="E123" t="str">
        <v>ONIL 2012</v>
      </c>
      <c r="F123">
        <v>172720</v>
      </c>
      <c r="G123" t="str">
        <v>firewood</v>
      </c>
      <c r="H123">
        <v>3564</v>
      </c>
      <c r="I123">
        <v>1.3691578373145451E-2</v>
      </c>
      <c r="J123">
        <v>1.3320630823880641E-2</v>
      </c>
      <c r="K123" t="str">
        <v>gs_imp_firewood</v>
      </c>
      <c r="L123">
        <v>1</v>
      </c>
      <c r="M123" t="str">
        <v>Central America</v>
      </c>
      <c r="N123" t="str">
        <v>Mexico</v>
      </c>
      <c r="O123" t="str">
        <v>Jalisco, Mexico, San Luis Potosi, Veracruz, Sonora, Michoacan, Oaxaca, and Guanajuato</v>
      </c>
      <c r="P123">
        <v>3.7</v>
      </c>
      <c r="Q123">
        <v>0.86670000000000003</v>
      </c>
      <c r="R123">
        <v>2.9714285714285714E-2</v>
      </c>
      <c r="S123">
        <v>0.27742857142857141</v>
      </c>
      <c r="T123">
        <v>260306</v>
      </c>
      <c r="U123">
        <v>0</v>
      </c>
      <c r="V123">
        <v>1</v>
      </c>
      <c r="W123">
        <v>0</v>
      </c>
      <c r="X123">
        <v>260306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15.85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1.5599999999999999E-2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112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8.6920000000000002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7.56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1.5599999999999999E-2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112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8.6920000000000002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0.97389999999999999</v>
      </c>
      <c r="LI123">
        <v>1</v>
      </c>
      <c r="LJ123">
        <v>0</v>
      </c>
      <c r="LK123">
        <v>0</v>
      </c>
      <c r="LL123">
        <v>0</v>
      </c>
      <c r="LM123">
        <v>1</v>
      </c>
      <c r="LN123">
        <v>0</v>
      </c>
      <c r="LO123">
        <v>1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</row>
    <row r="124" spans="1:355" x14ac:dyDescent="0.2">
      <c r="A124" t="str">
        <v>GS TPDDTEC</v>
      </c>
      <c r="B124" t="str">
        <v>GS TPDDTEC v1</v>
      </c>
      <c r="C124" t="str">
        <v>GS2441</v>
      </c>
      <c r="D124" t="str">
        <v>1st</v>
      </c>
      <c r="E124" t="str">
        <v>ONIL 2013</v>
      </c>
      <c r="F124">
        <v>172720</v>
      </c>
      <c r="G124" t="str">
        <v>firewood</v>
      </c>
      <c r="H124">
        <v>3823</v>
      </c>
      <c r="I124">
        <v>1.3382433761678563E-2</v>
      </c>
      <c r="J124">
        <v>1.3320630823880641E-2</v>
      </c>
      <c r="K124" t="str">
        <v>gs_imp_firewood</v>
      </c>
      <c r="L124">
        <v>1</v>
      </c>
      <c r="M124" t="str">
        <v>Central America</v>
      </c>
      <c r="N124" t="str">
        <v>Mexico</v>
      </c>
      <c r="O124" t="str">
        <v>Jalisco, Mexico, San Luis Potosi, Veracruz, Sonora, Michoacan, Oaxaca, and Guanajuato</v>
      </c>
      <c r="P124">
        <v>3.7</v>
      </c>
      <c r="Q124">
        <v>0.86670000000000003</v>
      </c>
      <c r="R124">
        <v>2.9714285714285714E-2</v>
      </c>
      <c r="S124">
        <v>0.27742857142857141</v>
      </c>
      <c r="T124">
        <v>285673</v>
      </c>
      <c r="U124">
        <v>0</v>
      </c>
      <c r="V124">
        <v>1</v>
      </c>
      <c r="W124">
        <v>0</v>
      </c>
      <c r="X124">
        <v>285673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15.85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1.5599999999999999E-2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112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8.6920000000000002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7.56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1.5599999999999999E-2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112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8.6920000000000002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0.97389999999999999</v>
      </c>
      <c r="LI124">
        <v>1</v>
      </c>
      <c r="LJ124">
        <v>0</v>
      </c>
      <c r="LK124">
        <v>0</v>
      </c>
      <c r="LL124">
        <v>0</v>
      </c>
      <c r="LM124">
        <v>1</v>
      </c>
      <c r="LN124">
        <v>0</v>
      </c>
      <c r="LO124">
        <v>1</v>
      </c>
      <c r="LP124">
        <v>1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</row>
    <row r="125" spans="1:355" x14ac:dyDescent="0.2">
      <c r="A125" t="str">
        <v>GS TPDDTEC</v>
      </c>
      <c r="B125" t="str">
        <v>GS TPDDTEC v1</v>
      </c>
      <c r="C125" t="str">
        <v>GS2441</v>
      </c>
      <c r="D125" t="str">
        <v>1st</v>
      </c>
      <c r="E125" t="str">
        <v>ONIL 2013</v>
      </c>
      <c r="F125">
        <v>172720</v>
      </c>
      <c r="G125" t="str">
        <v>firewood</v>
      </c>
      <c r="H125">
        <v>3729</v>
      </c>
      <c r="I125">
        <v>1.3302654109589042E-2</v>
      </c>
      <c r="J125">
        <v>1.3320630823880641E-2</v>
      </c>
      <c r="K125" t="str">
        <v>gs_imp_firewood</v>
      </c>
      <c r="L125">
        <v>1</v>
      </c>
      <c r="M125" t="str">
        <v>Central America</v>
      </c>
      <c r="N125" t="str">
        <v>Mexico</v>
      </c>
      <c r="O125" t="str">
        <v>Jalisco, Mexico, San Luis Potosi, Veracruz, Sonora, Michoacan, Oaxaca, and Guanajuato</v>
      </c>
      <c r="P125">
        <v>3.7</v>
      </c>
      <c r="Q125">
        <v>0.86670000000000003</v>
      </c>
      <c r="R125">
        <v>2.9714285714285714E-2</v>
      </c>
      <c r="S125">
        <v>0.27742857142857141</v>
      </c>
      <c r="T125">
        <v>280320</v>
      </c>
      <c r="U125">
        <v>0</v>
      </c>
      <c r="V125">
        <v>1</v>
      </c>
      <c r="W125">
        <v>0</v>
      </c>
      <c r="X125">
        <v>280320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15.85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1.5599999999999999E-2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112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8.6920000000000002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7.56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1.5599999999999999E-2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112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8.6920000000000002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0.97389999999999999</v>
      </c>
      <c r="LI125">
        <v>1</v>
      </c>
      <c r="LJ125">
        <v>0</v>
      </c>
      <c r="LK125">
        <v>0</v>
      </c>
      <c r="LL125">
        <v>0</v>
      </c>
      <c r="LM125">
        <v>1</v>
      </c>
      <c r="LN125">
        <v>0</v>
      </c>
      <c r="LO125">
        <v>1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</row>
    <row r="126" spans="1:355" x14ac:dyDescent="0.2">
      <c r="A126" t="str">
        <v>GS TPDDTEC</v>
      </c>
      <c r="B126" t="str">
        <v>GS TPDDTEC v 2.</v>
      </c>
      <c r="C126" t="str">
        <v>GS5003</v>
      </c>
      <c r="D126" t="str">
        <v>1st</v>
      </c>
      <c r="E126" t="str">
        <v>SGF</v>
      </c>
      <c r="F126">
        <v>165127</v>
      </c>
      <c r="G126" t="str">
        <v>biomass</v>
      </c>
      <c r="H126">
        <v>6.82</v>
      </c>
      <c r="I126">
        <v>1.8684931506849314E-2</v>
      </c>
      <c r="J126">
        <v>1.8925925391359989E-2</v>
      </c>
      <c r="K126" t="str">
        <v>gs_imp_charcoal</v>
      </c>
      <c r="L126">
        <v>1</v>
      </c>
      <c r="M126" t="str">
        <v>Sub-Saharan Africa</v>
      </c>
      <c r="N126" t="str">
        <v>Malawi</v>
      </c>
      <c r="O126" t="str">
        <v>Malawi tot</v>
      </c>
      <c r="P126">
        <v>3.7</v>
      </c>
      <c r="Q126">
        <v>0.92700000000000005</v>
      </c>
      <c r="R126">
        <v>0.313</v>
      </c>
      <c r="S126">
        <v>0.41399999999999998</v>
      </c>
      <c r="T126">
        <v>1</v>
      </c>
      <c r="U126">
        <v>0</v>
      </c>
      <c r="V126">
        <v>365</v>
      </c>
      <c r="W126">
        <v>0</v>
      </c>
      <c r="X126">
        <v>365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1.1000000000000001</v>
      </c>
      <c r="AN126">
        <v>3.63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1.5599999999999999E-2</v>
      </c>
      <c r="BR126">
        <v>1.5599999999999999E-2</v>
      </c>
      <c r="BS126">
        <v>0</v>
      </c>
      <c r="BT126">
        <v>0</v>
      </c>
      <c r="BU126">
        <v>0</v>
      </c>
      <c r="BV126">
        <v>0</v>
      </c>
      <c r="BW126">
        <v>112</v>
      </c>
      <c r="BX126">
        <v>672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33.951999999999998</v>
      </c>
      <c r="CE126">
        <v>203.71199999999999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1.6E-2</v>
      </c>
      <c r="FY126">
        <v>2.1800000000000002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1.5599999999999999E-2</v>
      </c>
      <c r="HI126">
        <v>1.5599999999999999E-2</v>
      </c>
      <c r="HJ126">
        <v>0</v>
      </c>
      <c r="HK126">
        <v>0</v>
      </c>
      <c r="HL126">
        <v>0</v>
      </c>
      <c r="HM126">
        <v>0</v>
      </c>
      <c r="HN126">
        <v>112</v>
      </c>
      <c r="HO126">
        <v>672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33.951999999999998</v>
      </c>
      <c r="HV126">
        <v>203.71199999999999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0.9</v>
      </c>
      <c r="LI126">
        <v>1</v>
      </c>
      <c r="LJ126">
        <v>0</v>
      </c>
      <c r="LK126">
        <v>0</v>
      </c>
      <c r="LL126">
        <v>0</v>
      </c>
      <c r="LM126">
        <v>1</v>
      </c>
      <c r="LN126">
        <v>0</v>
      </c>
      <c r="LO126">
        <v>1</v>
      </c>
      <c r="LP126">
        <v>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</row>
    <row r="127" spans="1:355" x14ac:dyDescent="0.2">
      <c r="A127" t="str">
        <v>GS TPDDTEC</v>
      </c>
      <c r="B127" t="str">
        <v>GS TPDDTEC v 2.</v>
      </c>
      <c r="C127" t="str">
        <v>GS5003</v>
      </c>
      <c r="D127" t="str">
        <v>1st</v>
      </c>
      <c r="E127" t="str">
        <v>GF</v>
      </c>
      <c r="F127">
        <v>165127</v>
      </c>
      <c r="G127" t="str">
        <v>biomass</v>
      </c>
      <c r="H127">
        <v>4.29</v>
      </c>
      <c r="I127">
        <v>1.1753424657534246E-2</v>
      </c>
      <c r="J127">
        <v>1.1761000243200001E-2</v>
      </c>
      <c r="K127" t="str">
        <v>gs_imp_charcoal</v>
      </c>
      <c r="L127">
        <v>1</v>
      </c>
      <c r="M127" t="str">
        <v>Sub-Saharan Africa</v>
      </c>
      <c r="N127" t="str">
        <v>Malawi</v>
      </c>
      <c r="O127" t="str">
        <v>Malawi tot</v>
      </c>
      <c r="P127">
        <v>3.7</v>
      </c>
      <c r="Q127">
        <v>0.92700000000000005</v>
      </c>
      <c r="R127">
        <v>0.313</v>
      </c>
      <c r="S127">
        <v>0.41399999999999998</v>
      </c>
      <c r="T127">
        <v>1</v>
      </c>
      <c r="U127">
        <v>0</v>
      </c>
      <c r="V127">
        <v>365</v>
      </c>
      <c r="W127">
        <v>0</v>
      </c>
      <c r="X127">
        <v>365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1.1000000000000001</v>
      </c>
      <c r="AN127">
        <v>3.63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1.5599999999999999E-2</v>
      </c>
      <c r="BR127">
        <v>1.5599999999999999E-2</v>
      </c>
      <c r="BS127">
        <v>0</v>
      </c>
      <c r="BT127">
        <v>0</v>
      </c>
      <c r="BU127">
        <v>0</v>
      </c>
      <c r="BV127">
        <v>0</v>
      </c>
      <c r="BW127">
        <v>112</v>
      </c>
      <c r="BX127">
        <v>672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33.951999999999998</v>
      </c>
      <c r="CE127">
        <v>203.71199999999999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0.54</v>
      </c>
      <c r="FY127">
        <v>2.71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1.5599999999999999E-2</v>
      </c>
      <c r="HI127">
        <v>1.5599999999999999E-2</v>
      </c>
      <c r="HJ127">
        <v>0</v>
      </c>
      <c r="HK127">
        <v>0</v>
      </c>
      <c r="HL127">
        <v>0</v>
      </c>
      <c r="HM127">
        <v>0</v>
      </c>
      <c r="HN127">
        <v>112</v>
      </c>
      <c r="HO127">
        <v>672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33.951999999999998</v>
      </c>
      <c r="HV127">
        <v>203.71199999999999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0.9</v>
      </c>
      <c r="LI127">
        <v>1</v>
      </c>
      <c r="LJ127">
        <v>0</v>
      </c>
      <c r="LK127">
        <v>0</v>
      </c>
      <c r="LL127">
        <v>0</v>
      </c>
      <c r="LM127">
        <v>1</v>
      </c>
      <c r="LN127">
        <v>0</v>
      </c>
      <c r="LO127">
        <v>1</v>
      </c>
      <c r="LP127">
        <v>1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</row>
    <row r="128" spans="1:355" x14ac:dyDescent="0.2">
      <c r="A128" t="str">
        <v>GS TPDDTEC</v>
      </c>
      <c r="B128" t="str">
        <v>GS TPDDTEC v 2.</v>
      </c>
      <c r="C128" t="str">
        <v>GS5003</v>
      </c>
      <c r="D128" t="str">
        <v>1st</v>
      </c>
      <c r="E128" t="str">
        <v>GF</v>
      </c>
      <c r="F128">
        <v>165127</v>
      </c>
      <c r="G128" t="str">
        <v>biomass</v>
      </c>
      <c r="H128">
        <v>3.22</v>
      </c>
      <c r="I128">
        <v>8.8219178082191794E-3</v>
      </c>
      <c r="J128">
        <v>8.7820626816000058E-3</v>
      </c>
      <c r="K128" t="str">
        <v>gs_imp_charcoal</v>
      </c>
      <c r="L128">
        <v>1</v>
      </c>
      <c r="M128" t="str">
        <v>Sub-Saharan Africa</v>
      </c>
      <c r="N128" t="str">
        <v>Malawi</v>
      </c>
      <c r="O128" t="str">
        <v>Malawi tot</v>
      </c>
      <c r="P128">
        <v>3.7</v>
      </c>
      <c r="Q128">
        <v>0.92700000000000005</v>
      </c>
      <c r="R128">
        <v>0.313</v>
      </c>
      <c r="S128">
        <v>0.41399999999999998</v>
      </c>
      <c r="T128">
        <v>1</v>
      </c>
      <c r="U128">
        <v>0</v>
      </c>
      <c r="V128">
        <v>365</v>
      </c>
      <c r="W128">
        <v>0</v>
      </c>
      <c r="X128">
        <v>365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1.1000000000000001</v>
      </c>
      <c r="AN128">
        <v>3.63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1.5599999999999999E-2</v>
      </c>
      <c r="BR128">
        <v>1.5599999999999999E-2</v>
      </c>
      <c r="BS128">
        <v>0</v>
      </c>
      <c r="BT128">
        <v>0</v>
      </c>
      <c r="BU128">
        <v>0</v>
      </c>
      <c r="BV128">
        <v>0</v>
      </c>
      <c r="BW128">
        <v>112</v>
      </c>
      <c r="BX128">
        <v>672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33.951999999999998</v>
      </c>
      <c r="CE128">
        <v>203.71199999999999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0.57999999999999996</v>
      </c>
      <c r="FY128">
        <v>2.96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1.5599999999999999E-2</v>
      </c>
      <c r="HI128">
        <v>1.5599999999999999E-2</v>
      </c>
      <c r="HJ128">
        <v>0</v>
      </c>
      <c r="HK128">
        <v>0</v>
      </c>
      <c r="HL128">
        <v>0</v>
      </c>
      <c r="HM128">
        <v>0</v>
      </c>
      <c r="HN128">
        <v>112</v>
      </c>
      <c r="HO128">
        <v>672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33.951999999999998</v>
      </c>
      <c r="HV128">
        <v>203.71199999999999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0.9</v>
      </c>
      <c r="LI128">
        <v>1</v>
      </c>
      <c r="LJ128">
        <v>0</v>
      </c>
      <c r="LK128">
        <v>0</v>
      </c>
      <c r="LL128">
        <v>0</v>
      </c>
      <c r="LM128">
        <v>1</v>
      </c>
      <c r="LN128">
        <v>0</v>
      </c>
      <c r="LO128">
        <v>1</v>
      </c>
      <c r="LP128">
        <v>1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</row>
    <row r="129" spans="1:355" x14ac:dyDescent="0.2">
      <c r="A129" t="str">
        <v>GS Simplified</v>
      </c>
      <c r="B129" t="str">
        <v>The Gold Standard Simplified Methodology for Efficient Cookstoves, Version 01, </v>
      </c>
      <c r="C129" t="str">
        <v>GS6129</v>
      </c>
      <c r="D129" t="str">
        <v>1st</v>
      </c>
      <c r="E129">
        <v>0</v>
      </c>
      <c r="F129">
        <v>25186</v>
      </c>
      <c r="G129" t="str">
        <v>firewood</v>
      </c>
      <c r="H129">
        <v>9090</v>
      </c>
      <c r="I129">
        <v>1.3936267257437658E-2</v>
      </c>
      <c r="J129">
        <v>1.341216902866277E-2</v>
      </c>
      <c r="K129" t="str">
        <v>gs_simple_firewood</v>
      </c>
      <c r="L129">
        <v>1</v>
      </c>
      <c r="M129" t="str">
        <v>Asia</v>
      </c>
      <c r="N129" t="str">
        <v>Myanmar</v>
      </c>
      <c r="O129" t="str">
        <v>Mandalay Region </v>
      </c>
      <c r="P129">
        <v>4.2</v>
      </c>
      <c r="Q129">
        <v>0.95</v>
      </c>
      <c r="R129">
        <v>5.1999999999999998E-2</v>
      </c>
      <c r="S129">
        <v>5.8000000000000003E-2</v>
      </c>
      <c r="T129">
        <v>1787</v>
      </c>
      <c r="U129">
        <v>0</v>
      </c>
      <c r="V129">
        <v>365</v>
      </c>
      <c r="W129">
        <v>0</v>
      </c>
      <c r="X129">
        <v>652255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11.561643835616438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0.1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1.4999999999999999E-2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116.46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30.33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3.8928093726027404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0.29699999999999999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1.5599999999999999E-2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116.47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30.33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0.97</v>
      </c>
      <c r="LI129">
        <v>1</v>
      </c>
      <c r="LJ129">
        <v>0</v>
      </c>
      <c r="LK129">
        <v>0</v>
      </c>
      <c r="LL129">
        <v>1</v>
      </c>
      <c r="LM129">
        <v>0.95</v>
      </c>
      <c r="LN129">
        <v>0</v>
      </c>
      <c r="LO129">
        <v>1</v>
      </c>
      <c r="LP129">
        <v>0.78</v>
      </c>
      <c r="LQ129">
        <v>0</v>
      </c>
      <c r="LR129">
        <v>8.3799999999999986E-2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</row>
    <row r="130" spans="1:355" x14ac:dyDescent="0.2">
      <c r="A130" t="str">
        <v>GS Simplified</v>
      </c>
      <c r="B130" t="str">
        <v>The Gold Standard Simplified Methodology for Efficient Cookstoves, Version 01, </v>
      </c>
      <c r="C130" t="str">
        <v>GS6129</v>
      </c>
      <c r="D130" t="str">
        <v>2nd</v>
      </c>
      <c r="E130">
        <v>0</v>
      </c>
      <c r="F130">
        <v>25186</v>
      </c>
      <c r="G130" t="str">
        <v>firewood</v>
      </c>
      <c r="H130">
        <v>7997</v>
      </c>
      <c r="I130">
        <v>1.2570045347731434E-2</v>
      </c>
      <c r="J130">
        <v>1.193985377155574E-2</v>
      </c>
      <c r="K130" t="str">
        <v>gs_simple_firewood</v>
      </c>
      <c r="L130">
        <v>1</v>
      </c>
      <c r="M130" t="str">
        <v>Asia</v>
      </c>
      <c r="N130" t="str">
        <v>Myanmar</v>
      </c>
      <c r="O130" t="str">
        <v>Mandalay Region </v>
      </c>
      <c r="P130">
        <v>4.2</v>
      </c>
      <c r="Q130">
        <v>0.95</v>
      </c>
      <c r="R130">
        <v>5.1999999999999998E-2</v>
      </c>
      <c r="S130">
        <v>5.8000000000000003E-2</v>
      </c>
      <c r="T130">
        <v>1743</v>
      </c>
      <c r="U130">
        <v>0</v>
      </c>
      <c r="V130">
        <v>365</v>
      </c>
      <c r="W130">
        <v>0</v>
      </c>
      <c r="X130">
        <v>636195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11.561643835616438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1.4999999999999999E-2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112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29.166666666666668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4.2313145342465752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0.27323999999999998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1.5599999999999999E-2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112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29.166699999999999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0.98099999999999998</v>
      </c>
      <c r="LI130">
        <v>1</v>
      </c>
      <c r="LJ130">
        <v>0</v>
      </c>
      <c r="LK130">
        <v>0</v>
      </c>
      <c r="LL130">
        <v>1</v>
      </c>
      <c r="LM130">
        <v>0.95</v>
      </c>
      <c r="LN130">
        <v>0</v>
      </c>
      <c r="LO130">
        <v>1</v>
      </c>
      <c r="LP130">
        <v>0.78</v>
      </c>
      <c r="LQ130">
        <v>0</v>
      </c>
      <c r="LR130">
        <v>0.12019999999999997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</row>
    <row r="131" spans="1:355" x14ac:dyDescent="0.2">
      <c r="A131" t="str">
        <v>GS Simplified</v>
      </c>
      <c r="B131" t="str">
        <v>The Gold Standard Simplified Methodology for Efficient Cookstoves, Version 01, </v>
      </c>
      <c r="C131" t="str">
        <v>GS6129</v>
      </c>
      <c r="D131" t="str">
        <v>3rd</v>
      </c>
      <c r="E131">
        <v>0</v>
      </c>
      <c r="F131">
        <v>25186</v>
      </c>
      <c r="G131" t="str">
        <v>firewood</v>
      </c>
      <c r="H131">
        <v>8099</v>
      </c>
      <c r="I131">
        <v>1.2730373548990483E-2</v>
      </c>
      <c r="J131">
        <v>1.2088982281493811E-2</v>
      </c>
      <c r="K131" t="str">
        <v>gs_simple_firewood</v>
      </c>
      <c r="L131">
        <v>1</v>
      </c>
      <c r="M131" t="str">
        <v>Asia</v>
      </c>
      <c r="N131" t="str">
        <v>Myanmar</v>
      </c>
      <c r="O131" t="str">
        <v>Mandalay Region </v>
      </c>
      <c r="P131">
        <v>4.2</v>
      </c>
      <c r="Q131">
        <v>0.95</v>
      </c>
      <c r="R131">
        <v>5.1999999999999998E-2</v>
      </c>
      <c r="S131">
        <v>5.8000000000000003E-2</v>
      </c>
      <c r="T131">
        <v>1743</v>
      </c>
      <c r="U131">
        <v>0</v>
      </c>
      <c r="V131">
        <v>365</v>
      </c>
      <c r="W131">
        <v>0</v>
      </c>
      <c r="X131">
        <v>636195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11.561643835616438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1.4999999999999999E-2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112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29.166666666666668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4.2328767123287667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0.27323999999999998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1.5599999999999999E-2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112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29.166699999999999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0.99099999999999999</v>
      </c>
      <c r="LI131">
        <v>1</v>
      </c>
      <c r="LJ131">
        <v>0</v>
      </c>
      <c r="LK131">
        <v>0</v>
      </c>
      <c r="LL131">
        <v>1</v>
      </c>
      <c r="LM131">
        <v>0.95</v>
      </c>
      <c r="LN131">
        <v>0</v>
      </c>
      <c r="LO131">
        <v>1</v>
      </c>
      <c r="LP131">
        <v>0.78</v>
      </c>
      <c r="LQ131">
        <v>0</v>
      </c>
      <c r="LR131">
        <v>0.11799999999999999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</row>
    <row r="132" spans="1:355" x14ac:dyDescent="0.2">
      <c r="A132" t="str">
        <v>GS TPDDTEC</v>
      </c>
      <c r="B132" t="str">
        <v>GS TPDDTEC v 2.</v>
      </c>
      <c r="C132" t="str">
        <v>GS407</v>
      </c>
      <c r="D132">
        <v>2018</v>
      </c>
      <c r="E132" t="str">
        <v>small domestic</v>
      </c>
      <c r="F132">
        <v>5156577</v>
      </c>
      <c r="G132" t="str">
        <v>charcoal</v>
      </c>
      <c r="H132">
        <v>86526.4423982343</v>
      </c>
      <c r="I132">
        <v>3.0722611979696005E-3</v>
      </c>
      <c r="J132">
        <v>3.088207866743999E-3</v>
      </c>
      <c r="K132" t="str">
        <v>gs_imp_charcoal</v>
      </c>
      <c r="L132">
        <v>1</v>
      </c>
      <c r="M132" t="str">
        <v>Sub-Saharan Africa</v>
      </c>
      <c r="N132" t="str">
        <v>Ghana</v>
      </c>
      <c r="O132" t="str">
        <v>Ghana tot</v>
      </c>
      <c r="P132">
        <v>4.5</v>
      </c>
      <c r="Q132">
        <v>0.99</v>
      </c>
      <c r="R132">
        <v>0.187</v>
      </c>
      <c r="S132">
        <v>0.29399999999999998</v>
      </c>
      <c r="T132">
        <v>77161</v>
      </c>
      <c r="U132">
        <v>0</v>
      </c>
      <c r="V132">
        <v>365</v>
      </c>
      <c r="W132">
        <v>0</v>
      </c>
      <c r="X132">
        <v>28163765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2.8959999999999999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2.9499999999999998E-2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1.7629999999999999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2.9499999999999998E-2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112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0.83330000000000004</v>
      </c>
      <c r="LI132">
        <v>1</v>
      </c>
      <c r="LJ132">
        <v>0</v>
      </c>
      <c r="LK132">
        <v>0</v>
      </c>
      <c r="LL132">
        <v>0</v>
      </c>
      <c r="LM132">
        <v>1</v>
      </c>
      <c r="LN132">
        <v>0</v>
      </c>
      <c r="LO132">
        <v>1</v>
      </c>
      <c r="LP132">
        <v>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</row>
    <row r="133" spans="1:355" x14ac:dyDescent="0.2">
      <c r="A133" t="str">
        <v>GS TPDDTEC</v>
      </c>
      <c r="B133" t="str">
        <v>GS TPDDTEC v 2.</v>
      </c>
      <c r="C133" t="str">
        <v>GS407</v>
      </c>
      <c r="D133">
        <v>2018</v>
      </c>
      <c r="E133" t="str">
        <v>medium domestic</v>
      </c>
      <c r="F133">
        <v>5156577</v>
      </c>
      <c r="G133" t="str">
        <v>charcoal</v>
      </c>
      <c r="H133">
        <v>777114.07745355717</v>
      </c>
      <c r="I133">
        <v>3.6555493321984004E-3</v>
      </c>
      <c r="J133">
        <v>3.6629492296319992E-3</v>
      </c>
      <c r="K133" t="str">
        <v>gs_imp_charcoal</v>
      </c>
      <c r="L133">
        <v>1</v>
      </c>
      <c r="M133" t="str">
        <v>Sub-Saharan Africa</v>
      </c>
      <c r="N133" t="str">
        <v>Ghana</v>
      </c>
      <c r="O133" t="str">
        <v>Ghana tot</v>
      </c>
      <c r="P133">
        <v>4.5</v>
      </c>
      <c r="Q133">
        <v>0.99</v>
      </c>
      <c r="R133">
        <v>0.187</v>
      </c>
      <c r="S133">
        <v>0.29399999999999998</v>
      </c>
      <c r="T133">
        <v>582424</v>
      </c>
      <c r="U133">
        <v>0</v>
      </c>
      <c r="V133">
        <v>365</v>
      </c>
      <c r="W133">
        <v>0</v>
      </c>
      <c r="X133">
        <v>212584760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3.25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2.9499999999999998E-2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1.9259999999999999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2.9499999999999998E-2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112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0.8458</v>
      </c>
      <c r="LI133">
        <v>1</v>
      </c>
      <c r="LJ133">
        <v>0</v>
      </c>
      <c r="LK133">
        <v>0</v>
      </c>
      <c r="LL133">
        <v>0</v>
      </c>
      <c r="LM133">
        <v>1</v>
      </c>
      <c r="LN133">
        <v>0</v>
      </c>
      <c r="LO133">
        <v>1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</row>
    <row r="134" spans="1:355" x14ac:dyDescent="0.2">
      <c r="A134" t="str">
        <v>GS TPDDTEC</v>
      </c>
      <c r="B134" t="str">
        <v>GS TPDDTEC v 2.</v>
      </c>
      <c r="C134" t="str">
        <v>GS407</v>
      </c>
      <c r="D134">
        <v>2018</v>
      </c>
      <c r="E134" t="str">
        <v>commercial</v>
      </c>
      <c r="F134">
        <v>5156577</v>
      </c>
      <c r="G134" t="str">
        <v>charcoal</v>
      </c>
      <c r="H134">
        <v>107848.52984676926</v>
      </c>
      <c r="I134">
        <v>5.508387692953599E-3</v>
      </c>
      <c r="J134">
        <v>5.5195382753279974E-3</v>
      </c>
      <c r="K134" t="str">
        <v>gs_imp_charcoal</v>
      </c>
      <c r="L134">
        <v>1</v>
      </c>
      <c r="M134" t="str">
        <v>Sub-Saharan Africa</v>
      </c>
      <c r="N134" t="str">
        <v>Ghana</v>
      </c>
      <c r="O134" t="str">
        <v>Ghana tot</v>
      </c>
      <c r="P134">
        <v>4.5</v>
      </c>
      <c r="Q134">
        <v>0.99</v>
      </c>
      <c r="R134">
        <v>0.187</v>
      </c>
      <c r="S134">
        <v>0.29399999999999998</v>
      </c>
      <c r="T134">
        <v>53641</v>
      </c>
      <c r="U134">
        <v>0</v>
      </c>
      <c r="V134">
        <v>365</v>
      </c>
      <c r="W134">
        <v>0</v>
      </c>
      <c r="X134">
        <v>19578965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7.42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2.9499999999999998E-2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5.3840000000000003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2.9499999999999998E-2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112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0.82879999999999998</v>
      </c>
      <c r="LI134">
        <v>1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1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</row>
    <row r="135" spans="1:355" x14ac:dyDescent="0.2">
      <c r="A135" t="str">
        <v>GS TPDDTEC</v>
      </c>
      <c r="B135" t="str">
        <v>GS TPDDTEC v 2.</v>
      </c>
      <c r="C135" t="str">
        <v>GS407</v>
      </c>
      <c r="D135">
        <v>2018</v>
      </c>
      <c r="E135" t="str">
        <v>commercial</v>
      </c>
      <c r="F135">
        <v>5156577</v>
      </c>
      <c r="G135" t="str">
        <v>charcoal</v>
      </c>
      <c r="H135">
        <v>30269.031463946947</v>
      </c>
      <c r="I135">
        <v>1.4748151044972799E-2</v>
      </c>
      <c r="J135">
        <v>1.4778005601744011E-2</v>
      </c>
      <c r="K135" t="str">
        <v>gs_imp_charcoal</v>
      </c>
      <c r="L135">
        <v>1</v>
      </c>
      <c r="M135" t="str">
        <v>Sub-Saharan Africa</v>
      </c>
      <c r="N135" t="str">
        <v>Ghana</v>
      </c>
      <c r="O135" t="str">
        <v>Ghana tot</v>
      </c>
      <c r="P135">
        <v>4.5</v>
      </c>
      <c r="Q135">
        <v>0.99</v>
      </c>
      <c r="R135">
        <v>0.187</v>
      </c>
      <c r="S135">
        <v>0.29399999999999998</v>
      </c>
      <c r="T135">
        <v>5623</v>
      </c>
      <c r="U135">
        <v>0</v>
      </c>
      <c r="V135">
        <v>365</v>
      </c>
      <c r="W135">
        <v>0</v>
      </c>
      <c r="X135">
        <v>2052395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17.86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2.9499999999999998E-2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12.196999999999999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2.9499999999999998E-2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112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0.79779999999999995</v>
      </c>
      <c r="LI135">
        <v>1</v>
      </c>
      <c r="LJ135">
        <v>0</v>
      </c>
      <c r="LK135">
        <v>0</v>
      </c>
      <c r="LL135">
        <v>0</v>
      </c>
      <c r="LM135">
        <v>1</v>
      </c>
      <c r="LN135">
        <v>0</v>
      </c>
      <c r="LO135">
        <v>1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</row>
    <row r="136" spans="1:355" x14ac:dyDescent="0.2">
      <c r="A136" t="str">
        <v>GS Metered</v>
      </c>
      <c r="B136" t="str">
        <v>Gold Standard “Methodology for metered &amp; measured energy cooking devices”1, version 1.0 </v>
      </c>
      <c r="C136" t="str">
        <v>GS11509</v>
      </c>
      <c r="D136" t="str">
        <v>PDD</v>
      </c>
      <c r="E136">
        <v>0</v>
      </c>
      <c r="F136">
        <v>8952</v>
      </c>
      <c r="G136" t="str">
        <v>switch</v>
      </c>
      <c r="H136">
        <v>4.74</v>
      </c>
      <c r="I136">
        <v>1.2986301369863014E-2</v>
      </c>
      <c r="J136">
        <v>1.3004999999999999E-2</v>
      </c>
      <c r="K136" t="str">
        <v>pellets</v>
      </c>
      <c r="L136">
        <v>1</v>
      </c>
      <c r="M136" t="str">
        <v>Sub-Saharan Africa</v>
      </c>
      <c r="N136" t="str">
        <v>Zambia</v>
      </c>
      <c r="O136" t="str">
        <v>Lusaka</v>
      </c>
      <c r="P136">
        <v>5.0999999999999996</v>
      </c>
      <c r="Q136">
        <v>1</v>
      </c>
      <c r="R136">
        <v>0.17799999999999999</v>
      </c>
      <c r="S136">
        <v>0.38</v>
      </c>
      <c r="T136">
        <v>1</v>
      </c>
      <c r="U136">
        <v>0</v>
      </c>
      <c r="V136">
        <v>365</v>
      </c>
      <c r="W136">
        <v>0</v>
      </c>
      <c r="X136">
        <v>365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2.1917808219178081</v>
      </c>
      <c r="AO136">
        <v>0</v>
      </c>
      <c r="AP136">
        <v>0.13698630136986301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1.7000000000000001E-2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1.1999999999999997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1.7000000000000001E-2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1</v>
      </c>
      <c r="LI136">
        <v>1</v>
      </c>
      <c r="LJ136">
        <v>0</v>
      </c>
      <c r="LK136">
        <v>0</v>
      </c>
      <c r="LL136">
        <v>0</v>
      </c>
      <c r="LM136">
        <v>1</v>
      </c>
      <c r="LN136">
        <v>0</v>
      </c>
      <c r="LO136">
        <v>1</v>
      </c>
      <c r="LP136">
        <v>0.78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</row>
    <row r="137" spans="1:355" x14ac:dyDescent="0.2">
      <c r="A137" t="str">
        <v>GS Metered</v>
      </c>
      <c r="B137" t="str">
        <v>Gold Standard “Methodology for metered &amp; measured energy cooking devices”1, version 1.0 </v>
      </c>
      <c r="C137" t="str">
        <v>GS11352</v>
      </c>
      <c r="D137" t="str">
        <v>PDD</v>
      </c>
      <c r="E137">
        <v>0</v>
      </c>
      <c r="F137">
        <v>4348</v>
      </c>
      <c r="G137" t="str">
        <v>switch</v>
      </c>
      <c r="H137">
        <v>3.4</v>
      </c>
      <c r="I137">
        <v>9.3150684931506845E-3</v>
      </c>
      <c r="J137">
        <v>9.3581506849315065E-3</v>
      </c>
      <c r="K137" t="str">
        <v>pellets</v>
      </c>
      <c r="L137">
        <v>1</v>
      </c>
      <c r="M137" t="str">
        <v>Sub-Saharan Africa</v>
      </c>
      <c r="N137" t="str">
        <v>Kenya</v>
      </c>
      <c r="O137" t="str">
        <v>Nairobi</v>
      </c>
      <c r="P137">
        <v>3.6</v>
      </c>
      <c r="Q137">
        <v>1</v>
      </c>
      <c r="R137">
        <v>3.6999999999999998E-2</v>
      </c>
      <c r="S137">
        <v>0.22700000000000001</v>
      </c>
      <c r="T137">
        <v>1</v>
      </c>
      <c r="U137">
        <v>0</v>
      </c>
      <c r="V137">
        <v>365</v>
      </c>
      <c r="W137">
        <v>0</v>
      </c>
      <c r="X137">
        <v>365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1.095890410958904</v>
      </c>
      <c r="AO137">
        <v>0</v>
      </c>
      <c r="AP137">
        <v>0.27397260273972601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1.7000000000000001E-2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0.84705882352941164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1</v>
      </c>
      <c r="LI137">
        <v>1</v>
      </c>
      <c r="LJ137">
        <v>0</v>
      </c>
      <c r="LK137">
        <v>0</v>
      </c>
      <c r="LL137">
        <v>1</v>
      </c>
      <c r="LM137">
        <v>0.95</v>
      </c>
      <c r="LN137">
        <v>0</v>
      </c>
      <c r="LO137">
        <v>1</v>
      </c>
      <c r="LP137">
        <v>0.78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</row>
    <row r="138" spans="1:355" x14ac:dyDescent="0.2">
      <c r="A138" t="str">
        <v>GS Metered</v>
      </c>
      <c r="B138" t="str">
        <v>Gold Standard “Methodology for metered &amp; measured energy cooking devices”1, version 1.0 </v>
      </c>
      <c r="C138" t="str">
        <v>GS11507</v>
      </c>
      <c r="D138" t="str">
        <v>PDD</v>
      </c>
      <c r="E138">
        <v>0</v>
      </c>
      <c r="F138">
        <v>9642</v>
      </c>
      <c r="G138" t="str">
        <v>switch</v>
      </c>
      <c r="H138">
        <v>4.0199999999999996</v>
      </c>
      <c r="I138">
        <v>1.1013698630136985E-2</v>
      </c>
      <c r="J138">
        <v>1.1241098630136989E-2</v>
      </c>
      <c r="K138" t="str">
        <v>pellets</v>
      </c>
      <c r="L138">
        <v>1</v>
      </c>
      <c r="M138" t="str">
        <v>Sub-Saharan Africa</v>
      </c>
      <c r="N138" t="str">
        <v>Rwanda</v>
      </c>
      <c r="O138" t="str">
        <v>Kigali</v>
      </c>
      <c r="P138">
        <v>4.3</v>
      </c>
      <c r="Q138">
        <v>1</v>
      </c>
      <c r="R138">
        <v>0.48299999999999998</v>
      </c>
      <c r="S138">
        <v>0.501</v>
      </c>
      <c r="T138">
        <v>1</v>
      </c>
      <c r="U138">
        <v>0</v>
      </c>
      <c r="V138">
        <v>365</v>
      </c>
      <c r="W138">
        <v>0</v>
      </c>
      <c r="X138">
        <v>365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0.57534246575342463</v>
      </c>
      <c r="AN138">
        <v>1.452054794520548</v>
      </c>
      <c r="AO138">
        <v>0</v>
      </c>
      <c r="AP138">
        <v>0.19753424657534244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1.7000000000000001E-2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0.82191780821917804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1.7000000000000001E-2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1</v>
      </c>
      <c r="LJ138">
        <v>0</v>
      </c>
      <c r="LK138">
        <v>0</v>
      </c>
      <c r="LL138">
        <v>0</v>
      </c>
      <c r="LM138">
        <v>1</v>
      </c>
      <c r="LN138">
        <v>0</v>
      </c>
      <c r="LO138">
        <v>1</v>
      </c>
      <c r="LP138">
        <v>0.78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</row>
    <row r="139" spans="1:355" x14ac:dyDescent="0.2">
      <c r="A139" t="str">
        <v>GS TPDDTEC</v>
      </c>
      <c r="B139" t="str">
        <v>GS TPDDTEC v 2.</v>
      </c>
      <c r="C139" t="str">
        <v>GS1146</v>
      </c>
      <c r="D139" t="str">
        <v>MP4</v>
      </c>
      <c r="E139" t="str">
        <v>monitoring firewood</v>
      </c>
      <c r="F139">
        <v>30055</v>
      </c>
      <c r="G139" t="str">
        <v>switch</v>
      </c>
      <c r="H139">
        <v>601.64</v>
      </c>
      <c r="I139">
        <v>3.5238129955568005E-3</v>
      </c>
      <c r="J139">
        <v>3.4505147267197421E-3</v>
      </c>
      <c r="K139" t="str">
        <v>gs_lpg</v>
      </c>
      <c r="L139">
        <v>1</v>
      </c>
      <c r="M139" t="str">
        <v>Sub-Saharan Africa</v>
      </c>
      <c r="N139" t="str">
        <v>Burkina Faso</v>
      </c>
      <c r="O139" t="str">
        <v>Kadiogo Province:</v>
      </c>
      <c r="P139">
        <v>5.9</v>
      </c>
      <c r="Q139">
        <v>0.9</v>
      </c>
      <c r="R139">
        <v>3.9E-2</v>
      </c>
      <c r="S139">
        <v>0.247</v>
      </c>
      <c r="T139">
        <v>170735.50746268657</v>
      </c>
      <c r="U139">
        <v>0</v>
      </c>
      <c r="V139">
        <v>1</v>
      </c>
      <c r="W139">
        <v>0</v>
      </c>
      <c r="X139">
        <v>170735.50746268657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6.6569159732923824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1.5599999999999999E-2</v>
      </c>
      <c r="BR139">
        <v>0</v>
      </c>
      <c r="BS139">
        <v>0</v>
      </c>
      <c r="BT139">
        <v>4.7300000000000002E-2</v>
      </c>
      <c r="BU139">
        <v>0</v>
      </c>
      <c r="BV139">
        <v>0</v>
      </c>
      <c r="BW139">
        <v>112</v>
      </c>
      <c r="BX139">
        <v>0</v>
      </c>
      <c r="BY139">
        <v>0</v>
      </c>
      <c r="BZ139">
        <v>112</v>
      </c>
      <c r="CA139">
        <v>0</v>
      </c>
      <c r="CB139">
        <v>0</v>
      </c>
      <c r="CC139">
        <v>0</v>
      </c>
      <c r="CD139">
        <v>37.25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3.431259555717455</v>
      </c>
      <c r="FY139">
        <v>0</v>
      </c>
      <c r="FZ139">
        <v>0</v>
      </c>
      <c r="GA139">
        <v>0.28875000000000001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1.5599999999999999E-2</v>
      </c>
      <c r="HI139">
        <v>0</v>
      </c>
      <c r="HJ139">
        <v>0</v>
      </c>
      <c r="HK139">
        <v>4.7300000000000002E-2</v>
      </c>
      <c r="HL139">
        <v>0</v>
      </c>
      <c r="HM139">
        <v>0</v>
      </c>
      <c r="HN139">
        <v>112</v>
      </c>
      <c r="HO139">
        <v>0</v>
      </c>
      <c r="HP139">
        <v>0</v>
      </c>
      <c r="HQ139">
        <v>112</v>
      </c>
      <c r="HR139">
        <v>0</v>
      </c>
      <c r="HS139">
        <v>0</v>
      </c>
      <c r="HT139">
        <v>0</v>
      </c>
      <c r="HU139">
        <v>37.25</v>
      </c>
      <c r="HV139">
        <v>0</v>
      </c>
      <c r="HW139">
        <v>0</v>
      </c>
      <c r="HX139">
        <v>37.25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0.74</v>
      </c>
      <c r="LI139">
        <v>0.95</v>
      </c>
      <c r="LJ139">
        <v>0</v>
      </c>
      <c r="LK139">
        <v>0</v>
      </c>
      <c r="LL139">
        <v>0</v>
      </c>
      <c r="LM139">
        <v>1</v>
      </c>
      <c r="LN139">
        <v>0</v>
      </c>
      <c r="LO139">
        <v>1</v>
      </c>
      <c r="LP139">
        <v>1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</row>
    <row r="140" spans="1:355" x14ac:dyDescent="0.2">
      <c r="A140" t="str">
        <v>GS TPDDTEC</v>
      </c>
      <c r="B140" t="str">
        <v>GS TPDDTEC v 2.</v>
      </c>
      <c r="C140" t="str">
        <v>GS1146</v>
      </c>
      <c r="D140" t="str">
        <v>MP4</v>
      </c>
      <c r="E140" t="str">
        <v>monitoring charcoal</v>
      </c>
      <c r="F140">
        <v>30055</v>
      </c>
      <c r="G140" t="str">
        <v>switch</v>
      </c>
      <c r="H140">
        <v>6557.32</v>
      </c>
      <c r="I140">
        <v>1.1183012382675722E-2</v>
      </c>
      <c r="J140">
        <v>1.1499344055667189E-2</v>
      </c>
      <c r="K140" t="str">
        <v>gs_lpg</v>
      </c>
      <c r="L140">
        <v>1</v>
      </c>
      <c r="M140" t="str">
        <v>Sub-Saharan Africa</v>
      </c>
      <c r="N140" t="str">
        <v>Burkina Faso</v>
      </c>
      <c r="O140" t="str">
        <v>Kadiogo Province:</v>
      </c>
      <c r="P140">
        <v>5.9</v>
      </c>
      <c r="Q140">
        <v>0.9</v>
      </c>
      <c r="R140">
        <v>3.9E-2</v>
      </c>
      <c r="S140">
        <v>0.247</v>
      </c>
      <c r="T140">
        <v>586364.36906377203</v>
      </c>
      <c r="U140">
        <v>0</v>
      </c>
      <c r="V140">
        <v>1</v>
      </c>
      <c r="W140">
        <v>0</v>
      </c>
      <c r="X140">
        <v>586364.36906377203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2.1996800000000003</v>
      </c>
      <c r="AN140">
        <v>2.5237400000000001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1.5599999999999999E-2</v>
      </c>
      <c r="BR140">
        <v>2.9499999999999998E-2</v>
      </c>
      <c r="BS140">
        <v>0</v>
      </c>
      <c r="BT140">
        <v>4.7300000000000002E-2</v>
      </c>
      <c r="BU140">
        <v>0</v>
      </c>
      <c r="BV140">
        <v>0</v>
      </c>
      <c r="BW140">
        <v>112</v>
      </c>
      <c r="BX140">
        <v>487.2</v>
      </c>
      <c r="BY140">
        <v>0</v>
      </c>
      <c r="BZ140">
        <v>487.2</v>
      </c>
      <c r="CA140">
        <v>0</v>
      </c>
      <c r="CB140">
        <v>0</v>
      </c>
      <c r="CC140">
        <v>0</v>
      </c>
      <c r="CD140">
        <v>37.25</v>
      </c>
      <c r="CE140">
        <v>162.05000000000001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0.27496000000000004</v>
      </c>
      <c r="FY140">
        <v>0.99182000000000015</v>
      </c>
      <c r="FZ140">
        <v>0</v>
      </c>
      <c r="GA140">
        <v>0.54010000000000002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1.5599999999999999E-2</v>
      </c>
      <c r="HI140">
        <v>2.9499999999999998E-2</v>
      </c>
      <c r="HJ140">
        <v>0</v>
      </c>
      <c r="HK140">
        <v>4.7300000000000002E-2</v>
      </c>
      <c r="HL140">
        <v>0</v>
      </c>
      <c r="HM140">
        <v>0</v>
      </c>
      <c r="HN140">
        <v>112</v>
      </c>
      <c r="HO140">
        <v>487.2</v>
      </c>
      <c r="HP140">
        <v>0</v>
      </c>
      <c r="HQ140">
        <v>438.48</v>
      </c>
      <c r="HR140">
        <v>0</v>
      </c>
      <c r="HS140">
        <v>0</v>
      </c>
      <c r="HT140">
        <v>0</v>
      </c>
      <c r="HU140">
        <v>37.25</v>
      </c>
      <c r="HV140">
        <v>162.05000000000001</v>
      </c>
      <c r="HW140">
        <v>0</v>
      </c>
      <c r="HX140">
        <v>145.80000000000001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0.74</v>
      </c>
      <c r="LI140">
        <v>0.95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1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</row>
    <row r="141" spans="1:355" x14ac:dyDescent="0.2">
      <c r="A141" t="str">
        <v>GS TPDDTEC</v>
      </c>
      <c r="B141" t="str">
        <v>GS TPDDTEC v 2.</v>
      </c>
      <c r="C141" t="str">
        <v>GS1146</v>
      </c>
      <c r="D141" t="str">
        <v>MP4</v>
      </c>
      <c r="E141" t="str">
        <v>monitoring LPG only</v>
      </c>
      <c r="F141">
        <v>30055</v>
      </c>
      <c r="G141" t="str">
        <v>switch</v>
      </c>
      <c r="H141">
        <v>4716.2700000000004</v>
      </c>
      <c r="I141">
        <v>1.0682429602179256E-2</v>
      </c>
      <c r="J141">
        <v>1.09262363196735E-2</v>
      </c>
      <c r="K141" t="str">
        <v>gs_lpg</v>
      </c>
      <c r="L141">
        <v>1</v>
      </c>
      <c r="M141" t="str">
        <v>Sub-Saharan Africa</v>
      </c>
      <c r="N141" t="str">
        <v>Burkina Faso</v>
      </c>
      <c r="O141" t="str">
        <v>Kadiogo Province:</v>
      </c>
      <c r="P141">
        <v>5.9</v>
      </c>
      <c r="Q141">
        <v>0.9</v>
      </c>
      <c r="R141">
        <v>3.9E-2</v>
      </c>
      <c r="S141">
        <v>0.247</v>
      </c>
      <c r="T141">
        <v>441497.87788331066</v>
      </c>
      <c r="U141">
        <v>0</v>
      </c>
      <c r="V141">
        <v>1</v>
      </c>
      <c r="W141">
        <v>0</v>
      </c>
      <c r="X141">
        <v>441497.87788331066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7.98</v>
      </c>
      <c r="AN141">
        <v>3.15E-2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1.5599999999999999E-2</v>
      </c>
      <c r="BR141">
        <v>2.9499999999999998E-2</v>
      </c>
      <c r="BS141">
        <v>0</v>
      </c>
      <c r="BT141">
        <v>4.7300000000000002E-2</v>
      </c>
      <c r="BU141">
        <v>0</v>
      </c>
      <c r="BV141">
        <v>0</v>
      </c>
      <c r="BW141">
        <v>112</v>
      </c>
      <c r="BX141">
        <v>487.2</v>
      </c>
      <c r="BY141">
        <v>0</v>
      </c>
      <c r="BZ141">
        <v>112</v>
      </c>
      <c r="CA141">
        <v>0</v>
      </c>
      <c r="CB141">
        <v>0</v>
      </c>
      <c r="CC141">
        <v>0</v>
      </c>
      <c r="CD141">
        <v>37.25</v>
      </c>
      <c r="CE141">
        <v>162.05000000000001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0.4617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1.5599999999999999E-2</v>
      </c>
      <c r="HI141">
        <v>2.9499999999999998E-2</v>
      </c>
      <c r="HJ141">
        <v>0</v>
      </c>
      <c r="HK141">
        <v>4.7300000000000002E-2</v>
      </c>
      <c r="HL141">
        <v>0</v>
      </c>
      <c r="HM141">
        <v>0</v>
      </c>
      <c r="HN141">
        <v>112</v>
      </c>
      <c r="HO141">
        <v>487.2</v>
      </c>
      <c r="HP141">
        <v>0</v>
      </c>
      <c r="HQ141">
        <v>100.8</v>
      </c>
      <c r="HR141">
        <v>0</v>
      </c>
      <c r="HS141">
        <v>0</v>
      </c>
      <c r="HT141">
        <v>0</v>
      </c>
      <c r="HU141">
        <v>37.25</v>
      </c>
      <c r="HV141">
        <v>162.05000000000001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0.74</v>
      </c>
      <c r="LI141">
        <v>0.95</v>
      </c>
      <c r="LJ141">
        <v>0</v>
      </c>
      <c r="LK141">
        <v>0</v>
      </c>
      <c r="LL141">
        <v>0</v>
      </c>
      <c r="LM141">
        <v>1</v>
      </c>
      <c r="LN141">
        <v>0</v>
      </c>
      <c r="LO141">
        <v>1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</row>
    <row r="142" spans="1:355" x14ac:dyDescent="0.2">
      <c r="A142" t="str">
        <v>GS TPDDTEC</v>
      </c>
      <c r="B142" t="str">
        <v>GS TPDDTEC v 2.</v>
      </c>
      <c r="C142" t="str">
        <v>GS1146</v>
      </c>
      <c r="D142" t="str">
        <v>MP4</v>
      </c>
      <c r="E142" t="str">
        <v>commercial</v>
      </c>
      <c r="F142">
        <v>30055</v>
      </c>
      <c r="G142" t="str">
        <v>switch</v>
      </c>
      <c r="H142">
        <v>60.77</v>
      </c>
      <c r="I142">
        <v>3.5237134263444402E-3</v>
      </c>
      <c r="J142">
        <v>3.4505147267197421E-3</v>
      </c>
      <c r="K142" t="str">
        <v>gs_lpg</v>
      </c>
      <c r="L142">
        <v>1</v>
      </c>
      <c r="M142" t="str">
        <v>Sub-Saharan Africa</v>
      </c>
      <c r="N142" t="str">
        <v>Burkina Faso</v>
      </c>
      <c r="O142" t="str">
        <v>Kadiogo Province:</v>
      </c>
      <c r="P142">
        <v>5.9</v>
      </c>
      <c r="Q142">
        <v>0.9</v>
      </c>
      <c r="R142">
        <v>3.9E-2</v>
      </c>
      <c r="S142">
        <v>0.247</v>
      </c>
      <c r="T142">
        <v>17246.010854816825</v>
      </c>
      <c r="U142">
        <v>0</v>
      </c>
      <c r="V142">
        <v>1</v>
      </c>
      <c r="W142">
        <v>0</v>
      </c>
      <c r="X142">
        <v>17246.010854816825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6.6569159732923824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1.5599999999999999E-2</v>
      </c>
      <c r="BR142">
        <v>0</v>
      </c>
      <c r="BS142">
        <v>0</v>
      </c>
      <c r="BT142">
        <v>4.7300000000000002E-2</v>
      </c>
      <c r="BU142">
        <v>0</v>
      </c>
      <c r="BV142">
        <v>0</v>
      </c>
      <c r="BW142">
        <v>112</v>
      </c>
      <c r="BX142">
        <v>0</v>
      </c>
      <c r="BY142">
        <v>0</v>
      </c>
      <c r="BZ142">
        <v>112</v>
      </c>
      <c r="CA142">
        <v>0</v>
      </c>
      <c r="CB142">
        <v>0</v>
      </c>
      <c r="CC142">
        <v>0</v>
      </c>
      <c r="CD142">
        <v>37.25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3.431259555717455</v>
      </c>
      <c r="FY142">
        <v>0</v>
      </c>
      <c r="FZ142">
        <v>0</v>
      </c>
      <c r="GA142">
        <v>0.28875000000000001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1.5599999999999999E-2</v>
      </c>
      <c r="HI142">
        <v>0</v>
      </c>
      <c r="HJ142">
        <v>0</v>
      </c>
      <c r="HK142">
        <v>4.7300000000000002E-2</v>
      </c>
      <c r="HL142">
        <v>0</v>
      </c>
      <c r="HM142">
        <v>0</v>
      </c>
      <c r="HN142">
        <v>112</v>
      </c>
      <c r="HO142">
        <v>0</v>
      </c>
      <c r="HP142">
        <v>0</v>
      </c>
      <c r="HQ142">
        <v>112</v>
      </c>
      <c r="HR142">
        <v>0</v>
      </c>
      <c r="HS142">
        <v>0</v>
      </c>
      <c r="HT142">
        <v>0</v>
      </c>
      <c r="HU142">
        <v>37.25</v>
      </c>
      <c r="HV142">
        <v>0</v>
      </c>
      <c r="HW142">
        <v>0</v>
      </c>
      <c r="HX142">
        <v>37.25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0.74</v>
      </c>
      <c r="LI142">
        <v>0.95</v>
      </c>
      <c r="LJ142">
        <v>0</v>
      </c>
      <c r="LK142">
        <v>0</v>
      </c>
      <c r="LL142">
        <v>0</v>
      </c>
      <c r="LM142">
        <v>1</v>
      </c>
      <c r="LN142">
        <v>0</v>
      </c>
      <c r="LO142">
        <v>1</v>
      </c>
      <c r="LP142">
        <v>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</row>
    <row r="143" spans="1:355" x14ac:dyDescent="0.2">
      <c r="A143" t="str">
        <v>GS TPDDTEC</v>
      </c>
      <c r="B143" t="str">
        <v>GS TPDDTEC v 4</v>
      </c>
      <c r="C143" t="str">
        <v>GS 11330</v>
      </c>
      <c r="D143" t="str">
        <v>PDD</v>
      </c>
      <c r="E143">
        <v>0</v>
      </c>
      <c r="F143">
        <v>288563</v>
      </c>
      <c r="G143" t="str">
        <v>switch</v>
      </c>
      <c r="H143">
        <v>5.1000000000000004E-3</v>
      </c>
      <c r="I143">
        <v>5.1000000000000004E-3</v>
      </c>
      <c r="J143">
        <v>4.8259601561815059E-3</v>
      </c>
      <c r="K143" t="str">
        <v>gs_lpg</v>
      </c>
      <c r="L143">
        <v>1</v>
      </c>
      <c r="M143" t="str">
        <v>Sub-Saharan Africa</v>
      </c>
      <c r="N143" t="str">
        <v>Kenya</v>
      </c>
      <c r="O143" t="str">
        <v>Kenya tot</v>
      </c>
      <c r="P143">
        <v>3.6</v>
      </c>
      <c r="Q143">
        <v>0.94469999999999998</v>
      </c>
      <c r="R143">
        <v>0.54200000000000004</v>
      </c>
      <c r="S143">
        <v>0.63900000000000001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1.8904109589041098</v>
      </c>
      <c r="AN143">
        <v>0.465753424657534</v>
      </c>
      <c r="AO143">
        <v>0.16986301369862999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1.5599999999999999E-2</v>
      </c>
      <c r="BR143">
        <v>2.9499999999999998E-2</v>
      </c>
      <c r="BS143">
        <v>4.3799999999999999E-2</v>
      </c>
      <c r="BT143">
        <v>0</v>
      </c>
      <c r="BU143">
        <v>0</v>
      </c>
      <c r="BV143">
        <v>0</v>
      </c>
      <c r="BW143">
        <v>112</v>
      </c>
      <c r="BX143">
        <v>197.15</v>
      </c>
      <c r="BY143">
        <v>71.900000000000006</v>
      </c>
      <c r="BZ143">
        <v>0</v>
      </c>
      <c r="CA143">
        <v>0</v>
      </c>
      <c r="CB143">
        <v>0</v>
      </c>
      <c r="CC143">
        <v>0</v>
      </c>
      <c r="CD143">
        <v>9.4600000000000009</v>
      </c>
      <c r="CE143">
        <v>44.83</v>
      </c>
      <c r="CF143">
        <v>0.76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3.7260273972602745E-2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4.7300000000000002E-2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63.1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16.100000000000001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1</v>
      </c>
      <c r="LI143">
        <v>0.75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1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</row>
    <row r="144" spans="1:355" x14ac:dyDescent="0.2">
      <c r="A144" t="str">
        <v>GS TPDDTEC</v>
      </c>
      <c r="B144" t="str">
        <v>GS TPDDTEC v 1</v>
      </c>
      <c r="C144" t="str">
        <v>GS 3071</v>
      </c>
      <c r="D144" t="str">
        <v>MP 1</v>
      </c>
      <c r="E144">
        <v>0</v>
      </c>
      <c r="F144">
        <v>2493</v>
      </c>
      <c r="G144" t="str">
        <v>firewood</v>
      </c>
      <c r="H144">
        <v>2493</v>
      </c>
      <c r="I144">
        <v>0</v>
      </c>
      <c r="J144">
        <v>6.6018713903999993E-3</v>
      </c>
      <c r="K144" t="str">
        <v>gs_imp_firewood</v>
      </c>
      <c r="L144">
        <v>1</v>
      </c>
      <c r="M144" t="str">
        <v>Sub-Saharan Africa</v>
      </c>
      <c r="N144" t="str">
        <v>Cameroon</v>
      </c>
      <c r="O144" t="str">
        <v>Western Cameroon</v>
      </c>
      <c r="P144">
        <v>5</v>
      </c>
      <c r="Q144">
        <v>0.81</v>
      </c>
      <c r="R144">
        <v>0.54500000000000004</v>
      </c>
      <c r="S144">
        <v>0.54500000000000004</v>
      </c>
      <c r="T144">
        <v>377291</v>
      </c>
      <c r="U144">
        <v>0</v>
      </c>
      <c r="V144">
        <v>1</v>
      </c>
      <c r="W144">
        <v>0</v>
      </c>
      <c r="X144">
        <v>377291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10.37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1.5599999999999999E-2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112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8.6920000000000002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6.07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1.5599999999999999E-2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112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8.6920000000000002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0.99</v>
      </c>
      <c r="LI144">
        <v>1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1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</row>
    <row r="145" spans="1:355" x14ac:dyDescent="0.2">
      <c r="A145" t="str">
        <v>GS TPDDTEC</v>
      </c>
      <c r="B145" t="str">
        <v>GS TPDDTEC v 3.1</v>
      </c>
      <c r="C145" t="str">
        <v>GS 10777</v>
      </c>
      <c r="D145" t="str">
        <v>MR 2023</v>
      </c>
      <c r="E145">
        <v>0</v>
      </c>
      <c r="F145">
        <v>4547</v>
      </c>
      <c r="G145" t="str">
        <v>charcoal</v>
      </c>
      <c r="H145">
        <v>4563</v>
      </c>
      <c r="I145">
        <v>0</v>
      </c>
      <c r="J145">
        <v>1.287757742544E-2</v>
      </c>
      <c r="K145" t="str">
        <v>gs_imp_charcoal</v>
      </c>
      <c r="L145">
        <v>1</v>
      </c>
      <c r="M145" t="str">
        <v>Sub-Saharan Africa</v>
      </c>
      <c r="N145" t="str">
        <v>Mozambique</v>
      </c>
      <c r="O145" t="str">
        <v>Maputo Province</v>
      </c>
      <c r="P145">
        <v>4.4000000000000004</v>
      </c>
      <c r="Q145">
        <v>0.91</v>
      </c>
      <c r="R145">
        <v>4.9000000000000002E-2</v>
      </c>
      <c r="S145">
        <v>0.29099999999999998</v>
      </c>
      <c r="T145">
        <v>1733</v>
      </c>
      <c r="U145">
        <v>0</v>
      </c>
      <c r="V145">
        <v>202.5</v>
      </c>
      <c r="W145">
        <v>0</v>
      </c>
      <c r="X145">
        <v>350932.5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2.1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2.9499999999999998E-2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672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29.988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1.21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2.9499999999999998E-2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672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29.88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0.98</v>
      </c>
      <c r="LI145">
        <v>0.78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1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</row>
    <row r="146" spans="1:355" x14ac:dyDescent="0.2">
      <c r="A146" t="str">
        <v>GS TPDDTEC</v>
      </c>
      <c r="B146" t="str">
        <v>GS TPDDTEC v 3.1</v>
      </c>
      <c r="C146" t="str">
        <v>GS 10886</v>
      </c>
      <c r="D146" t="str">
        <v>MR1</v>
      </c>
      <c r="E146">
        <v>0</v>
      </c>
      <c r="F146">
        <v>78329</v>
      </c>
      <c r="G146" t="str">
        <v>firewood</v>
      </c>
      <c r="H146">
        <v>78329</v>
      </c>
      <c r="I146">
        <v>0</v>
      </c>
      <c r="J146">
        <v>2.5999932148453971E-2</v>
      </c>
      <c r="K146" t="str">
        <v>gs_imp_firewood</v>
      </c>
      <c r="L146">
        <v>1</v>
      </c>
      <c r="M146" t="str">
        <v>Sub-Saharan Africa</v>
      </c>
      <c r="N146" t="str">
        <v>Zambia</v>
      </c>
      <c r="O146" t="str">
        <v>Zambia_tot</v>
      </c>
      <c r="P146">
        <v>5.0999999999999996</v>
      </c>
      <c r="Q146">
        <v>0.91</v>
      </c>
      <c r="R146">
        <v>0.184</v>
      </c>
      <c r="S146">
        <v>0.34</v>
      </c>
      <c r="T146">
        <v>3013310</v>
      </c>
      <c r="U146">
        <v>0</v>
      </c>
      <c r="V146">
        <v>1</v>
      </c>
      <c r="W146">
        <v>0</v>
      </c>
      <c r="X146">
        <v>3013310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19.31232876712329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1.4999999999999999E-2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116.48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35.33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5.6848999999999998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1.4999999999999999E-2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116.48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35.33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0.9</v>
      </c>
      <c r="LI146">
        <v>1</v>
      </c>
      <c r="LJ146">
        <v>0</v>
      </c>
      <c r="LK146">
        <v>0</v>
      </c>
      <c r="LL146">
        <v>0</v>
      </c>
      <c r="LM146">
        <v>1</v>
      </c>
      <c r="LN146">
        <v>0</v>
      </c>
      <c r="LO146">
        <v>1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</row>
    <row r="147" spans="1:355" x14ac:dyDescent="0.2">
      <c r="A147" t="str">
        <v>GS TPDDTEC</v>
      </c>
      <c r="B147" t="str">
        <v>GS TPDDTEC v 2</v>
      </c>
      <c r="C147" t="str">
        <v>GS 5107</v>
      </c>
      <c r="D147" t="str">
        <v>MP2 2018-2019</v>
      </c>
      <c r="E147">
        <v>0</v>
      </c>
      <c r="F147">
        <v>203533</v>
      </c>
      <c r="G147" t="str">
        <v>firewood</v>
      </c>
      <c r="H147">
        <v>59827</v>
      </c>
      <c r="I147">
        <v>0</v>
      </c>
      <c r="J147">
        <v>5.216856839999999E-3</v>
      </c>
      <c r="K147" t="str">
        <v>gs_imp_firewood</v>
      </c>
      <c r="L147">
        <v>1</v>
      </c>
      <c r="M147" t="str">
        <v>South America</v>
      </c>
      <c r="N147" t="str">
        <v>Peru</v>
      </c>
      <c r="O147" t="str">
        <v>Huancavelica and Ayacucho regions</v>
      </c>
      <c r="P147">
        <v>3.5</v>
      </c>
      <c r="Q147">
        <v>0.74</v>
      </c>
      <c r="R147">
        <v>1.8499999999999999E-2</v>
      </c>
      <c r="S147">
        <v>4.7E-2</v>
      </c>
      <c r="T147">
        <v>11079280</v>
      </c>
      <c r="U147">
        <v>0</v>
      </c>
      <c r="V147">
        <v>1</v>
      </c>
      <c r="W147">
        <v>0</v>
      </c>
      <c r="X147">
        <v>11079280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11.45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1.4999999999999999E-2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112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8.6920000000000002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7.23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1.4999999999999999E-2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112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8.6920000000000002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0.9</v>
      </c>
      <c r="LI147">
        <v>1</v>
      </c>
      <c r="LJ147">
        <v>0</v>
      </c>
      <c r="LK147">
        <v>0</v>
      </c>
      <c r="LL147">
        <v>0</v>
      </c>
      <c r="LM147">
        <v>1</v>
      </c>
      <c r="LN147">
        <v>0</v>
      </c>
      <c r="LO147">
        <v>1</v>
      </c>
      <c r="LP147">
        <v>1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</row>
    <row r="148" spans="1:355" x14ac:dyDescent="0.2">
      <c r="A148" t="str">
        <v>CDM AMS II G</v>
      </c>
      <c r="B148" t="str">
        <v>AMS-II.G. Version 3</v>
      </c>
      <c r="C148" t="str">
        <v>GS 11195</v>
      </c>
      <c r="D148" t="str">
        <v>MR4</v>
      </c>
      <c r="E148">
        <v>0</v>
      </c>
      <c r="F148">
        <v>696</v>
      </c>
      <c r="G148" t="str">
        <v>firewood</v>
      </c>
      <c r="H148">
        <v>696</v>
      </c>
      <c r="I148">
        <v>0</v>
      </c>
      <c r="J148">
        <v>9.987178160170437E-3</v>
      </c>
      <c r="K148" t="str">
        <v>cdm_imp_firewood</v>
      </c>
      <c r="L148">
        <v>1</v>
      </c>
      <c r="M148" t="str">
        <v>Sub-Saharan Africa</v>
      </c>
      <c r="N148" t="str">
        <v>Kenya</v>
      </c>
      <c r="O148" t="str">
        <v>Kenya_tot</v>
      </c>
      <c r="P148">
        <v>3.6</v>
      </c>
      <c r="Q148">
        <v>0.92169999999999996</v>
      </c>
      <c r="R148">
        <v>0.54200000000000004</v>
      </c>
      <c r="S148">
        <v>0.63900000000000001</v>
      </c>
      <c r="T148">
        <v>225</v>
      </c>
      <c r="U148">
        <v>0</v>
      </c>
      <c r="V148">
        <v>318.29000000000002</v>
      </c>
      <c r="W148">
        <v>0</v>
      </c>
      <c r="X148">
        <v>71615.25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13.013698630136986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1.5599999999999999E-2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81.599999999999994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3.2340205343282769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0.40239999999999998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1.5599999999999999E-2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81.599999999999994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1</v>
      </c>
      <c r="LI148">
        <v>1</v>
      </c>
      <c r="LJ148">
        <v>0</v>
      </c>
      <c r="LK148">
        <v>0</v>
      </c>
      <c r="LL148">
        <v>1</v>
      </c>
      <c r="LM148">
        <v>0.95</v>
      </c>
      <c r="LN148">
        <v>0</v>
      </c>
      <c r="LO148">
        <v>1</v>
      </c>
      <c r="LP148">
        <v>0.78</v>
      </c>
      <c r="LQ148">
        <v>0</v>
      </c>
      <c r="LR148">
        <v>8.3799999999999986E-2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</row>
    <row r="149" spans="1:355" x14ac:dyDescent="0.2">
      <c r="A149" t="str">
        <v>CDM AMS II G</v>
      </c>
      <c r="B149" t="str">
        <v>AMS-II.G. Version 11.1</v>
      </c>
      <c r="C149" t="str">
        <v>GS 2077</v>
      </c>
      <c r="D149" t="str">
        <v xml:space="preserve">MR 2018-2020 </v>
      </c>
      <c r="E149" t="str">
        <v>2018 vintage</v>
      </c>
      <c r="F149">
        <v>975</v>
      </c>
      <c r="G149" t="str">
        <v>firewood</v>
      </c>
      <c r="H149">
        <v>175</v>
      </c>
      <c r="I149">
        <v>0</v>
      </c>
      <c r="J149">
        <v>8.5610370581651225E-3</v>
      </c>
      <c r="K149" t="str">
        <v>cdm_imp_firewood</v>
      </c>
      <c r="L149">
        <v>1</v>
      </c>
      <c r="M149" t="str">
        <v>Central America</v>
      </c>
      <c r="N149" t="str">
        <v>Guatemala</v>
      </c>
      <c r="O149" t="str">
        <v>Solola State</v>
      </c>
      <c r="P149">
        <v>3.5</v>
      </c>
      <c r="Q149">
        <v>0.93589999999999995</v>
      </c>
      <c r="R149">
        <v>0.29399999999999998</v>
      </c>
      <c r="S149">
        <v>0.29399999999999998</v>
      </c>
      <c r="T149">
        <v>57</v>
      </c>
      <c r="U149">
        <v>0</v>
      </c>
      <c r="V149">
        <v>365</v>
      </c>
      <c r="W149">
        <v>0</v>
      </c>
      <c r="X149">
        <v>20805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15.424383561643838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0.1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1.5599999999999999E-2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68.599999999999994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6.4268264840182674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0.24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1.5599999999999999E-2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68.599999999999994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1</v>
      </c>
      <c r="LI149">
        <v>1</v>
      </c>
      <c r="LJ149">
        <v>0</v>
      </c>
      <c r="LK149">
        <v>0</v>
      </c>
      <c r="LL149">
        <v>1</v>
      </c>
      <c r="LM149">
        <v>0.95</v>
      </c>
      <c r="LN149">
        <v>0</v>
      </c>
      <c r="LO149">
        <v>1</v>
      </c>
      <c r="LP149">
        <v>0.78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</row>
    <row r="150" spans="1:355" x14ac:dyDescent="0.2">
      <c r="A150" t="str">
        <v>CDM AMS II G</v>
      </c>
      <c r="B150" t="str">
        <v>AMS-II.G. Version 1</v>
      </c>
      <c r="C150" t="str">
        <v>GS 411</v>
      </c>
      <c r="D150" t="str">
        <v>MR5</v>
      </c>
      <c r="E150">
        <v>0</v>
      </c>
      <c r="F150">
        <v>97297</v>
      </c>
      <c r="G150" t="str">
        <v>firewood</v>
      </c>
      <c r="H150">
        <v>3016</v>
      </c>
      <c r="I150">
        <v>0</v>
      </c>
      <c r="J150">
        <v>6.7469660021468392E-3</v>
      </c>
      <c r="K150" t="str">
        <v>cdm_imp_firewood</v>
      </c>
      <c r="L150">
        <v>1</v>
      </c>
      <c r="M150" t="str">
        <v>Sub-Saharan Africa</v>
      </c>
      <c r="N150" t="str">
        <v>Nigeria</v>
      </c>
      <c r="O150" t="str">
        <v>Benue
Enugu
Kaduna
Kogi
Kwara
Nasarawa
Niger
Oyo
Plateau
Taraba
Federal Capital</v>
      </c>
      <c r="P150">
        <v>4.7</v>
      </c>
      <c r="Q150">
        <v>0.77</v>
      </c>
      <c r="R150">
        <v>0.27209090909090899</v>
      </c>
      <c r="S150">
        <v>0.31463636363636399</v>
      </c>
      <c r="T150">
        <v>1229.9000000000001</v>
      </c>
      <c r="U150">
        <v>0</v>
      </c>
      <c r="V150">
        <v>365</v>
      </c>
      <c r="W150">
        <v>0</v>
      </c>
      <c r="X150">
        <v>448913.50000000006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12.749041095890412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1.5599999999999999E-2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71.5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3.7607790843334534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0.33900000000000002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1.5599999999999999E-2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71.5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0.92</v>
      </c>
      <c r="LI150">
        <v>1</v>
      </c>
      <c r="LJ150">
        <v>0</v>
      </c>
      <c r="LK150">
        <v>0</v>
      </c>
      <c r="LL150">
        <v>1</v>
      </c>
      <c r="LM150">
        <v>0.95</v>
      </c>
      <c r="LN150">
        <v>0</v>
      </c>
      <c r="LO150">
        <v>1</v>
      </c>
      <c r="LP150">
        <v>0.78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</row>
    <row r="151" spans="1:355" x14ac:dyDescent="0.2">
      <c r="A151" t="str">
        <v>CDM AMS II G</v>
      </c>
      <c r="B151" t="str">
        <v>AMS-II.G. Version 12</v>
      </c>
      <c r="C151" t="str">
        <v>GS 10914</v>
      </c>
      <c r="D151" t="str">
        <v>MP2</v>
      </c>
      <c r="E151">
        <v>0</v>
      </c>
      <c r="F151">
        <v>61013</v>
      </c>
      <c r="G151" t="str">
        <v>charcoal</v>
      </c>
      <c r="H151">
        <v>18752</v>
      </c>
      <c r="I151">
        <v>0</v>
      </c>
      <c r="J151">
        <v>6.3032205115375337E-3</v>
      </c>
      <c r="K151" t="str">
        <v>cdm_imp_charcoal</v>
      </c>
      <c r="L151">
        <v>1</v>
      </c>
      <c r="M151" t="str">
        <v>Sub-Saharan Africa</v>
      </c>
      <c r="N151" t="str">
        <v>Uganda</v>
      </c>
      <c r="O151" t="str">
        <v>Uganda tot</v>
      </c>
      <c r="P151">
        <v>4.5</v>
      </c>
      <c r="Q151">
        <v>0.82</v>
      </c>
      <c r="R151">
        <v>0.49</v>
      </c>
      <c r="S151">
        <v>0.61499999999999999</v>
      </c>
      <c r="T151">
        <v>18752</v>
      </c>
      <c r="U151">
        <v>0</v>
      </c>
      <c r="V151">
        <v>163.155</v>
      </c>
      <c r="W151">
        <v>0</v>
      </c>
      <c r="X151">
        <v>3059482.56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13.616438356164384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0.1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1.5599999999999999E-2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81.599999999999994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4.2724939931485366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0.31869999999999998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1.5599999999999999E-2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81.599999999999994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0.8196</v>
      </c>
      <c r="LJ151">
        <v>0</v>
      </c>
      <c r="LK151">
        <v>0</v>
      </c>
      <c r="LL151">
        <v>1</v>
      </c>
      <c r="LM151">
        <v>0.95</v>
      </c>
      <c r="LN151">
        <v>0</v>
      </c>
      <c r="LO151">
        <v>1</v>
      </c>
      <c r="LP151">
        <v>0.78</v>
      </c>
      <c r="LQ151">
        <v>0</v>
      </c>
      <c r="LR151">
        <v>0.17000000000000004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</row>
    <row r="152" spans="1:355" x14ac:dyDescent="0.2">
      <c r="A152" t="str">
        <v>GS Simplified</v>
      </c>
      <c r="B152" t="str">
        <v>The Gold Standard Simplified Methodology for Efficient Cookstoves, Version 01, </v>
      </c>
      <c r="C152" t="str">
        <v>GS 10781</v>
      </c>
      <c r="D152">
        <v>0</v>
      </c>
      <c r="E152" t="str">
        <v>MP6</v>
      </c>
      <c r="F152">
        <v>2344</v>
      </c>
      <c r="G152" t="str">
        <v>firewood</v>
      </c>
      <c r="H152">
        <v>2345</v>
      </c>
      <c r="I152">
        <v>0</v>
      </c>
      <c r="J152">
        <v>1.1700074546837049E-2</v>
      </c>
      <c r="K152" t="str">
        <v>gs_simple_firewood</v>
      </c>
      <c r="L152">
        <v>1</v>
      </c>
      <c r="M152" t="str">
        <v>Sub-Saharan Africa</v>
      </c>
      <c r="N152" t="str">
        <v>Burkina Faso</v>
      </c>
      <c r="O152" t="str">
        <v>province of Nahouri,</v>
      </c>
      <c r="P152">
        <v>5.9</v>
      </c>
      <c r="Q152">
        <v>0.9</v>
      </c>
      <c r="R152">
        <v>0.182</v>
      </c>
      <c r="S152">
        <v>0.379</v>
      </c>
      <c r="T152">
        <v>548</v>
      </c>
      <c r="U152">
        <v>0</v>
      </c>
      <c r="V152">
        <v>365</v>
      </c>
      <c r="W152">
        <v>0</v>
      </c>
      <c r="X152">
        <v>200020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10.794520547945206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0.1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1.5599999999999999E-2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112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37.179487000000002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4.9066002490660034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0.22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1.5599999999999999E-2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112.179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37.179487000000002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0.98</v>
      </c>
      <c r="LI152">
        <v>0.99250000000000005</v>
      </c>
      <c r="LJ152">
        <v>0</v>
      </c>
      <c r="LK152">
        <v>0</v>
      </c>
      <c r="LL152">
        <v>1</v>
      </c>
      <c r="LM152">
        <v>0.94754797441364602</v>
      </c>
      <c r="LN152">
        <v>0</v>
      </c>
      <c r="LO152">
        <v>1</v>
      </c>
      <c r="LP152">
        <v>0.78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</row>
    <row r="153" spans="1:355" x14ac:dyDescent="0.2">
      <c r="A153" t="str">
        <v>GS Simplified</v>
      </c>
      <c r="B153" t="str">
        <v>The Gold Standard Simplified Methodology for Efficient Cookstoves, Version 01, </v>
      </c>
      <c r="C153" t="str">
        <v>GS 5660</v>
      </c>
      <c r="D153">
        <v>0</v>
      </c>
      <c r="E153" t="str">
        <v>MR1</v>
      </c>
      <c r="F153">
        <v>3397</v>
      </c>
      <c r="G153" t="str">
        <v>firewood</v>
      </c>
      <c r="H153">
        <v>2771</v>
      </c>
      <c r="I153">
        <v>0</v>
      </c>
      <c r="J153">
        <v>1.17736962925223E-2</v>
      </c>
      <c r="K153" t="str">
        <v>gs_simple_firewood</v>
      </c>
      <c r="L153">
        <v>1</v>
      </c>
      <c r="M153" t="str">
        <v>Asia</v>
      </c>
      <c r="N153" t="str">
        <v>Myanmar</v>
      </c>
      <c r="O153" t="str">
        <v>Mandalay Region in central part of Myanmar. </v>
      </c>
      <c r="P153">
        <v>4.2</v>
      </c>
      <c r="Q153">
        <v>0.95</v>
      </c>
      <c r="R153">
        <v>5.1999999999999998E-2</v>
      </c>
      <c r="S153">
        <v>5.8000000000000003E-2</v>
      </c>
      <c r="T153">
        <v>649</v>
      </c>
      <c r="U153">
        <v>0</v>
      </c>
      <c r="V153">
        <v>365</v>
      </c>
      <c r="W153">
        <v>0</v>
      </c>
      <c r="X153">
        <v>236885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10.794520547945206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1.5599999999999999E-2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112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29.166699999999999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3.8662322879459898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0.2792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1.5599999999999999E-2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112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29.166699999999999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0.85</v>
      </c>
      <c r="LI153">
        <v>1</v>
      </c>
      <c r="LJ153">
        <v>0</v>
      </c>
      <c r="LK153">
        <v>0</v>
      </c>
      <c r="LL153">
        <v>1</v>
      </c>
      <c r="LM153">
        <v>0.95</v>
      </c>
      <c r="LN153">
        <v>0</v>
      </c>
      <c r="LO153">
        <v>1</v>
      </c>
      <c r="LP153">
        <v>0.78</v>
      </c>
      <c r="LQ153">
        <v>0</v>
      </c>
      <c r="LR153">
        <v>4.8999999999999998E-3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B188-1158-FC47-8D31-975C377E3A2F}">
  <dimension ref="A1:F335"/>
  <sheetViews>
    <sheetView workbookViewId="0">
      <selection activeCell="A4" sqref="A4:F4"/>
    </sheetView>
  </sheetViews>
  <sheetFormatPr baseColWidth="10" defaultRowHeight="16" x14ac:dyDescent="0.2"/>
  <cols>
    <col min="1" max="1" width="24.1640625" customWidth="1"/>
    <col min="3" max="3" width="53" customWidth="1"/>
    <col min="4" max="4" width="26" customWidth="1"/>
  </cols>
  <sheetData>
    <row r="1" spans="1:6" ht="86" customHeight="1" x14ac:dyDescent="0.2">
      <c r="A1" s="11" t="s">
        <v>913</v>
      </c>
      <c r="B1" s="11"/>
      <c r="C1" s="11"/>
      <c r="D1" s="11"/>
      <c r="E1" s="11"/>
      <c r="F1" s="11"/>
    </row>
    <row r="2" spans="1:6" x14ac:dyDescent="0.2">
      <c r="A2" s="12" t="s">
        <v>915</v>
      </c>
      <c r="B2" s="12"/>
      <c r="C2" s="12"/>
      <c r="D2" s="12"/>
      <c r="E2" s="12"/>
      <c r="F2" s="12"/>
    </row>
    <row r="3" spans="1:6" ht="60" customHeight="1" x14ac:dyDescent="0.2">
      <c r="A3" s="13" t="s">
        <v>834</v>
      </c>
      <c r="B3" s="13"/>
      <c r="C3" s="13"/>
      <c r="D3" s="13"/>
      <c r="E3" s="13"/>
      <c r="F3" s="13"/>
    </row>
    <row r="4" spans="1:6" ht="62" customHeight="1" x14ac:dyDescent="0.2">
      <c r="A4" s="14" t="s">
        <v>833</v>
      </c>
      <c r="B4" s="14"/>
      <c r="C4" s="14"/>
      <c r="D4" s="14"/>
      <c r="E4" s="14"/>
      <c r="F4" s="14"/>
    </row>
    <row r="5" spans="1:6" ht="35" customHeight="1" x14ac:dyDescent="0.2">
      <c r="A5" s="15" t="s">
        <v>914</v>
      </c>
      <c r="B5" s="15"/>
      <c r="C5" s="15"/>
      <c r="D5" s="15"/>
      <c r="E5" s="15"/>
      <c r="F5" s="15"/>
    </row>
    <row r="8" spans="1:6" ht="19" x14ac:dyDescent="0.2">
      <c r="A8" s="11" t="s">
        <v>792</v>
      </c>
      <c r="B8" s="11"/>
      <c r="C8" s="11"/>
      <c r="D8" s="11"/>
      <c r="E8" s="11"/>
    </row>
    <row r="9" spans="1:6" ht="20" x14ac:dyDescent="0.2">
      <c r="A9" s="2" t="s">
        <v>791</v>
      </c>
      <c r="B9" s="2" t="s">
        <v>790</v>
      </c>
      <c r="C9" s="2" t="s">
        <v>789</v>
      </c>
      <c r="D9" s="2"/>
      <c r="E9" s="2"/>
    </row>
    <row r="10" spans="1:6" x14ac:dyDescent="0.2">
      <c r="A10" t="s">
        <v>5</v>
      </c>
      <c r="C10" t="s">
        <v>823</v>
      </c>
    </row>
    <row r="11" spans="1:6" ht="17" x14ac:dyDescent="0.2">
      <c r="A11" s="3" t="s">
        <v>504</v>
      </c>
      <c r="C11" t="s">
        <v>822</v>
      </c>
    </row>
    <row r="12" spans="1:6" x14ac:dyDescent="0.2">
      <c r="A12" t="s">
        <v>6</v>
      </c>
      <c r="C12" t="s">
        <v>788</v>
      </c>
    </row>
    <row r="13" spans="1:6" x14ac:dyDescent="0.2">
      <c r="A13" t="s">
        <v>287</v>
      </c>
      <c r="C13" t="s">
        <v>787</v>
      </c>
    </row>
    <row r="14" spans="1:6" x14ac:dyDescent="0.2">
      <c r="A14" t="s">
        <v>289</v>
      </c>
      <c r="C14" t="s">
        <v>786</v>
      </c>
    </row>
    <row r="15" spans="1:6" x14ac:dyDescent="0.2">
      <c r="A15" t="s">
        <v>481</v>
      </c>
      <c r="C15" t="s">
        <v>785</v>
      </c>
    </row>
    <row r="16" spans="1:6" x14ac:dyDescent="0.2">
      <c r="A16" t="s">
        <v>288</v>
      </c>
      <c r="B16" t="s">
        <v>343</v>
      </c>
      <c r="C16" t="s">
        <v>784</v>
      </c>
    </row>
    <row r="17" spans="1:3" x14ac:dyDescent="0.2">
      <c r="A17" t="s">
        <v>486</v>
      </c>
      <c r="B17" t="s">
        <v>783</v>
      </c>
      <c r="C17" t="s">
        <v>782</v>
      </c>
    </row>
    <row r="18" spans="1:3" x14ac:dyDescent="0.2">
      <c r="A18" t="s">
        <v>488</v>
      </c>
      <c r="C18" t="s">
        <v>781</v>
      </c>
    </row>
    <row r="19" spans="1:3" x14ac:dyDescent="0.2">
      <c r="A19" t="s">
        <v>7</v>
      </c>
      <c r="B19" t="s">
        <v>344</v>
      </c>
      <c r="C19" t="s">
        <v>780</v>
      </c>
    </row>
    <row r="20" spans="1:3" x14ac:dyDescent="0.2">
      <c r="A20" t="s">
        <v>363</v>
      </c>
      <c r="C20" t="s">
        <v>779</v>
      </c>
    </row>
    <row r="21" spans="1:3" x14ac:dyDescent="0.2">
      <c r="A21" t="s">
        <v>284</v>
      </c>
      <c r="C21" t="s">
        <v>778</v>
      </c>
    </row>
    <row r="22" spans="1:3" x14ac:dyDescent="0.2">
      <c r="A22" t="s">
        <v>0</v>
      </c>
      <c r="C22" t="s">
        <v>824</v>
      </c>
    </row>
    <row r="23" spans="1:3" x14ac:dyDescent="0.2">
      <c r="A23" t="s">
        <v>361</v>
      </c>
      <c r="B23" t="s">
        <v>362</v>
      </c>
      <c r="C23" t="s">
        <v>825</v>
      </c>
    </row>
    <row r="24" spans="1:3" x14ac:dyDescent="0.2">
      <c r="A24" t="s">
        <v>8</v>
      </c>
      <c r="B24" t="s">
        <v>345</v>
      </c>
      <c r="C24" t="s">
        <v>777</v>
      </c>
    </row>
    <row r="25" spans="1:3" x14ac:dyDescent="0.2">
      <c r="A25" t="s">
        <v>326</v>
      </c>
      <c r="B25" t="s">
        <v>345</v>
      </c>
      <c r="C25" t="s">
        <v>776</v>
      </c>
    </row>
    <row r="26" spans="1:3" x14ac:dyDescent="0.2">
      <c r="A26" t="s">
        <v>327</v>
      </c>
      <c r="B26" t="s">
        <v>345</v>
      </c>
      <c r="C26" t="s">
        <v>775</v>
      </c>
    </row>
    <row r="27" spans="1:3" x14ac:dyDescent="0.2">
      <c r="A27" t="s">
        <v>9</v>
      </c>
      <c r="B27" t="s">
        <v>346</v>
      </c>
      <c r="C27" t="s">
        <v>774</v>
      </c>
    </row>
    <row r="28" spans="1:3" x14ac:dyDescent="0.2">
      <c r="A28" t="s">
        <v>10</v>
      </c>
      <c r="B28" t="s">
        <v>347</v>
      </c>
      <c r="C28" t="s">
        <v>773</v>
      </c>
    </row>
    <row r="29" spans="1:3" x14ac:dyDescent="0.2">
      <c r="A29" t="s">
        <v>11</v>
      </c>
      <c r="B29" t="s">
        <v>348</v>
      </c>
      <c r="C29" t="s">
        <v>772</v>
      </c>
    </row>
    <row r="30" spans="1:3" x14ac:dyDescent="0.2">
      <c r="A30" t="s">
        <v>365</v>
      </c>
      <c r="B30" t="s">
        <v>348</v>
      </c>
      <c r="C30" t="s">
        <v>771</v>
      </c>
    </row>
    <row r="31" spans="1:3" x14ac:dyDescent="0.2">
      <c r="A31" t="s">
        <v>12</v>
      </c>
      <c r="B31" t="s">
        <v>345</v>
      </c>
      <c r="C31" t="s">
        <v>794</v>
      </c>
    </row>
    <row r="32" spans="1:3" x14ac:dyDescent="0.2">
      <c r="A32" t="s">
        <v>13</v>
      </c>
      <c r="B32" t="s">
        <v>345</v>
      </c>
      <c r="C32" t="s">
        <v>795</v>
      </c>
    </row>
    <row r="33" spans="1:3" x14ac:dyDescent="0.2">
      <c r="A33" t="s">
        <v>14</v>
      </c>
      <c r="B33" t="s">
        <v>345</v>
      </c>
      <c r="C33" t="s">
        <v>796</v>
      </c>
    </row>
    <row r="34" spans="1:3" x14ac:dyDescent="0.2">
      <c r="A34" t="s">
        <v>15</v>
      </c>
      <c r="B34" t="s">
        <v>345</v>
      </c>
      <c r="C34" t="s">
        <v>797</v>
      </c>
    </row>
    <row r="35" spans="1:3" x14ac:dyDescent="0.2">
      <c r="A35" t="s">
        <v>16</v>
      </c>
      <c r="B35" t="s">
        <v>345</v>
      </c>
      <c r="C35" t="s">
        <v>799</v>
      </c>
    </row>
    <row r="36" spans="1:3" x14ac:dyDescent="0.2">
      <c r="A36" t="s">
        <v>17</v>
      </c>
      <c r="B36" t="s">
        <v>345</v>
      </c>
      <c r="C36" t="s">
        <v>798</v>
      </c>
    </row>
    <row r="37" spans="1:3" x14ac:dyDescent="0.2">
      <c r="A37" t="s">
        <v>322</v>
      </c>
      <c r="B37" t="s">
        <v>345</v>
      </c>
      <c r="C37" t="s">
        <v>800</v>
      </c>
    </row>
    <row r="38" spans="1:3" x14ac:dyDescent="0.2">
      <c r="A38" t="s">
        <v>18</v>
      </c>
      <c r="B38" t="s">
        <v>345</v>
      </c>
      <c r="C38" t="s">
        <v>801</v>
      </c>
    </row>
    <row r="39" spans="1:3" x14ac:dyDescent="0.2">
      <c r="A39" t="s">
        <v>315</v>
      </c>
      <c r="B39" t="s">
        <v>345</v>
      </c>
      <c r="C39" t="s">
        <v>802</v>
      </c>
    </row>
    <row r="40" spans="1:3" x14ac:dyDescent="0.2">
      <c r="A40" t="s">
        <v>19</v>
      </c>
      <c r="B40" t="s">
        <v>345</v>
      </c>
      <c r="C40" t="s">
        <v>803</v>
      </c>
    </row>
    <row r="41" spans="1:3" x14ac:dyDescent="0.2">
      <c r="A41" t="s">
        <v>20</v>
      </c>
      <c r="B41" t="s">
        <v>345</v>
      </c>
      <c r="C41" t="s">
        <v>804</v>
      </c>
    </row>
    <row r="42" spans="1:3" x14ac:dyDescent="0.2">
      <c r="A42" t="s">
        <v>21</v>
      </c>
      <c r="B42" t="s">
        <v>345</v>
      </c>
      <c r="C42" t="s">
        <v>805</v>
      </c>
    </row>
    <row r="43" spans="1:3" x14ac:dyDescent="0.2">
      <c r="A43" t="s">
        <v>22</v>
      </c>
      <c r="B43" t="s">
        <v>345</v>
      </c>
      <c r="C43" t="s">
        <v>806</v>
      </c>
    </row>
    <row r="44" spans="1:3" x14ac:dyDescent="0.2">
      <c r="A44" t="s">
        <v>324</v>
      </c>
      <c r="B44" t="s">
        <v>345</v>
      </c>
      <c r="C44" t="s">
        <v>807</v>
      </c>
    </row>
    <row r="45" spans="1:3" x14ac:dyDescent="0.2">
      <c r="A45" t="s">
        <v>23</v>
      </c>
      <c r="B45" t="s">
        <v>349</v>
      </c>
      <c r="C45" t="s">
        <v>770</v>
      </c>
    </row>
    <row r="46" spans="1:3" x14ac:dyDescent="0.2">
      <c r="A46" t="s">
        <v>24</v>
      </c>
      <c r="B46" t="s">
        <v>349</v>
      </c>
      <c r="C46" t="s">
        <v>769</v>
      </c>
    </row>
    <row r="47" spans="1:3" x14ac:dyDescent="0.2">
      <c r="A47" t="s">
        <v>25</v>
      </c>
      <c r="B47" t="s">
        <v>349</v>
      </c>
      <c r="C47" t="s">
        <v>768</v>
      </c>
    </row>
    <row r="48" spans="1:3" x14ac:dyDescent="0.2">
      <c r="A48" t="s">
        <v>26</v>
      </c>
      <c r="B48" t="s">
        <v>349</v>
      </c>
      <c r="C48" t="s">
        <v>767</v>
      </c>
    </row>
    <row r="49" spans="1:3" x14ac:dyDescent="0.2">
      <c r="A49" t="s">
        <v>27</v>
      </c>
      <c r="B49" t="s">
        <v>350</v>
      </c>
      <c r="C49" t="s">
        <v>766</v>
      </c>
    </row>
    <row r="50" spans="1:3" x14ac:dyDescent="0.2">
      <c r="A50" t="s">
        <v>28</v>
      </c>
      <c r="B50" t="s">
        <v>351</v>
      </c>
      <c r="C50" t="s">
        <v>765</v>
      </c>
    </row>
    <row r="51" spans="1:3" x14ac:dyDescent="0.2">
      <c r="A51" t="s">
        <v>323</v>
      </c>
      <c r="B51" t="s">
        <v>349</v>
      </c>
      <c r="C51" t="s">
        <v>764</v>
      </c>
    </row>
    <row r="52" spans="1:3" x14ac:dyDescent="0.2">
      <c r="A52" t="s">
        <v>29</v>
      </c>
      <c r="B52" t="s">
        <v>352</v>
      </c>
      <c r="C52" t="s">
        <v>763</v>
      </c>
    </row>
    <row r="53" spans="1:3" x14ac:dyDescent="0.2">
      <c r="A53" t="s">
        <v>30</v>
      </c>
      <c r="B53" t="s">
        <v>353</v>
      </c>
      <c r="C53" t="s">
        <v>762</v>
      </c>
    </row>
    <row r="54" spans="1:3" x14ac:dyDescent="0.2">
      <c r="A54" t="s">
        <v>31</v>
      </c>
      <c r="B54" t="s">
        <v>349</v>
      </c>
      <c r="C54" t="s">
        <v>645</v>
      </c>
    </row>
    <row r="55" spans="1:3" x14ac:dyDescent="0.2">
      <c r="A55" t="s">
        <v>32</v>
      </c>
      <c r="B55" t="s">
        <v>349</v>
      </c>
      <c r="C55" t="s">
        <v>644</v>
      </c>
    </row>
    <row r="56" spans="1:3" x14ac:dyDescent="0.2">
      <c r="A56" t="s">
        <v>33</v>
      </c>
      <c r="B56" t="s">
        <v>349</v>
      </c>
      <c r="C56" t="s">
        <v>643</v>
      </c>
    </row>
    <row r="57" spans="1:3" x14ac:dyDescent="0.2">
      <c r="A57" t="s">
        <v>34</v>
      </c>
      <c r="B57" t="s">
        <v>349</v>
      </c>
      <c r="C57" t="s">
        <v>642</v>
      </c>
    </row>
    <row r="58" spans="1:3" x14ac:dyDescent="0.2">
      <c r="A58" t="s">
        <v>35</v>
      </c>
      <c r="B58" t="s">
        <v>350</v>
      </c>
      <c r="C58" t="s">
        <v>641</v>
      </c>
    </row>
    <row r="59" spans="1:3" x14ac:dyDescent="0.2">
      <c r="A59" t="s">
        <v>36</v>
      </c>
      <c r="B59" t="s">
        <v>351</v>
      </c>
      <c r="C59" t="s">
        <v>761</v>
      </c>
    </row>
    <row r="60" spans="1:3" x14ac:dyDescent="0.2">
      <c r="A60" t="s">
        <v>325</v>
      </c>
      <c r="B60" t="s">
        <v>349</v>
      </c>
      <c r="C60" t="s">
        <v>760</v>
      </c>
    </row>
    <row r="61" spans="1:3" x14ac:dyDescent="0.2">
      <c r="A61" t="s">
        <v>37</v>
      </c>
      <c r="B61" t="s">
        <v>345</v>
      </c>
      <c r="C61" t="s">
        <v>759</v>
      </c>
    </row>
    <row r="62" spans="1:3" x14ac:dyDescent="0.2">
      <c r="A62" t="s">
        <v>38</v>
      </c>
      <c r="B62" t="s">
        <v>345</v>
      </c>
      <c r="C62" t="s">
        <v>758</v>
      </c>
    </row>
    <row r="63" spans="1:3" x14ac:dyDescent="0.2">
      <c r="A63" t="s">
        <v>39</v>
      </c>
      <c r="B63" t="s">
        <v>345</v>
      </c>
      <c r="C63" t="s">
        <v>757</v>
      </c>
    </row>
    <row r="64" spans="1:3" x14ac:dyDescent="0.2">
      <c r="A64" t="s">
        <v>40</v>
      </c>
      <c r="B64" t="s">
        <v>345</v>
      </c>
      <c r="C64" t="s">
        <v>756</v>
      </c>
    </row>
    <row r="65" spans="1:3" x14ac:dyDescent="0.2">
      <c r="A65" t="s">
        <v>41</v>
      </c>
      <c r="B65" t="s">
        <v>345</v>
      </c>
      <c r="C65" t="s">
        <v>755</v>
      </c>
    </row>
    <row r="66" spans="1:3" x14ac:dyDescent="0.2">
      <c r="A66" t="s">
        <v>42</v>
      </c>
      <c r="B66" t="s">
        <v>345</v>
      </c>
      <c r="C66" t="s">
        <v>754</v>
      </c>
    </row>
    <row r="67" spans="1:3" x14ac:dyDescent="0.2">
      <c r="A67" t="s">
        <v>316</v>
      </c>
      <c r="B67" t="s">
        <v>345</v>
      </c>
      <c r="C67" t="s">
        <v>753</v>
      </c>
    </row>
    <row r="68" spans="1:3" x14ac:dyDescent="0.2">
      <c r="A68" t="s">
        <v>43</v>
      </c>
      <c r="B68" t="s">
        <v>345</v>
      </c>
      <c r="C68" t="s">
        <v>752</v>
      </c>
    </row>
    <row r="69" spans="1:3" x14ac:dyDescent="0.2">
      <c r="A69" t="s">
        <v>44</v>
      </c>
      <c r="B69" t="s">
        <v>345</v>
      </c>
      <c r="C69" t="s">
        <v>751</v>
      </c>
    </row>
    <row r="70" spans="1:3" x14ac:dyDescent="0.2">
      <c r="A70" t="s">
        <v>45</v>
      </c>
      <c r="B70" t="s">
        <v>345</v>
      </c>
      <c r="C70" t="s">
        <v>750</v>
      </c>
    </row>
    <row r="71" spans="1:3" x14ac:dyDescent="0.2">
      <c r="A71" t="s">
        <v>317</v>
      </c>
      <c r="B71" t="s">
        <v>345</v>
      </c>
      <c r="C71" t="s">
        <v>749</v>
      </c>
    </row>
    <row r="72" spans="1:3" x14ac:dyDescent="0.2">
      <c r="A72" t="s">
        <v>46</v>
      </c>
      <c r="B72" t="s">
        <v>345</v>
      </c>
      <c r="C72" t="s">
        <v>748</v>
      </c>
    </row>
    <row r="73" spans="1:3" x14ac:dyDescent="0.2">
      <c r="A73" t="s">
        <v>47</v>
      </c>
      <c r="B73" t="s">
        <v>345</v>
      </c>
      <c r="C73" t="s">
        <v>747</v>
      </c>
    </row>
    <row r="74" spans="1:3" x14ac:dyDescent="0.2">
      <c r="A74" t="s">
        <v>48</v>
      </c>
      <c r="B74" t="s">
        <v>345</v>
      </c>
      <c r="C74" t="s">
        <v>746</v>
      </c>
    </row>
    <row r="75" spans="1:3" x14ac:dyDescent="0.2">
      <c r="A75" t="s">
        <v>49</v>
      </c>
      <c r="B75" t="s">
        <v>354</v>
      </c>
      <c r="C75" t="s">
        <v>745</v>
      </c>
    </row>
    <row r="76" spans="1:3" x14ac:dyDescent="0.2">
      <c r="A76" t="s">
        <v>50</v>
      </c>
      <c r="B76" t="s">
        <v>354</v>
      </c>
      <c r="C76" t="s">
        <v>744</v>
      </c>
    </row>
    <row r="77" spans="1:3" x14ac:dyDescent="0.2">
      <c r="A77" t="s">
        <v>51</v>
      </c>
      <c r="B77" t="s">
        <v>354</v>
      </c>
      <c r="C77" t="s">
        <v>743</v>
      </c>
    </row>
    <row r="78" spans="1:3" x14ac:dyDescent="0.2">
      <c r="A78" t="s">
        <v>52</v>
      </c>
      <c r="B78" t="s">
        <v>354</v>
      </c>
      <c r="C78" t="s">
        <v>742</v>
      </c>
    </row>
    <row r="79" spans="1:3" x14ac:dyDescent="0.2">
      <c r="A79" t="s">
        <v>318</v>
      </c>
      <c r="B79" t="s">
        <v>354</v>
      </c>
      <c r="C79" t="s">
        <v>741</v>
      </c>
    </row>
    <row r="80" spans="1:3" x14ac:dyDescent="0.2">
      <c r="A80" t="s">
        <v>53</v>
      </c>
      <c r="B80" t="s">
        <v>354</v>
      </c>
      <c r="C80" t="s">
        <v>740</v>
      </c>
    </row>
    <row r="81" spans="1:3" x14ac:dyDescent="0.2">
      <c r="A81" t="s">
        <v>2</v>
      </c>
      <c r="B81" t="s">
        <v>355</v>
      </c>
      <c r="C81" t="s">
        <v>739</v>
      </c>
    </row>
    <row r="82" spans="1:3" x14ac:dyDescent="0.2">
      <c r="A82" t="s">
        <v>54</v>
      </c>
      <c r="B82" t="s">
        <v>355</v>
      </c>
      <c r="C82" t="s">
        <v>738</v>
      </c>
    </row>
    <row r="83" spans="1:3" x14ac:dyDescent="0.2">
      <c r="A83" t="s">
        <v>55</v>
      </c>
      <c r="B83" t="s">
        <v>355</v>
      </c>
      <c r="C83" t="s">
        <v>737</v>
      </c>
    </row>
    <row r="84" spans="1:3" x14ac:dyDescent="0.2">
      <c r="A84" t="s">
        <v>56</v>
      </c>
      <c r="B84" t="s">
        <v>355</v>
      </c>
      <c r="C84" t="s">
        <v>736</v>
      </c>
    </row>
    <row r="85" spans="1:3" x14ac:dyDescent="0.2">
      <c r="A85" t="s">
        <v>57</v>
      </c>
      <c r="B85" t="s">
        <v>355</v>
      </c>
      <c r="C85" t="s">
        <v>735</v>
      </c>
    </row>
    <row r="86" spans="1:3" x14ac:dyDescent="0.2">
      <c r="A86" t="s">
        <v>58</v>
      </c>
      <c r="B86" t="s">
        <v>355</v>
      </c>
      <c r="C86" t="s">
        <v>734</v>
      </c>
    </row>
    <row r="87" spans="1:3" x14ac:dyDescent="0.2">
      <c r="A87" t="s">
        <v>59</v>
      </c>
      <c r="B87" t="s">
        <v>355</v>
      </c>
      <c r="C87" t="s">
        <v>733</v>
      </c>
    </row>
    <row r="88" spans="1:3" x14ac:dyDescent="0.2">
      <c r="A88" t="s">
        <v>60</v>
      </c>
      <c r="B88" t="s">
        <v>356</v>
      </c>
      <c r="C88" t="s">
        <v>732</v>
      </c>
    </row>
    <row r="89" spans="1:3" x14ac:dyDescent="0.2">
      <c r="A89" t="s">
        <v>61</v>
      </c>
      <c r="B89" t="s">
        <v>356</v>
      </c>
      <c r="C89" t="s">
        <v>731</v>
      </c>
    </row>
    <row r="90" spans="1:3" x14ac:dyDescent="0.2">
      <c r="A90" t="s">
        <v>62</v>
      </c>
      <c r="B90" t="s">
        <v>356</v>
      </c>
      <c r="C90" t="s">
        <v>730</v>
      </c>
    </row>
    <row r="91" spans="1:3" x14ac:dyDescent="0.2">
      <c r="A91" t="s">
        <v>319</v>
      </c>
      <c r="B91" t="s">
        <v>356</v>
      </c>
      <c r="C91" t="s">
        <v>729</v>
      </c>
    </row>
    <row r="92" spans="1:3" x14ac:dyDescent="0.2">
      <c r="A92" t="s">
        <v>63</v>
      </c>
      <c r="B92" t="s">
        <v>356</v>
      </c>
      <c r="C92" t="s">
        <v>728</v>
      </c>
    </row>
    <row r="93" spans="1:3" x14ac:dyDescent="0.2">
      <c r="A93" t="s">
        <v>64</v>
      </c>
      <c r="B93" t="s">
        <v>356</v>
      </c>
      <c r="C93" t="s">
        <v>727</v>
      </c>
    </row>
    <row r="94" spans="1:3" x14ac:dyDescent="0.2">
      <c r="A94" t="s">
        <v>65</v>
      </c>
      <c r="B94" t="s">
        <v>356</v>
      </c>
      <c r="C94" t="s">
        <v>726</v>
      </c>
    </row>
    <row r="95" spans="1:3" x14ac:dyDescent="0.2">
      <c r="A95" t="s">
        <v>66</v>
      </c>
      <c r="B95" t="s">
        <v>355</v>
      </c>
      <c r="C95" t="s">
        <v>725</v>
      </c>
    </row>
    <row r="96" spans="1:3" x14ac:dyDescent="0.2">
      <c r="A96" t="s">
        <v>67</v>
      </c>
      <c r="B96" t="s">
        <v>357</v>
      </c>
      <c r="C96" t="s">
        <v>724</v>
      </c>
    </row>
    <row r="97" spans="1:3" x14ac:dyDescent="0.2">
      <c r="A97" t="s">
        <v>68</v>
      </c>
      <c r="B97" t="s">
        <v>358</v>
      </c>
      <c r="C97" t="s">
        <v>723</v>
      </c>
    </row>
    <row r="98" spans="1:3" x14ac:dyDescent="0.2">
      <c r="A98" t="s">
        <v>69</v>
      </c>
      <c r="B98" t="s">
        <v>355</v>
      </c>
      <c r="C98" t="s">
        <v>722</v>
      </c>
    </row>
    <row r="99" spans="1:3" x14ac:dyDescent="0.2">
      <c r="A99" t="s">
        <v>70</v>
      </c>
      <c r="B99" t="s">
        <v>357</v>
      </c>
      <c r="C99" t="s">
        <v>721</v>
      </c>
    </row>
    <row r="100" spans="1:3" x14ac:dyDescent="0.2">
      <c r="A100" t="s">
        <v>71</v>
      </c>
      <c r="B100" t="s">
        <v>358</v>
      </c>
      <c r="C100" t="s">
        <v>720</v>
      </c>
    </row>
    <row r="101" spans="1:3" x14ac:dyDescent="0.2">
      <c r="A101" t="s">
        <v>72</v>
      </c>
      <c r="B101" t="s">
        <v>355</v>
      </c>
      <c r="C101" t="s">
        <v>719</v>
      </c>
    </row>
    <row r="102" spans="1:3" x14ac:dyDescent="0.2">
      <c r="A102" t="s">
        <v>73</v>
      </c>
      <c r="B102" t="s">
        <v>357</v>
      </c>
      <c r="C102" t="s">
        <v>718</v>
      </c>
    </row>
    <row r="103" spans="1:3" x14ac:dyDescent="0.2">
      <c r="A103" t="s">
        <v>74</v>
      </c>
      <c r="B103" t="s">
        <v>358</v>
      </c>
      <c r="C103" t="s">
        <v>717</v>
      </c>
    </row>
    <row r="104" spans="1:3" x14ac:dyDescent="0.2">
      <c r="A104" t="s">
        <v>75</v>
      </c>
      <c r="B104" t="s">
        <v>355</v>
      </c>
      <c r="C104" t="s">
        <v>716</v>
      </c>
    </row>
    <row r="105" spans="1:3" x14ac:dyDescent="0.2">
      <c r="A105" t="s">
        <v>76</v>
      </c>
      <c r="B105" t="s">
        <v>357</v>
      </c>
      <c r="C105" t="s">
        <v>715</v>
      </c>
    </row>
    <row r="106" spans="1:3" x14ac:dyDescent="0.2">
      <c r="A106" t="s">
        <v>77</v>
      </c>
      <c r="B106" t="s">
        <v>358</v>
      </c>
      <c r="C106" t="s">
        <v>714</v>
      </c>
    </row>
    <row r="107" spans="1:3" x14ac:dyDescent="0.2">
      <c r="A107" t="s">
        <v>78</v>
      </c>
      <c r="B107" t="s">
        <v>355</v>
      </c>
      <c r="C107" t="s">
        <v>713</v>
      </c>
    </row>
    <row r="108" spans="1:3" x14ac:dyDescent="0.2">
      <c r="A108" t="s">
        <v>79</v>
      </c>
      <c r="B108" t="s">
        <v>357</v>
      </c>
      <c r="C108" t="s">
        <v>712</v>
      </c>
    </row>
    <row r="109" spans="1:3" x14ac:dyDescent="0.2">
      <c r="A109" t="s">
        <v>80</v>
      </c>
      <c r="B109" t="s">
        <v>358</v>
      </c>
      <c r="C109" t="s">
        <v>711</v>
      </c>
    </row>
    <row r="110" spans="1:3" x14ac:dyDescent="0.2">
      <c r="A110" t="s">
        <v>81</v>
      </c>
      <c r="B110" t="s">
        <v>355</v>
      </c>
      <c r="C110" t="s">
        <v>713</v>
      </c>
    </row>
    <row r="111" spans="1:3" x14ac:dyDescent="0.2">
      <c r="A111" t="s">
        <v>82</v>
      </c>
      <c r="B111" t="s">
        <v>357</v>
      </c>
      <c r="C111" t="s">
        <v>712</v>
      </c>
    </row>
    <row r="112" spans="1:3" x14ac:dyDescent="0.2">
      <c r="A112" t="s">
        <v>83</v>
      </c>
      <c r="B112" t="s">
        <v>358</v>
      </c>
      <c r="C112" t="s">
        <v>711</v>
      </c>
    </row>
    <row r="113" spans="1:3" x14ac:dyDescent="0.2">
      <c r="A113" t="s">
        <v>84</v>
      </c>
      <c r="B113" t="s">
        <v>355</v>
      </c>
      <c r="C113" t="s">
        <v>713</v>
      </c>
    </row>
    <row r="114" spans="1:3" x14ac:dyDescent="0.2">
      <c r="A114" t="s">
        <v>85</v>
      </c>
      <c r="B114" t="s">
        <v>357</v>
      </c>
      <c r="C114" t="s">
        <v>712</v>
      </c>
    </row>
    <row r="115" spans="1:3" x14ac:dyDescent="0.2">
      <c r="A115" t="s">
        <v>86</v>
      </c>
      <c r="B115" t="s">
        <v>358</v>
      </c>
      <c r="C115" t="s">
        <v>711</v>
      </c>
    </row>
    <row r="116" spans="1:3" x14ac:dyDescent="0.2">
      <c r="A116" t="s">
        <v>87</v>
      </c>
      <c r="B116" t="s">
        <v>355</v>
      </c>
      <c r="C116" t="s">
        <v>710</v>
      </c>
    </row>
    <row r="117" spans="1:3" x14ac:dyDescent="0.2">
      <c r="A117" t="s">
        <v>88</v>
      </c>
      <c r="B117" t="s">
        <v>357</v>
      </c>
      <c r="C117" t="s">
        <v>709</v>
      </c>
    </row>
    <row r="118" spans="1:3" x14ac:dyDescent="0.2">
      <c r="A118" t="s">
        <v>89</v>
      </c>
      <c r="B118" t="s">
        <v>358</v>
      </c>
      <c r="C118" t="s">
        <v>708</v>
      </c>
    </row>
    <row r="119" spans="1:3" x14ac:dyDescent="0.2">
      <c r="A119" t="s">
        <v>90</v>
      </c>
      <c r="B119" t="s">
        <v>355</v>
      </c>
      <c r="C119" t="s">
        <v>707</v>
      </c>
    </row>
    <row r="120" spans="1:3" x14ac:dyDescent="0.2">
      <c r="A120" t="s">
        <v>91</v>
      </c>
      <c r="B120" t="s">
        <v>357</v>
      </c>
      <c r="C120" t="s">
        <v>706</v>
      </c>
    </row>
    <row r="121" spans="1:3" x14ac:dyDescent="0.2">
      <c r="A121" t="s">
        <v>92</v>
      </c>
      <c r="B121" t="s">
        <v>358</v>
      </c>
      <c r="C121" t="s">
        <v>705</v>
      </c>
    </row>
    <row r="122" spans="1:3" x14ac:dyDescent="0.2">
      <c r="A122" t="s">
        <v>93</v>
      </c>
      <c r="B122" t="s">
        <v>355</v>
      </c>
      <c r="C122" t="s">
        <v>704</v>
      </c>
    </row>
    <row r="123" spans="1:3" x14ac:dyDescent="0.2">
      <c r="A123" t="s">
        <v>94</v>
      </c>
      <c r="B123" t="s">
        <v>357</v>
      </c>
      <c r="C123" t="s">
        <v>703</v>
      </c>
    </row>
    <row r="124" spans="1:3" x14ac:dyDescent="0.2">
      <c r="A124" t="s">
        <v>95</v>
      </c>
      <c r="B124" t="s">
        <v>358</v>
      </c>
      <c r="C124" t="s">
        <v>702</v>
      </c>
    </row>
    <row r="125" spans="1:3" x14ac:dyDescent="0.2">
      <c r="A125" t="s">
        <v>96</v>
      </c>
      <c r="B125" t="s">
        <v>355</v>
      </c>
      <c r="C125" t="s">
        <v>701</v>
      </c>
    </row>
    <row r="126" spans="1:3" x14ac:dyDescent="0.2">
      <c r="A126" t="s">
        <v>97</v>
      </c>
      <c r="B126" t="s">
        <v>357</v>
      </c>
      <c r="C126" t="s">
        <v>700</v>
      </c>
    </row>
    <row r="127" spans="1:3" x14ac:dyDescent="0.2">
      <c r="A127" t="s">
        <v>98</v>
      </c>
      <c r="B127" t="s">
        <v>358</v>
      </c>
      <c r="C127" t="s">
        <v>699</v>
      </c>
    </row>
    <row r="128" spans="1:3" x14ac:dyDescent="0.2">
      <c r="A128" t="s">
        <v>99</v>
      </c>
      <c r="B128" t="s">
        <v>355</v>
      </c>
      <c r="C128" t="s">
        <v>698</v>
      </c>
    </row>
    <row r="129" spans="1:3" x14ac:dyDescent="0.2">
      <c r="A129" t="s">
        <v>100</v>
      </c>
      <c r="B129" t="s">
        <v>357</v>
      </c>
      <c r="C129" t="s">
        <v>697</v>
      </c>
    </row>
    <row r="130" spans="1:3" x14ac:dyDescent="0.2">
      <c r="A130" t="s">
        <v>101</v>
      </c>
      <c r="B130" t="s">
        <v>358</v>
      </c>
      <c r="C130" t="s">
        <v>696</v>
      </c>
    </row>
    <row r="131" spans="1:3" x14ac:dyDescent="0.2">
      <c r="A131" t="s">
        <v>102</v>
      </c>
      <c r="B131" t="s">
        <v>355</v>
      </c>
      <c r="C131" t="s">
        <v>698</v>
      </c>
    </row>
    <row r="132" spans="1:3" x14ac:dyDescent="0.2">
      <c r="A132" t="s">
        <v>103</v>
      </c>
      <c r="B132" t="s">
        <v>357</v>
      </c>
      <c r="C132" t="s">
        <v>697</v>
      </c>
    </row>
    <row r="133" spans="1:3" x14ac:dyDescent="0.2">
      <c r="A133" t="s">
        <v>104</v>
      </c>
      <c r="B133" t="s">
        <v>358</v>
      </c>
      <c r="C133" t="s">
        <v>696</v>
      </c>
    </row>
    <row r="134" spans="1:3" x14ac:dyDescent="0.2">
      <c r="A134" t="s">
        <v>105</v>
      </c>
      <c r="B134" t="s">
        <v>355</v>
      </c>
      <c r="C134" t="s">
        <v>698</v>
      </c>
    </row>
    <row r="135" spans="1:3" x14ac:dyDescent="0.2">
      <c r="A135" t="s">
        <v>106</v>
      </c>
      <c r="B135" t="s">
        <v>357</v>
      </c>
      <c r="C135" t="s">
        <v>697</v>
      </c>
    </row>
    <row r="136" spans="1:3" x14ac:dyDescent="0.2">
      <c r="A136" t="s">
        <v>107</v>
      </c>
      <c r="B136" t="s">
        <v>358</v>
      </c>
      <c r="C136" t="s">
        <v>696</v>
      </c>
    </row>
    <row r="137" spans="1:3" x14ac:dyDescent="0.2">
      <c r="A137" t="s">
        <v>108</v>
      </c>
      <c r="B137" t="s">
        <v>355</v>
      </c>
      <c r="C137" t="s">
        <v>695</v>
      </c>
    </row>
    <row r="138" spans="1:3" x14ac:dyDescent="0.2">
      <c r="A138" t="s">
        <v>109</v>
      </c>
      <c r="B138" t="s">
        <v>357</v>
      </c>
      <c r="C138" t="s">
        <v>694</v>
      </c>
    </row>
    <row r="139" spans="1:3" x14ac:dyDescent="0.2">
      <c r="A139" t="s">
        <v>110</v>
      </c>
      <c r="B139" t="s">
        <v>358</v>
      </c>
      <c r="C139" t="s">
        <v>693</v>
      </c>
    </row>
    <row r="140" spans="1:3" x14ac:dyDescent="0.2">
      <c r="A140" t="s">
        <v>111</v>
      </c>
      <c r="B140" t="s">
        <v>355</v>
      </c>
      <c r="C140" t="s">
        <v>692</v>
      </c>
    </row>
    <row r="141" spans="1:3" x14ac:dyDescent="0.2">
      <c r="A141" t="s">
        <v>112</v>
      </c>
      <c r="B141" t="s">
        <v>357</v>
      </c>
      <c r="C141" t="s">
        <v>691</v>
      </c>
    </row>
    <row r="142" spans="1:3" x14ac:dyDescent="0.2">
      <c r="A142" t="s">
        <v>113</v>
      </c>
      <c r="B142" t="s">
        <v>358</v>
      </c>
      <c r="C142" t="s">
        <v>690</v>
      </c>
    </row>
    <row r="143" spans="1:3" x14ac:dyDescent="0.2">
      <c r="A143" t="s">
        <v>114</v>
      </c>
      <c r="B143" t="s">
        <v>355</v>
      </c>
      <c r="C143" t="s">
        <v>689</v>
      </c>
    </row>
    <row r="144" spans="1:3" x14ac:dyDescent="0.2">
      <c r="A144" t="s">
        <v>115</v>
      </c>
      <c r="B144" t="s">
        <v>357</v>
      </c>
      <c r="C144" t="s">
        <v>688</v>
      </c>
    </row>
    <row r="145" spans="1:3" x14ac:dyDescent="0.2">
      <c r="A145" t="s">
        <v>116</v>
      </c>
      <c r="B145" t="s">
        <v>358</v>
      </c>
      <c r="C145" t="s">
        <v>687</v>
      </c>
    </row>
    <row r="146" spans="1:3" x14ac:dyDescent="0.2">
      <c r="A146" t="s">
        <v>117</v>
      </c>
      <c r="B146" t="s">
        <v>355</v>
      </c>
      <c r="C146" t="s">
        <v>686</v>
      </c>
    </row>
    <row r="147" spans="1:3" x14ac:dyDescent="0.2">
      <c r="A147" t="s">
        <v>118</v>
      </c>
      <c r="B147" t="s">
        <v>357</v>
      </c>
      <c r="C147" t="s">
        <v>685</v>
      </c>
    </row>
    <row r="148" spans="1:3" x14ac:dyDescent="0.2">
      <c r="A148" t="s">
        <v>119</v>
      </c>
      <c r="B148" t="s">
        <v>358</v>
      </c>
      <c r="C148" t="s">
        <v>684</v>
      </c>
    </row>
    <row r="149" spans="1:3" x14ac:dyDescent="0.2">
      <c r="A149" t="s">
        <v>120</v>
      </c>
      <c r="B149" t="s">
        <v>355</v>
      </c>
      <c r="C149" t="s">
        <v>683</v>
      </c>
    </row>
    <row r="150" spans="1:3" x14ac:dyDescent="0.2">
      <c r="A150" t="s">
        <v>121</v>
      </c>
      <c r="B150" t="s">
        <v>357</v>
      </c>
      <c r="C150" t="s">
        <v>682</v>
      </c>
    </row>
    <row r="151" spans="1:3" x14ac:dyDescent="0.2">
      <c r="A151" t="s">
        <v>122</v>
      </c>
      <c r="B151" t="s">
        <v>358</v>
      </c>
      <c r="C151" t="s">
        <v>681</v>
      </c>
    </row>
    <row r="152" spans="1:3" x14ac:dyDescent="0.2">
      <c r="A152" t="s">
        <v>123</v>
      </c>
      <c r="B152" t="s">
        <v>355</v>
      </c>
      <c r="C152" t="s">
        <v>680</v>
      </c>
    </row>
    <row r="153" spans="1:3" x14ac:dyDescent="0.2">
      <c r="A153" t="s">
        <v>124</v>
      </c>
      <c r="B153" t="s">
        <v>357</v>
      </c>
      <c r="C153" t="s">
        <v>679</v>
      </c>
    </row>
    <row r="154" spans="1:3" x14ac:dyDescent="0.2">
      <c r="A154" t="s">
        <v>125</v>
      </c>
      <c r="B154" t="s">
        <v>358</v>
      </c>
      <c r="C154" t="s">
        <v>678</v>
      </c>
    </row>
    <row r="155" spans="1:3" x14ac:dyDescent="0.2">
      <c r="A155" t="s">
        <v>126</v>
      </c>
      <c r="B155" t="s">
        <v>355</v>
      </c>
      <c r="C155" t="s">
        <v>677</v>
      </c>
    </row>
    <row r="156" spans="1:3" x14ac:dyDescent="0.2">
      <c r="A156" t="s">
        <v>127</v>
      </c>
      <c r="B156" t="s">
        <v>357</v>
      </c>
      <c r="C156" t="s">
        <v>676</v>
      </c>
    </row>
    <row r="157" spans="1:3" x14ac:dyDescent="0.2">
      <c r="A157" t="s">
        <v>128</v>
      </c>
      <c r="B157" t="s">
        <v>358</v>
      </c>
      <c r="C157" t="s">
        <v>675</v>
      </c>
    </row>
    <row r="158" spans="1:3" x14ac:dyDescent="0.2">
      <c r="A158" t="s">
        <v>129</v>
      </c>
      <c r="B158" t="s">
        <v>355</v>
      </c>
      <c r="C158" t="s">
        <v>674</v>
      </c>
    </row>
    <row r="159" spans="1:3" x14ac:dyDescent="0.2">
      <c r="A159" t="s">
        <v>130</v>
      </c>
      <c r="B159" t="s">
        <v>357</v>
      </c>
      <c r="C159" t="s">
        <v>673</v>
      </c>
    </row>
    <row r="160" spans="1:3" x14ac:dyDescent="0.2">
      <c r="A160" t="s">
        <v>131</v>
      </c>
      <c r="B160" t="s">
        <v>358</v>
      </c>
      <c r="C160" t="s">
        <v>672</v>
      </c>
    </row>
    <row r="161" spans="1:3" x14ac:dyDescent="0.2">
      <c r="A161" t="s">
        <v>132</v>
      </c>
      <c r="B161" t="s">
        <v>355</v>
      </c>
      <c r="C161" t="s">
        <v>671</v>
      </c>
    </row>
    <row r="162" spans="1:3" x14ac:dyDescent="0.2">
      <c r="A162" t="s">
        <v>133</v>
      </c>
      <c r="B162" t="s">
        <v>357</v>
      </c>
      <c r="C162" t="s">
        <v>670</v>
      </c>
    </row>
    <row r="163" spans="1:3" x14ac:dyDescent="0.2">
      <c r="A163" t="s">
        <v>134</v>
      </c>
      <c r="B163" t="s">
        <v>358</v>
      </c>
      <c r="C163" t="s">
        <v>669</v>
      </c>
    </row>
    <row r="164" spans="1:3" x14ac:dyDescent="0.2">
      <c r="A164" t="s">
        <v>135</v>
      </c>
      <c r="B164" t="s">
        <v>355</v>
      </c>
      <c r="C164" t="s">
        <v>668</v>
      </c>
    </row>
    <row r="165" spans="1:3" x14ac:dyDescent="0.2">
      <c r="A165" t="s">
        <v>136</v>
      </c>
      <c r="B165" t="s">
        <v>357</v>
      </c>
      <c r="C165" t="s">
        <v>667</v>
      </c>
    </row>
    <row r="166" spans="1:3" x14ac:dyDescent="0.2">
      <c r="A166" t="s">
        <v>137</v>
      </c>
      <c r="B166" t="s">
        <v>358</v>
      </c>
      <c r="C166" t="s">
        <v>666</v>
      </c>
    </row>
    <row r="167" spans="1:3" x14ac:dyDescent="0.2">
      <c r="A167" t="s">
        <v>138</v>
      </c>
      <c r="B167" t="s">
        <v>355</v>
      </c>
      <c r="C167" t="s">
        <v>665</v>
      </c>
    </row>
    <row r="168" spans="1:3" x14ac:dyDescent="0.2">
      <c r="A168" t="s">
        <v>139</v>
      </c>
      <c r="B168" t="s">
        <v>357</v>
      </c>
      <c r="C168" t="s">
        <v>664</v>
      </c>
    </row>
    <row r="169" spans="1:3" x14ac:dyDescent="0.2">
      <c r="A169" t="s">
        <v>140</v>
      </c>
      <c r="B169" t="s">
        <v>358</v>
      </c>
      <c r="C169" t="s">
        <v>663</v>
      </c>
    </row>
    <row r="170" spans="1:3" x14ac:dyDescent="0.2">
      <c r="A170" t="s">
        <v>141</v>
      </c>
      <c r="B170" t="s">
        <v>355</v>
      </c>
      <c r="C170" t="s">
        <v>662</v>
      </c>
    </row>
    <row r="171" spans="1:3" x14ac:dyDescent="0.2">
      <c r="A171" t="s">
        <v>142</v>
      </c>
      <c r="B171" t="s">
        <v>357</v>
      </c>
      <c r="C171" t="s">
        <v>661</v>
      </c>
    </row>
    <row r="172" spans="1:3" x14ac:dyDescent="0.2">
      <c r="A172" t="s">
        <v>143</v>
      </c>
      <c r="B172" t="s">
        <v>358</v>
      </c>
      <c r="C172" t="s">
        <v>660</v>
      </c>
    </row>
    <row r="173" spans="1:3" x14ac:dyDescent="0.2">
      <c r="A173" t="s">
        <v>144</v>
      </c>
      <c r="B173" t="s">
        <v>355</v>
      </c>
      <c r="C173" t="s">
        <v>659</v>
      </c>
    </row>
    <row r="174" spans="1:3" x14ac:dyDescent="0.2">
      <c r="A174" t="s">
        <v>145</v>
      </c>
      <c r="B174" t="s">
        <v>357</v>
      </c>
      <c r="C174" t="s">
        <v>658</v>
      </c>
    </row>
    <row r="175" spans="1:3" x14ac:dyDescent="0.2">
      <c r="A175" t="s">
        <v>146</v>
      </c>
      <c r="B175" t="s">
        <v>358</v>
      </c>
      <c r="C175" t="s">
        <v>657</v>
      </c>
    </row>
    <row r="176" spans="1:3" x14ac:dyDescent="0.2">
      <c r="A176" t="s">
        <v>147</v>
      </c>
      <c r="B176" t="s">
        <v>355</v>
      </c>
      <c r="C176" t="s">
        <v>656</v>
      </c>
    </row>
    <row r="177" spans="1:3" x14ac:dyDescent="0.2">
      <c r="A177" t="s">
        <v>148</v>
      </c>
      <c r="B177" t="s">
        <v>357</v>
      </c>
      <c r="C177" t="s">
        <v>655</v>
      </c>
    </row>
    <row r="178" spans="1:3" x14ac:dyDescent="0.2">
      <c r="A178" t="s">
        <v>149</v>
      </c>
      <c r="B178" t="s">
        <v>358</v>
      </c>
      <c r="C178" t="s">
        <v>654</v>
      </c>
    </row>
    <row r="179" spans="1:3" x14ac:dyDescent="0.2">
      <c r="A179" t="s">
        <v>328</v>
      </c>
      <c r="B179" t="s">
        <v>345</v>
      </c>
      <c r="C179" t="s">
        <v>808</v>
      </c>
    </row>
    <row r="180" spans="1:3" x14ac:dyDescent="0.2">
      <c r="A180" t="s">
        <v>329</v>
      </c>
      <c r="B180" t="s">
        <v>345</v>
      </c>
      <c r="C180" t="s">
        <v>809</v>
      </c>
    </row>
    <row r="181" spans="1:3" x14ac:dyDescent="0.2">
      <c r="A181" t="s">
        <v>330</v>
      </c>
      <c r="B181" t="s">
        <v>345</v>
      </c>
      <c r="C181" t="s">
        <v>810</v>
      </c>
    </row>
    <row r="182" spans="1:3" x14ac:dyDescent="0.2">
      <c r="A182" t="s">
        <v>331</v>
      </c>
      <c r="B182" t="s">
        <v>345</v>
      </c>
      <c r="C182" t="s">
        <v>811</v>
      </c>
    </row>
    <row r="183" spans="1:3" x14ac:dyDescent="0.2">
      <c r="A183" t="s">
        <v>332</v>
      </c>
      <c r="B183" t="s">
        <v>345</v>
      </c>
      <c r="C183" t="s">
        <v>812</v>
      </c>
    </row>
    <row r="184" spans="1:3" x14ac:dyDescent="0.2">
      <c r="A184" t="s">
        <v>333</v>
      </c>
      <c r="B184" t="s">
        <v>345</v>
      </c>
      <c r="C184" t="s">
        <v>813</v>
      </c>
    </row>
    <row r="185" spans="1:3" x14ac:dyDescent="0.2">
      <c r="A185" t="s">
        <v>334</v>
      </c>
      <c r="B185" t="s">
        <v>345</v>
      </c>
      <c r="C185" t="s">
        <v>814</v>
      </c>
    </row>
    <row r="186" spans="1:3" x14ac:dyDescent="0.2">
      <c r="A186" t="s">
        <v>150</v>
      </c>
      <c r="B186" t="s">
        <v>349</v>
      </c>
      <c r="C186" t="s">
        <v>653</v>
      </c>
    </row>
    <row r="187" spans="1:3" x14ac:dyDescent="0.2">
      <c r="A187" t="s">
        <v>151</v>
      </c>
      <c r="B187" t="s">
        <v>349</v>
      </c>
      <c r="C187" t="s">
        <v>652</v>
      </c>
    </row>
    <row r="188" spans="1:3" x14ac:dyDescent="0.2">
      <c r="A188" t="s">
        <v>152</v>
      </c>
      <c r="B188" t="s">
        <v>349</v>
      </c>
      <c r="C188" t="s">
        <v>651</v>
      </c>
    </row>
    <row r="189" spans="1:3" x14ac:dyDescent="0.2">
      <c r="A189" t="s">
        <v>153</v>
      </c>
      <c r="B189" t="s">
        <v>349</v>
      </c>
      <c r="C189" t="s">
        <v>650</v>
      </c>
    </row>
    <row r="190" spans="1:3" x14ac:dyDescent="0.2">
      <c r="A190" t="s">
        <v>154</v>
      </c>
      <c r="B190" t="s">
        <v>350</v>
      </c>
      <c r="C190" t="s">
        <v>649</v>
      </c>
    </row>
    <row r="191" spans="1:3" x14ac:dyDescent="0.2">
      <c r="A191" t="s">
        <v>283</v>
      </c>
      <c r="B191" t="s">
        <v>353</v>
      </c>
      <c r="C191" t="s">
        <v>648</v>
      </c>
    </row>
    <row r="192" spans="1:3" x14ac:dyDescent="0.2">
      <c r="A192" t="s">
        <v>155</v>
      </c>
      <c r="B192" t="s">
        <v>351</v>
      </c>
      <c r="C192" t="s">
        <v>647</v>
      </c>
    </row>
    <row r="193" spans="1:3" x14ac:dyDescent="0.2">
      <c r="A193" t="s">
        <v>156</v>
      </c>
      <c r="B193" t="s">
        <v>349</v>
      </c>
      <c r="C193" t="s">
        <v>646</v>
      </c>
    </row>
    <row r="194" spans="1:3" x14ac:dyDescent="0.2">
      <c r="A194" t="s">
        <v>335</v>
      </c>
      <c r="B194" t="s">
        <v>345</v>
      </c>
      <c r="C194" t="s">
        <v>815</v>
      </c>
    </row>
    <row r="195" spans="1:3" x14ac:dyDescent="0.2">
      <c r="A195" t="s">
        <v>336</v>
      </c>
      <c r="B195" t="s">
        <v>345</v>
      </c>
      <c r="C195" t="s">
        <v>816</v>
      </c>
    </row>
    <row r="196" spans="1:3" x14ac:dyDescent="0.2">
      <c r="A196" t="s">
        <v>337</v>
      </c>
      <c r="B196" t="s">
        <v>345</v>
      </c>
      <c r="C196" t="s">
        <v>817</v>
      </c>
    </row>
    <row r="197" spans="1:3" x14ac:dyDescent="0.2">
      <c r="A197" t="s">
        <v>338</v>
      </c>
      <c r="B197" t="s">
        <v>345</v>
      </c>
      <c r="C197" t="s">
        <v>818</v>
      </c>
    </row>
    <row r="198" spans="1:3" x14ac:dyDescent="0.2">
      <c r="A198" t="s">
        <v>339</v>
      </c>
      <c r="B198" t="s">
        <v>345</v>
      </c>
      <c r="C198" t="s">
        <v>819</v>
      </c>
    </row>
    <row r="199" spans="1:3" x14ac:dyDescent="0.2">
      <c r="A199" t="s">
        <v>340</v>
      </c>
      <c r="B199" t="s">
        <v>345</v>
      </c>
      <c r="C199" t="s">
        <v>820</v>
      </c>
    </row>
    <row r="200" spans="1:3" x14ac:dyDescent="0.2">
      <c r="A200" t="s">
        <v>341</v>
      </c>
      <c r="B200" t="s">
        <v>345</v>
      </c>
      <c r="C200" t="s">
        <v>821</v>
      </c>
    </row>
    <row r="201" spans="1:3" x14ac:dyDescent="0.2">
      <c r="A201" t="s">
        <v>157</v>
      </c>
      <c r="B201" t="s">
        <v>349</v>
      </c>
      <c r="C201" t="s">
        <v>645</v>
      </c>
    </row>
    <row r="202" spans="1:3" x14ac:dyDescent="0.2">
      <c r="A202" t="s">
        <v>320</v>
      </c>
      <c r="B202" t="s">
        <v>349</v>
      </c>
      <c r="C202" t="s">
        <v>644</v>
      </c>
    </row>
    <row r="203" spans="1:3" x14ac:dyDescent="0.2">
      <c r="A203" t="s">
        <v>158</v>
      </c>
      <c r="B203" t="s">
        <v>349</v>
      </c>
      <c r="C203" t="s">
        <v>643</v>
      </c>
    </row>
    <row r="204" spans="1:3" x14ac:dyDescent="0.2">
      <c r="A204" t="s">
        <v>159</v>
      </c>
      <c r="B204" t="s">
        <v>349</v>
      </c>
      <c r="C204" t="s">
        <v>642</v>
      </c>
    </row>
    <row r="205" spans="1:3" x14ac:dyDescent="0.2">
      <c r="A205" t="s">
        <v>160</v>
      </c>
      <c r="B205" t="s">
        <v>350</v>
      </c>
      <c r="C205" t="s">
        <v>641</v>
      </c>
    </row>
    <row r="206" spans="1:3" x14ac:dyDescent="0.2">
      <c r="A206" t="s">
        <v>161</v>
      </c>
      <c r="B206" t="s">
        <v>351</v>
      </c>
      <c r="C206" t="s">
        <v>640</v>
      </c>
    </row>
    <row r="207" spans="1:3" x14ac:dyDescent="0.2">
      <c r="A207" t="s">
        <v>162</v>
      </c>
      <c r="B207" t="s">
        <v>349</v>
      </c>
      <c r="C207" t="s">
        <v>639</v>
      </c>
    </row>
    <row r="208" spans="1:3" x14ac:dyDescent="0.2">
      <c r="A208" t="s">
        <v>163</v>
      </c>
      <c r="B208" t="s">
        <v>345</v>
      </c>
      <c r="C208" t="s">
        <v>638</v>
      </c>
    </row>
    <row r="209" spans="1:3" x14ac:dyDescent="0.2">
      <c r="A209" t="s">
        <v>164</v>
      </c>
      <c r="B209" t="s">
        <v>345</v>
      </c>
      <c r="C209" t="s">
        <v>637</v>
      </c>
    </row>
    <row r="210" spans="1:3" x14ac:dyDescent="0.2">
      <c r="A210" t="s">
        <v>165</v>
      </c>
      <c r="B210" t="s">
        <v>345</v>
      </c>
      <c r="C210" t="s">
        <v>636</v>
      </c>
    </row>
    <row r="211" spans="1:3" x14ac:dyDescent="0.2">
      <c r="A211" t="s">
        <v>3</v>
      </c>
      <c r="B211" t="s">
        <v>345</v>
      </c>
      <c r="C211" t="s">
        <v>635</v>
      </c>
    </row>
    <row r="212" spans="1:3" x14ac:dyDescent="0.2">
      <c r="A212" t="s">
        <v>166</v>
      </c>
      <c r="B212" t="s">
        <v>345</v>
      </c>
      <c r="C212" t="s">
        <v>634</v>
      </c>
    </row>
    <row r="213" spans="1:3" x14ac:dyDescent="0.2">
      <c r="A213" t="s">
        <v>167</v>
      </c>
      <c r="B213" t="s">
        <v>345</v>
      </c>
      <c r="C213" t="s">
        <v>633</v>
      </c>
    </row>
    <row r="214" spans="1:3" x14ac:dyDescent="0.2">
      <c r="A214" t="s">
        <v>4</v>
      </c>
      <c r="B214" t="s">
        <v>345</v>
      </c>
      <c r="C214" t="s">
        <v>632</v>
      </c>
    </row>
    <row r="215" spans="1:3" x14ac:dyDescent="0.2">
      <c r="A215" t="s">
        <v>168</v>
      </c>
      <c r="B215" t="s">
        <v>345</v>
      </c>
      <c r="C215" t="s">
        <v>631</v>
      </c>
    </row>
    <row r="216" spans="1:3" x14ac:dyDescent="0.2">
      <c r="A216" t="s">
        <v>169</v>
      </c>
      <c r="B216" t="s">
        <v>345</v>
      </c>
      <c r="C216" t="s">
        <v>630</v>
      </c>
    </row>
    <row r="217" spans="1:3" x14ac:dyDescent="0.2">
      <c r="A217" t="s">
        <v>170</v>
      </c>
      <c r="B217" t="s">
        <v>345</v>
      </c>
      <c r="C217" t="s">
        <v>629</v>
      </c>
    </row>
    <row r="218" spans="1:3" x14ac:dyDescent="0.2">
      <c r="A218" t="s">
        <v>171</v>
      </c>
      <c r="B218" t="s">
        <v>345</v>
      </c>
      <c r="C218" t="s">
        <v>628</v>
      </c>
    </row>
    <row r="219" spans="1:3" x14ac:dyDescent="0.2">
      <c r="A219" t="s">
        <v>172</v>
      </c>
      <c r="B219" t="s">
        <v>345</v>
      </c>
      <c r="C219" t="s">
        <v>627</v>
      </c>
    </row>
    <row r="220" spans="1:3" x14ac:dyDescent="0.2">
      <c r="A220" t="s">
        <v>173</v>
      </c>
      <c r="B220" t="s">
        <v>345</v>
      </c>
      <c r="C220" t="s">
        <v>626</v>
      </c>
    </row>
    <row r="221" spans="1:3" x14ac:dyDescent="0.2">
      <c r="A221" t="s">
        <v>174</v>
      </c>
      <c r="B221" t="s">
        <v>345</v>
      </c>
      <c r="C221" t="s">
        <v>625</v>
      </c>
    </row>
    <row r="222" spans="1:3" x14ac:dyDescent="0.2">
      <c r="A222" t="s">
        <v>175</v>
      </c>
      <c r="B222" t="s">
        <v>354</v>
      </c>
      <c r="C222" t="s">
        <v>624</v>
      </c>
    </row>
    <row r="223" spans="1:3" x14ac:dyDescent="0.2">
      <c r="A223" t="s">
        <v>321</v>
      </c>
      <c r="B223" t="s">
        <v>354</v>
      </c>
      <c r="C223" t="s">
        <v>623</v>
      </c>
    </row>
    <row r="224" spans="1:3" x14ac:dyDescent="0.2">
      <c r="A224" t="s">
        <v>176</v>
      </c>
      <c r="B224" t="s">
        <v>354</v>
      </c>
      <c r="C224" t="s">
        <v>622</v>
      </c>
    </row>
    <row r="225" spans="1:3" x14ac:dyDescent="0.2">
      <c r="A225" t="s">
        <v>177</v>
      </c>
      <c r="B225" t="s">
        <v>354</v>
      </c>
      <c r="C225" t="s">
        <v>621</v>
      </c>
    </row>
    <row r="226" spans="1:3" x14ac:dyDescent="0.2">
      <c r="A226" t="s">
        <v>178</v>
      </c>
      <c r="B226" t="s">
        <v>354</v>
      </c>
      <c r="C226" t="s">
        <v>620</v>
      </c>
    </row>
    <row r="227" spans="1:3" x14ac:dyDescent="0.2">
      <c r="A227" t="s">
        <v>179</v>
      </c>
      <c r="B227" t="s">
        <v>354</v>
      </c>
      <c r="C227" t="s">
        <v>619</v>
      </c>
    </row>
    <row r="228" spans="1:3" x14ac:dyDescent="0.2">
      <c r="A228" t="s">
        <v>180</v>
      </c>
      <c r="B228" t="s">
        <v>355</v>
      </c>
      <c r="C228" t="s">
        <v>618</v>
      </c>
    </row>
    <row r="229" spans="1:3" x14ac:dyDescent="0.2">
      <c r="A229" t="s">
        <v>181</v>
      </c>
      <c r="B229" t="s">
        <v>355</v>
      </c>
      <c r="C229" t="s">
        <v>617</v>
      </c>
    </row>
    <row r="230" spans="1:3" x14ac:dyDescent="0.2">
      <c r="A230" t="s">
        <v>182</v>
      </c>
      <c r="B230" t="s">
        <v>355</v>
      </c>
      <c r="C230" t="s">
        <v>616</v>
      </c>
    </row>
    <row r="231" spans="1:3" x14ac:dyDescent="0.2">
      <c r="A231" t="s">
        <v>183</v>
      </c>
      <c r="B231" t="s">
        <v>355</v>
      </c>
      <c r="C231" t="s">
        <v>615</v>
      </c>
    </row>
    <row r="232" spans="1:3" x14ac:dyDescent="0.2">
      <c r="A232" t="s">
        <v>184</v>
      </c>
      <c r="B232" t="s">
        <v>355</v>
      </c>
      <c r="C232" t="s">
        <v>614</v>
      </c>
    </row>
    <row r="233" spans="1:3" x14ac:dyDescent="0.2">
      <c r="A233" t="s">
        <v>185</v>
      </c>
      <c r="B233" t="s">
        <v>355</v>
      </c>
      <c r="C233" t="s">
        <v>613</v>
      </c>
    </row>
    <row r="234" spans="1:3" x14ac:dyDescent="0.2">
      <c r="A234" t="s">
        <v>186</v>
      </c>
      <c r="B234" t="s">
        <v>355</v>
      </c>
      <c r="C234" t="s">
        <v>612</v>
      </c>
    </row>
    <row r="235" spans="1:3" x14ac:dyDescent="0.2">
      <c r="A235" t="s">
        <v>187</v>
      </c>
      <c r="B235" t="s">
        <v>356</v>
      </c>
      <c r="C235" t="s">
        <v>611</v>
      </c>
    </row>
    <row r="236" spans="1:3" x14ac:dyDescent="0.2">
      <c r="A236" t="s">
        <v>188</v>
      </c>
      <c r="B236" t="s">
        <v>356</v>
      </c>
      <c r="C236" t="s">
        <v>610</v>
      </c>
    </row>
    <row r="237" spans="1:3" x14ac:dyDescent="0.2">
      <c r="A237" t="s">
        <v>189</v>
      </c>
      <c r="B237" t="s">
        <v>356</v>
      </c>
      <c r="C237" t="s">
        <v>609</v>
      </c>
    </row>
    <row r="238" spans="1:3" x14ac:dyDescent="0.2">
      <c r="A238" t="s">
        <v>190</v>
      </c>
      <c r="B238" t="s">
        <v>356</v>
      </c>
      <c r="C238" t="s">
        <v>608</v>
      </c>
    </row>
    <row r="239" spans="1:3" x14ac:dyDescent="0.2">
      <c r="A239" t="s">
        <v>191</v>
      </c>
      <c r="B239" t="s">
        <v>356</v>
      </c>
      <c r="C239" t="s">
        <v>607</v>
      </c>
    </row>
    <row r="240" spans="1:3" x14ac:dyDescent="0.2">
      <c r="A240" t="s">
        <v>192</v>
      </c>
      <c r="B240" t="s">
        <v>356</v>
      </c>
      <c r="C240" t="s">
        <v>606</v>
      </c>
    </row>
    <row r="241" spans="1:3" x14ac:dyDescent="0.2">
      <c r="A241" t="s">
        <v>193</v>
      </c>
      <c r="B241" t="s">
        <v>356</v>
      </c>
      <c r="C241" t="s">
        <v>605</v>
      </c>
    </row>
    <row r="242" spans="1:3" x14ac:dyDescent="0.2">
      <c r="A242" t="s">
        <v>194</v>
      </c>
      <c r="B242" t="s">
        <v>355</v>
      </c>
      <c r="C242" t="s">
        <v>604</v>
      </c>
    </row>
    <row r="243" spans="1:3" x14ac:dyDescent="0.2">
      <c r="A243" t="s">
        <v>197</v>
      </c>
      <c r="B243" t="s">
        <v>357</v>
      </c>
      <c r="C243" t="s">
        <v>603</v>
      </c>
    </row>
    <row r="244" spans="1:3" x14ac:dyDescent="0.2">
      <c r="A244" t="s">
        <v>198</v>
      </c>
      <c r="B244" t="s">
        <v>358</v>
      </c>
      <c r="C244" t="s">
        <v>602</v>
      </c>
    </row>
    <row r="245" spans="1:3" x14ac:dyDescent="0.2">
      <c r="A245" t="s">
        <v>195</v>
      </c>
      <c r="B245" t="s">
        <v>355</v>
      </c>
      <c r="C245" t="s">
        <v>601</v>
      </c>
    </row>
    <row r="246" spans="1:3" x14ac:dyDescent="0.2">
      <c r="A246" t="s">
        <v>199</v>
      </c>
      <c r="B246" t="s">
        <v>357</v>
      </c>
      <c r="C246" t="s">
        <v>600</v>
      </c>
    </row>
    <row r="247" spans="1:3" x14ac:dyDescent="0.2">
      <c r="A247" t="s">
        <v>200</v>
      </c>
      <c r="B247" t="s">
        <v>358</v>
      </c>
      <c r="C247" t="s">
        <v>599</v>
      </c>
    </row>
    <row r="248" spans="1:3" x14ac:dyDescent="0.2">
      <c r="A248" t="s">
        <v>196</v>
      </c>
      <c r="B248" t="s">
        <v>355</v>
      </c>
      <c r="C248" t="s">
        <v>598</v>
      </c>
    </row>
    <row r="249" spans="1:3" x14ac:dyDescent="0.2">
      <c r="A249" t="s">
        <v>201</v>
      </c>
      <c r="B249" t="s">
        <v>357</v>
      </c>
      <c r="C249" t="s">
        <v>597</v>
      </c>
    </row>
    <row r="250" spans="1:3" x14ac:dyDescent="0.2">
      <c r="A250" t="s">
        <v>202</v>
      </c>
      <c r="B250" t="s">
        <v>358</v>
      </c>
      <c r="C250" t="s">
        <v>596</v>
      </c>
    </row>
    <row r="251" spans="1:3" x14ac:dyDescent="0.2">
      <c r="A251" t="s">
        <v>203</v>
      </c>
      <c r="B251" t="s">
        <v>355</v>
      </c>
      <c r="C251" t="s">
        <v>595</v>
      </c>
    </row>
    <row r="252" spans="1:3" x14ac:dyDescent="0.2">
      <c r="A252" t="s">
        <v>204</v>
      </c>
      <c r="B252" t="s">
        <v>357</v>
      </c>
      <c r="C252" t="s">
        <v>594</v>
      </c>
    </row>
    <row r="253" spans="1:3" x14ac:dyDescent="0.2">
      <c r="A253" t="s">
        <v>205</v>
      </c>
      <c r="B253" t="s">
        <v>358</v>
      </c>
      <c r="C253" t="s">
        <v>593</v>
      </c>
    </row>
    <row r="254" spans="1:3" x14ac:dyDescent="0.2">
      <c r="A254" t="s">
        <v>206</v>
      </c>
      <c r="B254" t="s">
        <v>355</v>
      </c>
      <c r="C254" t="s">
        <v>592</v>
      </c>
    </row>
    <row r="255" spans="1:3" x14ac:dyDescent="0.2">
      <c r="A255" t="s">
        <v>207</v>
      </c>
      <c r="B255" t="s">
        <v>357</v>
      </c>
      <c r="C255" t="s">
        <v>591</v>
      </c>
    </row>
    <row r="256" spans="1:3" x14ac:dyDescent="0.2">
      <c r="A256" t="s">
        <v>208</v>
      </c>
      <c r="B256" t="s">
        <v>358</v>
      </c>
      <c r="C256" t="s">
        <v>590</v>
      </c>
    </row>
    <row r="257" spans="1:3" x14ac:dyDescent="0.2">
      <c r="A257" t="s">
        <v>209</v>
      </c>
      <c r="B257" t="s">
        <v>355</v>
      </c>
      <c r="C257" t="s">
        <v>592</v>
      </c>
    </row>
    <row r="258" spans="1:3" x14ac:dyDescent="0.2">
      <c r="A258" t="s">
        <v>210</v>
      </c>
      <c r="B258" t="s">
        <v>357</v>
      </c>
      <c r="C258" t="s">
        <v>591</v>
      </c>
    </row>
    <row r="259" spans="1:3" x14ac:dyDescent="0.2">
      <c r="A259" t="s">
        <v>211</v>
      </c>
      <c r="B259" t="s">
        <v>358</v>
      </c>
      <c r="C259" t="s">
        <v>590</v>
      </c>
    </row>
    <row r="260" spans="1:3" x14ac:dyDescent="0.2">
      <c r="A260" t="s">
        <v>212</v>
      </c>
      <c r="B260" t="s">
        <v>355</v>
      </c>
      <c r="C260" t="s">
        <v>592</v>
      </c>
    </row>
    <row r="261" spans="1:3" x14ac:dyDescent="0.2">
      <c r="A261" t="s">
        <v>213</v>
      </c>
      <c r="B261" t="s">
        <v>357</v>
      </c>
      <c r="C261" t="s">
        <v>591</v>
      </c>
    </row>
    <row r="262" spans="1:3" x14ac:dyDescent="0.2">
      <c r="A262" t="s">
        <v>214</v>
      </c>
      <c r="B262" t="s">
        <v>358</v>
      </c>
      <c r="C262" t="s">
        <v>590</v>
      </c>
    </row>
    <row r="263" spans="1:3" x14ac:dyDescent="0.2">
      <c r="A263" t="s">
        <v>215</v>
      </c>
      <c r="B263" t="s">
        <v>355</v>
      </c>
      <c r="C263" t="s">
        <v>589</v>
      </c>
    </row>
    <row r="264" spans="1:3" x14ac:dyDescent="0.2">
      <c r="A264" t="s">
        <v>216</v>
      </c>
      <c r="B264" t="s">
        <v>357</v>
      </c>
      <c r="C264" t="s">
        <v>588</v>
      </c>
    </row>
    <row r="265" spans="1:3" x14ac:dyDescent="0.2">
      <c r="A265" t="s">
        <v>217</v>
      </c>
      <c r="B265" t="s">
        <v>358</v>
      </c>
      <c r="C265" t="s">
        <v>587</v>
      </c>
    </row>
    <row r="266" spans="1:3" x14ac:dyDescent="0.2">
      <c r="A266" t="s">
        <v>218</v>
      </c>
      <c r="B266" t="s">
        <v>355</v>
      </c>
      <c r="C266" t="s">
        <v>586</v>
      </c>
    </row>
    <row r="267" spans="1:3" x14ac:dyDescent="0.2">
      <c r="A267" t="s">
        <v>219</v>
      </c>
      <c r="B267" t="s">
        <v>357</v>
      </c>
      <c r="C267" t="s">
        <v>585</v>
      </c>
    </row>
    <row r="268" spans="1:3" x14ac:dyDescent="0.2">
      <c r="A268" t="s">
        <v>220</v>
      </c>
      <c r="B268" t="s">
        <v>358</v>
      </c>
      <c r="C268" t="s">
        <v>584</v>
      </c>
    </row>
    <row r="269" spans="1:3" x14ac:dyDescent="0.2">
      <c r="A269" t="s">
        <v>221</v>
      </c>
      <c r="B269" t="s">
        <v>355</v>
      </c>
      <c r="C269" t="s">
        <v>583</v>
      </c>
    </row>
    <row r="270" spans="1:3" x14ac:dyDescent="0.2">
      <c r="A270" t="s">
        <v>222</v>
      </c>
      <c r="B270" t="s">
        <v>357</v>
      </c>
      <c r="C270" t="s">
        <v>582</v>
      </c>
    </row>
    <row r="271" spans="1:3" x14ac:dyDescent="0.2">
      <c r="A271" t="s">
        <v>223</v>
      </c>
      <c r="B271" t="s">
        <v>358</v>
      </c>
      <c r="C271" t="s">
        <v>581</v>
      </c>
    </row>
    <row r="272" spans="1:3" x14ac:dyDescent="0.2">
      <c r="A272" t="s">
        <v>224</v>
      </c>
      <c r="B272" t="s">
        <v>355</v>
      </c>
      <c r="C272" t="s">
        <v>580</v>
      </c>
    </row>
    <row r="273" spans="1:3" x14ac:dyDescent="0.2">
      <c r="A273" t="s">
        <v>225</v>
      </c>
      <c r="B273" t="s">
        <v>357</v>
      </c>
      <c r="C273" t="s">
        <v>579</v>
      </c>
    </row>
    <row r="274" spans="1:3" x14ac:dyDescent="0.2">
      <c r="A274" t="s">
        <v>226</v>
      </c>
      <c r="B274" t="s">
        <v>358</v>
      </c>
      <c r="C274" t="s">
        <v>578</v>
      </c>
    </row>
    <row r="275" spans="1:3" x14ac:dyDescent="0.2">
      <c r="A275" s="1" t="s">
        <v>227</v>
      </c>
      <c r="B275" t="s">
        <v>355</v>
      </c>
      <c r="C275" t="s">
        <v>577</v>
      </c>
    </row>
    <row r="276" spans="1:3" x14ac:dyDescent="0.2">
      <c r="A276" s="1" t="s">
        <v>228</v>
      </c>
      <c r="B276" t="s">
        <v>357</v>
      </c>
      <c r="C276" t="s">
        <v>576</v>
      </c>
    </row>
    <row r="277" spans="1:3" x14ac:dyDescent="0.2">
      <c r="A277" s="1" t="s">
        <v>229</v>
      </c>
      <c r="B277" t="s">
        <v>358</v>
      </c>
      <c r="C277" t="s">
        <v>575</v>
      </c>
    </row>
    <row r="278" spans="1:3" x14ac:dyDescent="0.2">
      <c r="A278" s="1" t="s">
        <v>230</v>
      </c>
      <c r="B278" t="s">
        <v>355</v>
      </c>
      <c r="C278" t="s">
        <v>577</v>
      </c>
    </row>
    <row r="279" spans="1:3" x14ac:dyDescent="0.2">
      <c r="A279" s="1" t="s">
        <v>231</v>
      </c>
      <c r="B279" t="s">
        <v>357</v>
      </c>
      <c r="C279" t="s">
        <v>576</v>
      </c>
    </row>
    <row r="280" spans="1:3" x14ac:dyDescent="0.2">
      <c r="A280" s="1" t="s">
        <v>232</v>
      </c>
      <c r="B280" t="s">
        <v>358</v>
      </c>
      <c r="C280" t="s">
        <v>575</v>
      </c>
    </row>
    <row r="281" spans="1:3" x14ac:dyDescent="0.2">
      <c r="A281" s="1" t="s">
        <v>233</v>
      </c>
      <c r="B281" t="s">
        <v>355</v>
      </c>
      <c r="C281" t="s">
        <v>577</v>
      </c>
    </row>
    <row r="282" spans="1:3" x14ac:dyDescent="0.2">
      <c r="A282" s="1" t="s">
        <v>234</v>
      </c>
      <c r="B282" t="s">
        <v>357</v>
      </c>
      <c r="C282" t="s">
        <v>576</v>
      </c>
    </row>
    <row r="283" spans="1:3" x14ac:dyDescent="0.2">
      <c r="A283" s="1" t="s">
        <v>235</v>
      </c>
      <c r="B283" t="s">
        <v>358</v>
      </c>
      <c r="C283" t="s">
        <v>575</v>
      </c>
    </row>
    <row r="284" spans="1:3" x14ac:dyDescent="0.2">
      <c r="A284" t="s">
        <v>236</v>
      </c>
      <c r="B284" t="s">
        <v>355</v>
      </c>
      <c r="C284" t="s">
        <v>574</v>
      </c>
    </row>
    <row r="285" spans="1:3" x14ac:dyDescent="0.2">
      <c r="A285" t="s">
        <v>237</v>
      </c>
      <c r="B285" t="s">
        <v>357</v>
      </c>
      <c r="C285" t="s">
        <v>573</v>
      </c>
    </row>
    <row r="286" spans="1:3" x14ac:dyDescent="0.2">
      <c r="A286" t="s">
        <v>238</v>
      </c>
      <c r="B286" t="s">
        <v>358</v>
      </c>
      <c r="C286" t="s">
        <v>572</v>
      </c>
    </row>
    <row r="287" spans="1:3" x14ac:dyDescent="0.2">
      <c r="A287" t="s">
        <v>239</v>
      </c>
      <c r="B287" t="s">
        <v>355</v>
      </c>
      <c r="C287" t="s">
        <v>571</v>
      </c>
    </row>
    <row r="288" spans="1:3" x14ac:dyDescent="0.2">
      <c r="A288" t="s">
        <v>240</v>
      </c>
      <c r="B288" t="s">
        <v>357</v>
      </c>
      <c r="C288" t="s">
        <v>570</v>
      </c>
    </row>
    <row r="289" spans="1:3" x14ac:dyDescent="0.2">
      <c r="A289" t="s">
        <v>241</v>
      </c>
      <c r="B289" t="s">
        <v>358</v>
      </c>
      <c r="C289" t="s">
        <v>569</v>
      </c>
    </row>
    <row r="290" spans="1:3" x14ac:dyDescent="0.2">
      <c r="A290" t="s">
        <v>242</v>
      </c>
      <c r="B290" t="s">
        <v>355</v>
      </c>
      <c r="C290" t="s">
        <v>568</v>
      </c>
    </row>
    <row r="291" spans="1:3" x14ac:dyDescent="0.2">
      <c r="A291" t="s">
        <v>243</v>
      </c>
      <c r="B291" t="s">
        <v>357</v>
      </c>
      <c r="C291" t="s">
        <v>567</v>
      </c>
    </row>
    <row r="292" spans="1:3" x14ac:dyDescent="0.2">
      <c r="A292" t="s">
        <v>244</v>
      </c>
      <c r="B292" t="s">
        <v>358</v>
      </c>
      <c r="C292" t="s">
        <v>566</v>
      </c>
    </row>
    <row r="293" spans="1:3" x14ac:dyDescent="0.2">
      <c r="A293" s="1" t="s">
        <v>245</v>
      </c>
      <c r="B293" t="s">
        <v>355</v>
      </c>
      <c r="C293" t="s">
        <v>565</v>
      </c>
    </row>
    <row r="294" spans="1:3" x14ac:dyDescent="0.2">
      <c r="A294" s="1" t="s">
        <v>246</v>
      </c>
      <c r="B294" t="s">
        <v>357</v>
      </c>
      <c r="C294" t="s">
        <v>564</v>
      </c>
    </row>
    <row r="295" spans="1:3" x14ac:dyDescent="0.2">
      <c r="A295" s="1" t="s">
        <v>247</v>
      </c>
      <c r="B295" t="s">
        <v>358</v>
      </c>
      <c r="C295" t="s">
        <v>563</v>
      </c>
    </row>
    <row r="296" spans="1:3" x14ac:dyDescent="0.2">
      <c r="A296" s="1" t="s">
        <v>248</v>
      </c>
      <c r="B296" t="s">
        <v>355</v>
      </c>
      <c r="C296" t="s">
        <v>562</v>
      </c>
    </row>
    <row r="297" spans="1:3" x14ac:dyDescent="0.2">
      <c r="A297" s="1" t="s">
        <v>249</v>
      </c>
      <c r="B297" t="s">
        <v>357</v>
      </c>
      <c r="C297" t="s">
        <v>561</v>
      </c>
    </row>
    <row r="298" spans="1:3" x14ac:dyDescent="0.2">
      <c r="A298" s="1" t="s">
        <v>250</v>
      </c>
      <c r="B298" t="s">
        <v>358</v>
      </c>
      <c r="C298" t="s">
        <v>560</v>
      </c>
    </row>
    <row r="299" spans="1:3" x14ac:dyDescent="0.2">
      <c r="A299" s="1" t="s">
        <v>251</v>
      </c>
      <c r="B299" t="s">
        <v>355</v>
      </c>
      <c r="C299" t="s">
        <v>559</v>
      </c>
    </row>
    <row r="300" spans="1:3" x14ac:dyDescent="0.2">
      <c r="A300" s="1" t="s">
        <v>252</v>
      </c>
      <c r="B300" t="s">
        <v>357</v>
      </c>
      <c r="C300" t="s">
        <v>558</v>
      </c>
    </row>
    <row r="301" spans="1:3" x14ac:dyDescent="0.2">
      <c r="A301" s="1" t="s">
        <v>253</v>
      </c>
      <c r="B301" t="s">
        <v>358</v>
      </c>
      <c r="C301" t="s">
        <v>557</v>
      </c>
    </row>
    <row r="302" spans="1:3" x14ac:dyDescent="0.2">
      <c r="A302" s="1" t="s">
        <v>254</v>
      </c>
      <c r="B302" t="s">
        <v>355</v>
      </c>
      <c r="C302" t="s">
        <v>556</v>
      </c>
    </row>
    <row r="303" spans="1:3" x14ac:dyDescent="0.2">
      <c r="A303" s="1" t="s">
        <v>255</v>
      </c>
      <c r="B303" t="s">
        <v>357</v>
      </c>
      <c r="C303" t="s">
        <v>555</v>
      </c>
    </row>
    <row r="304" spans="1:3" x14ac:dyDescent="0.2">
      <c r="A304" s="1" t="s">
        <v>256</v>
      </c>
      <c r="B304" t="s">
        <v>358</v>
      </c>
      <c r="C304" t="s">
        <v>554</v>
      </c>
    </row>
    <row r="305" spans="1:3" x14ac:dyDescent="0.2">
      <c r="A305" s="1" t="s">
        <v>257</v>
      </c>
      <c r="B305" t="s">
        <v>355</v>
      </c>
      <c r="C305" t="s">
        <v>553</v>
      </c>
    </row>
    <row r="306" spans="1:3" x14ac:dyDescent="0.2">
      <c r="A306" t="s">
        <v>258</v>
      </c>
      <c r="B306" t="s">
        <v>357</v>
      </c>
      <c r="C306" t="s">
        <v>552</v>
      </c>
    </row>
    <row r="307" spans="1:3" x14ac:dyDescent="0.2">
      <c r="A307" t="s">
        <v>259</v>
      </c>
      <c r="B307" t="s">
        <v>358</v>
      </c>
      <c r="C307" t="s">
        <v>551</v>
      </c>
    </row>
    <row r="308" spans="1:3" x14ac:dyDescent="0.2">
      <c r="A308" s="1" t="s">
        <v>260</v>
      </c>
      <c r="B308" t="s">
        <v>355</v>
      </c>
      <c r="C308" t="s">
        <v>550</v>
      </c>
    </row>
    <row r="309" spans="1:3" x14ac:dyDescent="0.2">
      <c r="A309" t="s">
        <v>261</v>
      </c>
      <c r="B309" t="s">
        <v>357</v>
      </c>
      <c r="C309" t="s">
        <v>549</v>
      </c>
    </row>
    <row r="310" spans="1:3" x14ac:dyDescent="0.2">
      <c r="A310" t="s">
        <v>262</v>
      </c>
      <c r="B310" t="s">
        <v>358</v>
      </c>
      <c r="C310" t="s">
        <v>548</v>
      </c>
    </row>
    <row r="311" spans="1:3" x14ac:dyDescent="0.2">
      <c r="A311" s="1" t="s">
        <v>263</v>
      </c>
      <c r="B311" t="s">
        <v>355</v>
      </c>
      <c r="C311" t="s">
        <v>547</v>
      </c>
    </row>
    <row r="312" spans="1:3" x14ac:dyDescent="0.2">
      <c r="A312" s="1" t="s">
        <v>264</v>
      </c>
      <c r="B312" t="s">
        <v>357</v>
      </c>
      <c r="C312" t="s">
        <v>546</v>
      </c>
    </row>
    <row r="313" spans="1:3" x14ac:dyDescent="0.2">
      <c r="A313" s="1" t="s">
        <v>265</v>
      </c>
      <c r="B313" t="s">
        <v>358</v>
      </c>
      <c r="C313" t="s">
        <v>545</v>
      </c>
    </row>
    <row r="314" spans="1:3" x14ac:dyDescent="0.2">
      <c r="A314" s="1" t="s">
        <v>266</v>
      </c>
      <c r="B314" t="s">
        <v>355</v>
      </c>
      <c r="C314" t="s">
        <v>544</v>
      </c>
    </row>
    <row r="315" spans="1:3" x14ac:dyDescent="0.2">
      <c r="A315" s="1" t="s">
        <v>267</v>
      </c>
      <c r="B315" t="s">
        <v>357</v>
      </c>
      <c r="C315" t="s">
        <v>543</v>
      </c>
    </row>
    <row r="316" spans="1:3" x14ac:dyDescent="0.2">
      <c r="A316" s="1" t="s">
        <v>268</v>
      </c>
      <c r="B316" t="s">
        <v>358</v>
      </c>
      <c r="C316" t="s">
        <v>542</v>
      </c>
    </row>
    <row r="317" spans="1:3" x14ac:dyDescent="0.2">
      <c r="A317" s="1" t="s">
        <v>269</v>
      </c>
      <c r="B317" t="s">
        <v>355</v>
      </c>
      <c r="C317" t="s">
        <v>541</v>
      </c>
    </row>
    <row r="318" spans="1:3" x14ac:dyDescent="0.2">
      <c r="A318" s="1" t="s">
        <v>270</v>
      </c>
      <c r="B318" t="s">
        <v>357</v>
      </c>
      <c r="C318" t="s">
        <v>540</v>
      </c>
    </row>
    <row r="319" spans="1:3" x14ac:dyDescent="0.2">
      <c r="A319" s="1" t="s">
        <v>271</v>
      </c>
      <c r="B319" t="s">
        <v>358</v>
      </c>
      <c r="C319" t="s">
        <v>539</v>
      </c>
    </row>
    <row r="320" spans="1:3" x14ac:dyDescent="0.2">
      <c r="A320" s="1" t="s">
        <v>272</v>
      </c>
      <c r="B320" t="s">
        <v>355</v>
      </c>
      <c r="C320" t="s">
        <v>538</v>
      </c>
    </row>
    <row r="321" spans="1:3" x14ac:dyDescent="0.2">
      <c r="A321" s="1" t="s">
        <v>273</v>
      </c>
      <c r="B321" t="s">
        <v>357</v>
      </c>
      <c r="C321" t="s">
        <v>537</v>
      </c>
    </row>
    <row r="322" spans="1:3" x14ac:dyDescent="0.2">
      <c r="A322" s="1" t="s">
        <v>274</v>
      </c>
      <c r="B322" t="s">
        <v>358</v>
      </c>
      <c r="C322" t="s">
        <v>536</v>
      </c>
    </row>
    <row r="323" spans="1:3" x14ac:dyDescent="0.2">
      <c r="A323" s="1" t="s">
        <v>275</v>
      </c>
      <c r="B323" t="s">
        <v>355</v>
      </c>
      <c r="C323" t="s">
        <v>535</v>
      </c>
    </row>
    <row r="324" spans="1:3" x14ac:dyDescent="0.2">
      <c r="A324" s="1" t="s">
        <v>276</v>
      </c>
      <c r="B324" t="s">
        <v>357</v>
      </c>
      <c r="C324" t="s">
        <v>534</v>
      </c>
    </row>
    <row r="325" spans="1:3" x14ac:dyDescent="0.2">
      <c r="A325" s="1" t="s">
        <v>277</v>
      </c>
      <c r="B325" t="s">
        <v>358</v>
      </c>
      <c r="C325" t="s">
        <v>533</v>
      </c>
    </row>
    <row r="326" spans="1:3" x14ac:dyDescent="0.2">
      <c r="A326" s="1" t="s">
        <v>278</v>
      </c>
      <c r="B326" s="1" t="s">
        <v>345</v>
      </c>
      <c r="C326" t="s">
        <v>532</v>
      </c>
    </row>
    <row r="327" spans="1:3" x14ac:dyDescent="0.2">
      <c r="A327" s="1" t="s">
        <v>279</v>
      </c>
      <c r="B327" s="1" t="s">
        <v>345</v>
      </c>
      <c r="C327" t="s">
        <v>531</v>
      </c>
    </row>
    <row r="328" spans="1:3" x14ac:dyDescent="0.2">
      <c r="A328" s="1" t="s">
        <v>359</v>
      </c>
      <c r="B328" s="1" t="s">
        <v>345</v>
      </c>
      <c r="C328" t="s">
        <v>530</v>
      </c>
    </row>
    <row r="329" spans="1:3" x14ac:dyDescent="0.2">
      <c r="A329" s="1" t="s">
        <v>360</v>
      </c>
      <c r="B329" s="1" t="s">
        <v>345</v>
      </c>
      <c r="C329" t="s">
        <v>529</v>
      </c>
    </row>
    <row r="330" spans="1:3" x14ac:dyDescent="0.2">
      <c r="A330" s="1" t="s">
        <v>280</v>
      </c>
      <c r="B330" s="1"/>
      <c r="C330" t="s">
        <v>528</v>
      </c>
    </row>
    <row r="331" spans="1:3" x14ac:dyDescent="0.2">
      <c r="A331" s="1" t="s">
        <v>281</v>
      </c>
      <c r="B331" s="1" t="s">
        <v>345</v>
      </c>
      <c r="C331" t="s">
        <v>527</v>
      </c>
    </row>
    <row r="332" spans="1:3" x14ac:dyDescent="0.2">
      <c r="A332" s="1" t="s">
        <v>282</v>
      </c>
      <c r="B332" s="1" t="s">
        <v>343</v>
      </c>
      <c r="C332" t="s">
        <v>526</v>
      </c>
    </row>
    <row r="333" spans="1:3" x14ac:dyDescent="0.2">
      <c r="A333" s="1" t="s">
        <v>302</v>
      </c>
      <c r="B333" s="1" t="s">
        <v>345</v>
      </c>
      <c r="C333" t="s">
        <v>525</v>
      </c>
    </row>
    <row r="334" spans="1:3" x14ac:dyDescent="0.2">
      <c r="A334" s="1" t="s">
        <v>480</v>
      </c>
      <c r="B334" s="1" t="s">
        <v>345</v>
      </c>
      <c r="C334" t="s">
        <v>793</v>
      </c>
    </row>
    <row r="335" spans="1:3" x14ac:dyDescent="0.2">
      <c r="A335" s="1" t="s">
        <v>395</v>
      </c>
      <c r="B335" s="1" t="s">
        <v>343</v>
      </c>
      <c r="C335" t="s">
        <v>524</v>
      </c>
    </row>
  </sheetData>
  <mergeCells count="6">
    <mergeCell ref="A8:E8"/>
    <mergeCell ref="A5:F5"/>
    <mergeCell ref="A2:F2"/>
    <mergeCell ref="A1:F1"/>
    <mergeCell ref="A3:F3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F44E-3CC7-8B47-BA43-FC8359B8993F}">
  <dimension ref="A1:EW341"/>
  <sheetViews>
    <sheetView workbookViewId="0">
      <pane xSplit="2" ySplit="14" topLeftCell="DB16" activePane="bottomRight" state="frozen"/>
      <selection pane="topRight" activeCell="C1" sqref="C1"/>
      <selection pane="bottomLeft" activeCell="A10" sqref="A10"/>
      <selection pane="bottomRight" activeCell="DB18" sqref="DB18"/>
    </sheetView>
  </sheetViews>
  <sheetFormatPr baseColWidth="10" defaultRowHeight="16" x14ac:dyDescent="0.2"/>
  <cols>
    <col min="1" max="1" width="33" style="19" customWidth="1"/>
    <col min="2" max="2" width="9.6640625" style="19" customWidth="1"/>
    <col min="3" max="6" width="15.83203125" style="19" customWidth="1"/>
    <col min="7" max="7" width="12.33203125" style="19" bestFit="1" customWidth="1"/>
    <col min="8" max="56" width="11" style="19" bestFit="1" customWidth="1"/>
    <col min="57" max="57" width="10.83203125" style="30"/>
    <col min="58" max="67" width="11" style="19" bestFit="1" customWidth="1"/>
    <col min="68" max="68" width="11.1640625" style="19" bestFit="1" customWidth="1"/>
    <col min="69" max="69" width="10.83203125" style="30"/>
    <col min="70" max="71" width="12.33203125" style="19" bestFit="1" customWidth="1"/>
    <col min="72" max="72" width="11" style="19" bestFit="1" customWidth="1"/>
    <col min="73" max="74" width="12.33203125" style="19" bestFit="1" customWidth="1"/>
    <col min="75" max="77" width="11" style="19" bestFit="1" customWidth="1"/>
    <col min="78" max="79" width="10.83203125" style="19"/>
    <col min="80" max="83" width="11" style="19" bestFit="1" customWidth="1"/>
    <col min="84" max="101" width="10.83203125" style="19"/>
    <col min="102" max="143" width="11" style="19" bestFit="1" customWidth="1"/>
    <col min="144" max="16384" width="10.83203125" style="19"/>
  </cols>
  <sheetData>
    <row r="1" spans="1:153" ht="14" x14ac:dyDescent="0.2">
      <c r="A1" s="18" t="s">
        <v>5</v>
      </c>
      <c r="B1" s="18" t="s">
        <v>342</v>
      </c>
      <c r="C1" s="18" t="s">
        <v>285</v>
      </c>
      <c r="D1" s="18" t="s">
        <v>285</v>
      </c>
      <c r="E1" s="18" t="s">
        <v>285</v>
      </c>
      <c r="F1" s="18" t="s">
        <v>285</v>
      </c>
      <c r="G1" s="18" t="s">
        <v>285</v>
      </c>
      <c r="H1" s="18" t="s">
        <v>285</v>
      </c>
      <c r="I1" s="18" t="s">
        <v>285</v>
      </c>
      <c r="J1" s="18" t="s">
        <v>285</v>
      </c>
      <c r="K1" s="18" t="s">
        <v>285</v>
      </c>
      <c r="L1" s="18" t="s">
        <v>285</v>
      </c>
      <c r="M1" s="18" t="s">
        <v>285</v>
      </c>
      <c r="N1" s="18" t="s">
        <v>285</v>
      </c>
      <c r="O1" s="18" t="s">
        <v>285</v>
      </c>
      <c r="P1" s="18" t="s">
        <v>285</v>
      </c>
      <c r="Q1" s="18" t="s">
        <v>285</v>
      </c>
      <c r="R1" s="18" t="s">
        <v>285</v>
      </c>
      <c r="S1" s="18" t="s">
        <v>285</v>
      </c>
      <c r="T1" s="18" t="s">
        <v>285</v>
      </c>
      <c r="U1" s="18" t="s">
        <v>285</v>
      </c>
      <c r="V1" s="18" t="s">
        <v>285</v>
      </c>
      <c r="W1" s="18" t="s">
        <v>285</v>
      </c>
      <c r="X1" s="18" t="s">
        <v>285</v>
      </c>
      <c r="Y1" s="18" t="s">
        <v>285</v>
      </c>
      <c r="Z1" s="18" t="s">
        <v>285</v>
      </c>
      <c r="AA1" s="18" t="s">
        <v>285</v>
      </c>
      <c r="AB1" s="18" t="s">
        <v>285</v>
      </c>
      <c r="AC1" s="18" t="s">
        <v>285</v>
      </c>
      <c r="AD1" s="18" t="s">
        <v>285</v>
      </c>
      <c r="AE1" s="18" t="s">
        <v>285</v>
      </c>
      <c r="AF1" s="18" t="s">
        <v>285</v>
      </c>
      <c r="AG1" s="18" t="s">
        <v>285</v>
      </c>
      <c r="AH1" s="18" t="s">
        <v>285</v>
      </c>
      <c r="AI1" s="18" t="s">
        <v>285</v>
      </c>
      <c r="AJ1" s="18" t="s">
        <v>285</v>
      </c>
      <c r="AK1" s="18" t="s">
        <v>285</v>
      </c>
      <c r="AL1" s="18" t="s">
        <v>285</v>
      </c>
      <c r="AM1" s="18" t="s">
        <v>285</v>
      </c>
      <c r="AN1" s="18" t="s">
        <v>285</v>
      </c>
      <c r="AO1" s="18" t="s">
        <v>285</v>
      </c>
      <c r="AP1" s="18" t="s">
        <v>285</v>
      </c>
      <c r="AQ1" s="18" t="s">
        <v>285</v>
      </c>
      <c r="AR1" s="18" t="s">
        <v>285</v>
      </c>
      <c r="AS1" s="18" t="s">
        <v>298</v>
      </c>
      <c r="AT1" s="18" t="s">
        <v>298</v>
      </c>
      <c r="AU1" s="18" t="s">
        <v>298</v>
      </c>
      <c r="AV1" s="18" t="s">
        <v>384</v>
      </c>
      <c r="AW1" s="18" t="s">
        <v>384</v>
      </c>
      <c r="AX1" s="18" t="s">
        <v>298</v>
      </c>
      <c r="AY1" s="18" t="s">
        <v>298</v>
      </c>
      <c r="AZ1" s="18" t="s">
        <v>298</v>
      </c>
      <c r="BA1" s="18" t="s">
        <v>298</v>
      </c>
      <c r="BB1" s="18" t="s">
        <v>298</v>
      </c>
      <c r="BC1" s="18" t="s">
        <v>285</v>
      </c>
      <c r="BD1" s="18" t="s">
        <v>285</v>
      </c>
      <c r="BE1" s="18" t="s">
        <v>285</v>
      </c>
      <c r="BF1" s="18" t="s">
        <v>298</v>
      </c>
      <c r="BG1" s="18" t="s">
        <v>298</v>
      </c>
      <c r="BH1" s="18" t="s">
        <v>298</v>
      </c>
      <c r="BI1" s="18" t="s">
        <v>298</v>
      </c>
      <c r="BJ1" s="18" t="s">
        <v>298</v>
      </c>
      <c r="BK1" s="18" t="s">
        <v>298</v>
      </c>
      <c r="BL1" s="18" t="s">
        <v>462</v>
      </c>
      <c r="BM1" s="18" t="s">
        <v>462</v>
      </c>
      <c r="BN1" s="18" t="s">
        <v>462</v>
      </c>
      <c r="BO1" s="18" t="s">
        <v>462</v>
      </c>
      <c r="BP1" s="18" t="s">
        <v>298</v>
      </c>
      <c r="BQ1" s="18" t="s">
        <v>298</v>
      </c>
      <c r="BR1" s="18" t="s">
        <v>285</v>
      </c>
      <c r="BS1" s="18" t="s">
        <v>285</v>
      </c>
      <c r="BT1" s="18" t="s">
        <v>285</v>
      </c>
      <c r="BU1" s="18" t="s">
        <v>285</v>
      </c>
      <c r="BV1" s="18" t="s">
        <v>285</v>
      </c>
      <c r="BW1" s="18" t="s">
        <v>285</v>
      </c>
      <c r="BX1" s="18" t="s">
        <v>285</v>
      </c>
      <c r="BY1" s="18" t="s">
        <v>285</v>
      </c>
      <c r="BZ1" s="18" t="s">
        <v>285</v>
      </c>
      <c r="CA1" s="18" t="s">
        <v>285</v>
      </c>
      <c r="CB1" s="18" t="s">
        <v>285</v>
      </c>
      <c r="CC1" s="18" t="s">
        <v>285</v>
      </c>
      <c r="CD1" s="18" t="s">
        <v>285</v>
      </c>
      <c r="CE1" s="18" t="s">
        <v>285</v>
      </c>
      <c r="CF1" s="18" t="s">
        <v>285</v>
      </c>
      <c r="CG1" s="18" t="s">
        <v>285</v>
      </c>
      <c r="CH1" s="18" t="s">
        <v>285</v>
      </c>
      <c r="CI1" s="18" t="s">
        <v>462</v>
      </c>
      <c r="CJ1" s="18" t="s">
        <v>462</v>
      </c>
      <c r="CK1" s="18" t="s">
        <v>462</v>
      </c>
      <c r="CL1" s="18" t="s">
        <v>462</v>
      </c>
      <c r="CM1" s="18" t="s">
        <v>462</v>
      </c>
      <c r="CN1" s="18" t="s">
        <v>462</v>
      </c>
      <c r="CO1" s="18" t="s">
        <v>462</v>
      </c>
      <c r="CP1" s="18" t="s">
        <v>462</v>
      </c>
      <c r="CQ1" s="18" t="s">
        <v>462</v>
      </c>
      <c r="CR1" s="18" t="s">
        <v>462</v>
      </c>
      <c r="CS1" s="18" t="s">
        <v>462</v>
      </c>
      <c r="CT1" s="18" t="s">
        <v>462</v>
      </c>
      <c r="CU1" s="18" t="s">
        <v>462</v>
      </c>
      <c r="CV1" s="18" t="s">
        <v>462</v>
      </c>
      <c r="CW1" s="18" t="s">
        <v>462</v>
      </c>
      <c r="CX1" s="18" t="s">
        <v>298</v>
      </c>
      <c r="CY1" s="18" t="s">
        <v>298</v>
      </c>
      <c r="CZ1" s="18" t="s">
        <v>298</v>
      </c>
      <c r="DA1" s="18" t="s">
        <v>298</v>
      </c>
      <c r="DB1" s="18" t="s">
        <v>298</v>
      </c>
      <c r="DC1" s="18" t="s">
        <v>298</v>
      </c>
      <c r="DD1" s="18" t="s">
        <v>298</v>
      </c>
      <c r="DE1" s="18" t="s">
        <v>298</v>
      </c>
      <c r="DF1" s="18" t="s">
        <v>298</v>
      </c>
      <c r="DG1" s="18" t="s">
        <v>298</v>
      </c>
      <c r="DH1" s="18" t="s">
        <v>298</v>
      </c>
      <c r="DI1" s="18" t="s">
        <v>298</v>
      </c>
      <c r="DJ1" s="18" t="s">
        <v>298</v>
      </c>
      <c r="DK1" s="18" t="s">
        <v>384</v>
      </c>
      <c r="DL1" s="18" t="s">
        <v>384</v>
      </c>
      <c r="DM1" s="18" t="s">
        <v>384</v>
      </c>
      <c r="DN1" s="18" t="s">
        <v>298</v>
      </c>
      <c r="DO1" s="18" t="s">
        <v>298</v>
      </c>
      <c r="DP1" s="18" t="s">
        <v>298</v>
      </c>
      <c r="DQ1" s="18" t="s">
        <v>298</v>
      </c>
      <c r="DR1" s="18" t="s">
        <v>298</v>
      </c>
      <c r="DS1" s="18" t="s">
        <v>298</v>
      </c>
      <c r="DT1" s="18" t="s">
        <v>298</v>
      </c>
      <c r="DU1" s="18" t="s">
        <v>298</v>
      </c>
      <c r="DV1" s="18" t="s">
        <v>298</v>
      </c>
      <c r="DW1" s="18" t="s">
        <v>298</v>
      </c>
      <c r="DX1" s="18" t="s">
        <v>298</v>
      </c>
      <c r="DY1" s="18" t="s">
        <v>462</v>
      </c>
      <c r="DZ1" s="18" t="s">
        <v>462</v>
      </c>
      <c r="EA1" s="18" t="s">
        <v>462</v>
      </c>
      <c r="EB1" s="18" t="s">
        <v>298</v>
      </c>
      <c r="EC1" s="18" t="s">
        <v>298</v>
      </c>
      <c r="ED1" s="18" t="s">
        <v>298</v>
      </c>
      <c r="EE1" s="18" t="s">
        <v>298</v>
      </c>
      <c r="EF1" s="18" t="s">
        <v>472</v>
      </c>
      <c r="EG1" s="18" t="s">
        <v>472</v>
      </c>
      <c r="EH1" s="18" t="s">
        <v>472</v>
      </c>
      <c r="EI1" s="18" t="s">
        <v>298</v>
      </c>
      <c r="EJ1" s="18" t="s">
        <v>298</v>
      </c>
      <c r="EK1" s="18" t="s">
        <v>298</v>
      </c>
      <c r="EL1" s="18" t="s">
        <v>298</v>
      </c>
      <c r="EM1" s="18" t="s">
        <v>298</v>
      </c>
      <c r="EN1" s="18" t="s">
        <v>298</v>
      </c>
      <c r="EO1" s="18" t="s">
        <v>298</v>
      </c>
      <c r="EP1" s="18" t="s">
        <v>298</v>
      </c>
      <c r="EQ1" s="18" t="s">
        <v>298</v>
      </c>
      <c r="ER1" s="18" t="s">
        <v>285</v>
      </c>
      <c r="ES1" s="18" t="s">
        <v>285</v>
      </c>
      <c r="ET1" s="18" t="s">
        <v>285</v>
      </c>
      <c r="EU1" s="18" t="s">
        <v>285</v>
      </c>
      <c r="EV1" s="18" t="s">
        <v>462</v>
      </c>
      <c r="EW1" s="18" t="s">
        <v>462</v>
      </c>
    </row>
    <row r="2" spans="1:153" ht="105" x14ac:dyDescent="0.2">
      <c r="A2" s="16" t="s">
        <v>504</v>
      </c>
      <c r="B2" s="16"/>
      <c r="C2" s="16" t="s">
        <v>509</v>
      </c>
      <c r="D2" s="16" t="s">
        <v>509</v>
      </c>
      <c r="E2" s="16" t="s">
        <v>509</v>
      </c>
      <c r="F2" s="16" t="s">
        <v>509</v>
      </c>
      <c r="G2" s="16" t="s">
        <v>509</v>
      </c>
      <c r="H2" s="16" t="s">
        <v>509</v>
      </c>
      <c r="I2" s="16" t="s">
        <v>509</v>
      </c>
      <c r="J2" s="16" t="s">
        <v>509</v>
      </c>
      <c r="K2" s="16" t="s">
        <v>509</v>
      </c>
      <c r="L2" s="16" t="s">
        <v>509</v>
      </c>
      <c r="M2" s="16" t="s">
        <v>509</v>
      </c>
      <c r="N2" s="16" t="s">
        <v>509</v>
      </c>
      <c r="O2" s="16" t="s">
        <v>509</v>
      </c>
      <c r="P2" s="16" t="s">
        <v>509</v>
      </c>
      <c r="Q2" s="16" t="s">
        <v>509</v>
      </c>
      <c r="R2" s="16" t="s">
        <v>509</v>
      </c>
      <c r="S2" s="16" t="s">
        <v>509</v>
      </c>
      <c r="T2" s="16" t="s">
        <v>509</v>
      </c>
      <c r="U2" s="16" t="s">
        <v>509</v>
      </c>
      <c r="V2" s="16" t="s">
        <v>509</v>
      </c>
      <c r="W2" s="16" t="s">
        <v>509</v>
      </c>
      <c r="X2" s="16" t="s">
        <v>509</v>
      </c>
      <c r="Y2" s="16" t="s">
        <v>509</v>
      </c>
      <c r="Z2" s="16" t="s">
        <v>509</v>
      </c>
      <c r="AA2" s="16" t="s">
        <v>509</v>
      </c>
      <c r="AB2" s="16" t="s">
        <v>509</v>
      </c>
      <c r="AC2" s="16" t="s">
        <v>509</v>
      </c>
      <c r="AD2" s="16" t="s">
        <v>509</v>
      </c>
      <c r="AE2" s="16" t="s">
        <v>511</v>
      </c>
      <c r="AF2" s="16" t="s">
        <v>511</v>
      </c>
      <c r="AG2" s="16" t="s">
        <v>511</v>
      </c>
      <c r="AH2" s="16" t="s">
        <v>511</v>
      </c>
      <c r="AI2" s="16" t="s">
        <v>511</v>
      </c>
      <c r="AJ2" s="16" t="s">
        <v>511</v>
      </c>
      <c r="AK2" s="16" t="s">
        <v>511</v>
      </c>
      <c r="AL2" s="16" t="s">
        <v>511</v>
      </c>
      <c r="AM2" s="16" t="s">
        <v>511</v>
      </c>
      <c r="AN2" s="16" t="s">
        <v>511</v>
      </c>
      <c r="AO2" s="16" t="s">
        <v>511</v>
      </c>
      <c r="AP2" s="16" t="s">
        <v>511</v>
      </c>
      <c r="AQ2" s="18" t="s">
        <v>510</v>
      </c>
      <c r="AR2" s="18" t="s">
        <v>512</v>
      </c>
      <c r="AS2" s="16" t="s">
        <v>505</v>
      </c>
      <c r="AT2" s="16" t="s">
        <v>506</v>
      </c>
      <c r="AU2" s="16" t="s">
        <v>507</v>
      </c>
      <c r="AV2" s="18"/>
      <c r="AW2" s="18"/>
      <c r="AX2" s="16" t="s">
        <v>513</v>
      </c>
      <c r="AY2" s="16" t="s">
        <v>513</v>
      </c>
      <c r="AZ2" s="16" t="s">
        <v>505</v>
      </c>
      <c r="BA2" s="16" t="s">
        <v>505</v>
      </c>
      <c r="BB2" s="16" t="s">
        <v>505</v>
      </c>
      <c r="BC2" s="18" t="s">
        <v>512</v>
      </c>
      <c r="BD2" s="18" t="s">
        <v>514</v>
      </c>
      <c r="BE2" s="18" t="s">
        <v>514</v>
      </c>
      <c r="BF2" s="16" t="s">
        <v>515</v>
      </c>
      <c r="BG2" s="16" t="s">
        <v>515</v>
      </c>
      <c r="BH2" s="16" t="s">
        <v>515</v>
      </c>
      <c r="BI2" s="16" t="s">
        <v>515</v>
      </c>
      <c r="BJ2" s="16" t="s">
        <v>515</v>
      </c>
      <c r="BK2" s="16" t="s">
        <v>515</v>
      </c>
      <c r="BL2" s="16" t="s">
        <v>516</v>
      </c>
      <c r="BM2" s="16" t="s">
        <v>516</v>
      </c>
      <c r="BN2" s="16" t="s">
        <v>516</v>
      </c>
      <c r="BO2" s="16" t="s">
        <v>516</v>
      </c>
      <c r="BP2" s="16" t="s">
        <v>505</v>
      </c>
      <c r="BQ2" s="16" t="s">
        <v>505</v>
      </c>
      <c r="BR2" s="18" t="s">
        <v>512</v>
      </c>
      <c r="BS2" s="18" t="s">
        <v>512</v>
      </c>
      <c r="BT2" s="18" t="s">
        <v>512</v>
      </c>
      <c r="BU2" s="18" t="s">
        <v>512</v>
      </c>
      <c r="BV2" s="18" t="s">
        <v>512</v>
      </c>
      <c r="BW2" s="18" t="s">
        <v>512</v>
      </c>
      <c r="BX2" s="18" t="s">
        <v>510</v>
      </c>
      <c r="BY2" s="18" t="s">
        <v>510</v>
      </c>
      <c r="BZ2" s="18" t="s">
        <v>512</v>
      </c>
      <c r="CA2" s="18" t="s">
        <v>512</v>
      </c>
      <c r="CB2" s="18" t="s">
        <v>512</v>
      </c>
      <c r="CC2" s="18" t="s">
        <v>512</v>
      </c>
      <c r="CD2" s="18" t="s">
        <v>512</v>
      </c>
      <c r="CE2" s="18" t="s">
        <v>512</v>
      </c>
      <c r="CF2" s="18" t="s">
        <v>512</v>
      </c>
      <c r="CG2" s="18" t="s">
        <v>512</v>
      </c>
      <c r="CH2" s="18" t="s">
        <v>517</v>
      </c>
      <c r="CI2" s="18" t="s">
        <v>839</v>
      </c>
      <c r="CJ2" s="18" t="s">
        <v>844</v>
      </c>
      <c r="CK2" s="18"/>
      <c r="CL2" s="18"/>
      <c r="CM2" s="18"/>
      <c r="CN2" s="18"/>
      <c r="CO2" s="16" t="s">
        <v>856</v>
      </c>
      <c r="CP2" s="16" t="s">
        <v>858</v>
      </c>
      <c r="CQ2" s="16" t="s">
        <v>858</v>
      </c>
      <c r="CR2" s="16" t="s">
        <v>858</v>
      </c>
      <c r="CS2" s="16" t="s">
        <v>858</v>
      </c>
      <c r="CT2" s="16" t="s">
        <v>858</v>
      </c>
      <c r="CU2" s="16" t="s">
        <v>863</v>
      </c>
      <c r="CV2" s="16" t="s">
        <v>863</v>
      </c>
      <c r="CW2" s="16" t="s">
        <v>863</v>
      </c>
      <c r="CX2" s="16" t="s">
        <v>518</v>
      </c>
      <c r="CY2" s="16" t="s">
        <v>518</v>
      </c>
      <c r="CZ2" s="16" t="s">
        <v>518</v>
      </c>
      <c r="DA2" s="16" t="s">
        <v>518</v>
      </c>
      <c r="DB2" s="16" t="s">
        <v>518</v>
      </c>
      <c r="DC2" s="16" t="s">
        <v>518</v>
      </c>
      <c r="DD2" s="16" t="s">
        <v>518</v>
      </c>
      <c r="DE2" s="16" t="s">
        <v>518</v>
      </c>
      <c r="DF2" s="16" t="s">
        <v>518</v>
      </c>
      <c r="DG2" s="16" t="s">
        <v>518</v>
      </c>
      <c r="DH2" s="16" t="s">
        <v>518</v>
      </c>
      <c r="DI2" s="16" t="s">
        <v>518</v>
      </c>
      <c r="DJ2" s="16" t="s">
        <v>518</v>
      </c>
      <c r="DK2" s="18" t="s">
        <v>519</v>
      </c>
      <c r="DL2" s="18" t="s">
        <v>520</v>
      </c>
      <c r="DM2" s="18" t="s">
        <v>521</v>
      </c>
      <c r="DN2" s="16" t="s">
        <v>518</v>
      </c>
      <c r="DO2" s="16" t="s">
        <v>518</v>
      </c>
      <c r="DP2" s="16" t="s">
        <v>518</v>
      </c>
      <c r="DQ2" s="16" t="s">
        <v>518</v>
      </c>
      <c r="DR2" s="16" t="s">
        <v>518</v>
      </c>
      <c r="DS2" s="16" t="s">
        <v>518</v>
      </c>
      <c r="DT2" s="16" t="s">
        <v>518</v>
      </c>
      <c r="DU2" s="16" t="s">
        <v>518</v>
      </c>
      <c r="DV2" s="16" t="s">
        <v>508</v>
      </c>
      <c r="DW2" s="16" t="s">
        <v>508</v>
      </c>
      <c r="DX2" s="16" t="s">
        <v>508</v>
      </c>
      <c r="DY2" s="18" t="s">
        <v>522</v>
      </c>
      <c r="DZ2" s="18" t="s">
        <v>522</v>
      </c>
      <c r="EA2" s="18" t="s">
        <v>522</v>
      </c>
      <c r="EB2" s="16" t="s">
        <v>508</v>
      </c>
      <c r="EC2" s="16" t="s">
        <v>508</v>
      </c>
      <c r="ED2" s="16" t="s">
        <v>508</v>
      </c>
      <c r="EE2" s="16" t="s">
        <v>508</v>
      </c>
      <c r="EF2" s="18" t="s">
        <v>827</v>
      </c>
      <c r="EG2" s="18" t="s">
        <v>827</v>
      </c>
      <c r="EH2" s="18" t="s">
        <v>827</v>
      </c>
      <c r="EI2" s="16" t="s">
        <v>508</v>
      </c>
      <c r="EJ2" s="16" t="s">
        <v>508</v>
      </c>
      <c r="EK2" s="16" t="s">
        <v>508</v>
      </c>
      <c r="EL2" s="16" t="s">
        <v>508</v>
      </c>
      <c r="EM2" s="16" t="s">
        <v>523</v>
      </c>
      <c r="EN2" s="16" t="s">
        <v>872</v>
      </c>
      <c r="EO2" s="16" t="s">
        <v>877</v>
      </c>
      <c r="EP2" s="16" t="s">
        <v>877</v>
      </c>
      <c r="EQ2" s="16" t="s">
        <v>884</v>
      </c>
      <c r="ER2" s="18" t="s">
        <v>889</v>
      </c>
      <c r="ES2" s="18" t="s">
        <v>893</v>
      </c>
      <c r="ET2" s="18" t="s">
        <v>898</v>
      </c>
      <c r="EU2" s="18" t="s">
        <v>902</v>
      </c>
      <c r="EV2" s="18" t="s">
        <v>522</v>
      </c>
      <c r="EW2" s="18" t="s">
        <v>522</v>
      </c>
    </row>
    <row r="3" spans="1:153" ht="14" x14ac:dyDescent="0.2">
      <c r="A3" s="18" t="s">
        <v>6</v>
      </c>
      <c r="B3" s="18"/>
      <c r="C3" s="18" t="s">
        <v>1</v>
      </c>
      <c r="D3" s="18" t="s">
        <v>1</v>
      </c>
      <c r="E3" s="18" t="s">
        <v>1</v>
      </c>
      <c r="F3" s="18" t="s">
        <v>1</v>
      </c>
      <c r="G3" s="18" t="s">
        <v>291</v>
      </c>
      <c r="H3" s="18" t="s">
        <v>291</v>
      </c>
      <c r="I3" s="18" t="s">
        <v>291</v>
      </c>
      <c r="J3" s="18" t="s">
        <v>291</v>
      </c>
      <c r="K3" s="18" t="s">
        <v>291</v>
      </c>
      <c r="L3" s="18" t="s">
        <v>291</v>
      </c>
      <c r="M3" s="18" t="s">
        <v>291</v>
      </c>
      <c r="N3" s="18" t="s">
        <v>291</v>
      </c>
      <c r="O3" s="18" t="s">
        <v>291</v>
      </c>
      <c r="P3" s="18" t="s">
        <v>291</v>
      </c>
      <c r="Q3" s="18" t="s">
        <v>291</v>
      </c>
      <c r="R3" s="18" t="s">
        <v>291</v>
      </c>
      <c r="S3" s="18" t="s">
        <v>291</v>
      </c>
      <c r="T3" s="18" t="s">
        <v>291</v>
      </c>
      <c r="U3" s="18" t="s">
        <v>291</v>
      </c>
      <c r="V3" s="18" t="s">
        <v>291</v>
      </c>
      <c r="W3" s="18" t="s">
        <v>291</v>
      </c>
      <c r="X3" s="18" t="s">
        <v>291</v>
      </c>
      <c r="Y3" s="18" t="s">
        <v>291</v>
      </c>
      <c r="Z3" s="18" t="s">
        <v>291</v>
      </c>
      <c r="AA3" s="18" t="s">
        <v>291</v>
      </c>
      <c r="AB3" s="18" t="s">
        <v>291</v>
      </c>
      <c r="AC3" s="18" t="s">
        <v>291</v>
      </c>
      <c r="AD3" s="18" t="s">
        <v>291</v>
      </c>
      <c r="AE3" s="18" t="s">
        <v>292</v>
      </c>
      <c r="AF3" s="18" t="s">
        <v>292</v>
      </c>
      <c r="AG3" s="18" t="s">
        <v>292</v>
      </c>
      <c r="AH3" s="18" t="s">
        <v>292</v>
      </c>
      <c r="AI3" s="18" t="s">
        <v>292</v>
      </c>
      <c r="AJ3" s="18" t="s">
        <v>292</v>
      </c>
      <c r="AK3" s="18" t="s">
        <v>292</v>
      </c>
      <c r="AL3" s="18" t="s">
        <v>292</v>
      </c>
      <c r="AM3" s="18" t="s">
        <v>292</v>
      </c>
      <c r="AN3" s="18" t="s">
        <v>292</v>
      </c>
      <c r="AO3" s="18" t="s">
        <v>292</v>
      </c>
      <c r="AP3" s="18" t="s">
        <v>292</v>
      </c>
      <c r="AQ3" s="18" t="s">
        <v>293</v>
      </c>
      <c r="AR3" s="18" t="s">
        <v>295</v>
      </c>
      <c r="AS3" s="18" t="s">
        <v>299</v>
      </c>
      <c r="AT3" s="18" t="s">
        <v>299</v>
      </c>
      <c r="AU3" s="18" t="s">
        <v>380</v>
      </c>
      <c r="AV3" s="18" t="s">
        <v>297</v>
      </c>
      <c r="AW3" s="18" t="s">
        <v>297</v>
      </c>
      <c r="AX3" s="18" t="s">
        <v>366</v>
      </c>
      <c r="AY3" s="18" t="s">
        <v>366</v>
      </c>
      <c r="AZ3" s="18" t="s">
        <v>300</v>
      </c>
      <c r="BA3" s="18" t="s">
        <v>386</v>
      </c>
      <c r="BB3" s="18" t="s">
        <v>386</v>
      </c>
      <c r="BC3" s="18" t="s">
        <v>396</v>
      </c>
      <c r="BD3" s="18" t="s">
        <v>399</v>
      </c>
      <c r="BE3" s="18" t="s">
        <v>399</v>
      </c>
      <c r="BF3" s="18" t="s">
        <v>404</v>
      </c>
      <c r="BG3" s="18" t="s">
        <v>404</v>
      </c>
      <c r="BH3" s="18" t="s">
        <v>404</v>
      </c>
      <c r="BI3" s="18" t="s">
        <v>404</v>
      </c>
      <c r="BJ3" s="18" t="s">
        <v>404</v>
      </c>
      <c r="BK3" s="18" t="s">
        <v>404</v>
      </c>
      <c r="BL3" s="18" t="s">
        <v>387</v>
      </c>
      <c r="BM3" s="18" t="s">
        <v>387</v>
      </c>
      <c r="BN3" s="18" t="s">
        <v>387</v>
      </c>
      <c r="BO3" s="18" t="s">
        <v>387</v>
      </c>
      <c r="BP3" s="18" t="s">
        <v>402</v>
      </c>
      <c r="BQ3" s="18" t="s">
        <v>402</v>
      </c>
      <c r="BR3" s="18" t="s">
        <v>413</v>
      </c>
      <c r="BS3" s="18" t="s">
        <v>413</v>
      </c>
      <c r="BT3" s="18" t="s">
        <v>413</v>
      </c>
      <c r="BU3" s="18" t="s">
        <v>413</v>
      </c>
      <c r="BV3" s="18" t="s">
        <v>413</v>
      </c>
      <c r="BW3" s="18" t="s">
        <v>413</v>
      </c>
      <c r="BX3" s="18" t="s">
        <v>420</v>
      </c>
      <c r="BY3" s="18" t="s">
        <v>420</v>
      </c>
      <c r="BZ3" s="18" t="s">
        <v>426</v>
      </c>
      <c r="CA3" s="18" t="s">
        <v>426</v>
      </c>
      <c r="CB3" s="18" t="s">
        <v>426</v>
      </c>
      <c r="CC3" s="18" t="s">
        <v>426</v>
      </c>
      <c r="CD3" s="18" t="s">
        <v>426</v>
      </c>
      <c r="CE3" s="18" t="s">
        <v>426</v>
      </c>
      <c r="CF3" s="18" t="s">
        <v>427</v>
      </c>
      <c r="CG3" s="18" t="s">
        <v>427</v>
      </c>
      <c r="CH3" s="18" t="s">
        <v>428</v>
      </c>
      <c r="CI3" s="18" t="s">
        <v>840</v>
      </c>
      <c r="CJ3" s="18" t="s">
        <v>845</v>
      </c>
      <c r="CK3" s="18" t="s">
        <v>848</v>
      </c>
      <c r="CL3" s="18" t="s">
        <v>848</v>
      </c>
      <c r="CM3" s="18" t="s">
        <v>848</v>
      </c>
      <c r="CN3" s="18" t="s">
        <v>848</v>
      </c>
      <c r="CO3" s="18" t="s">
        <v>848</v>
      </c>
      <c r="CP3" s="18" t="s">
        <v>859</v>
      </c>
      <c r="CQ3" s="18" t="s">
        <v>859</v>
      </c>
      <c r="CR3" s="18" t="s">
        <v>859</v>
      </c>
      <c r="CS3" s="18" t="s">
        <v>859</v>
      </c>
      <c r="CT3" s="18" t="s">
        <v>859</v>
      </c>
      <c r="CU3" s="18" t="s">
        <v>864</v>
      </c>
      <c r="CV3" s="18" t="s">
        <v>864</v>
      </c>
      <c r="CW3" s="18" t="s">
        <v>864</v>
      </c>
      <c r="CX3" s="18" t="s">
        <v>430</v>
      </c>
      <c r="CY3" s="18" t="s">
        <v>430</v>
      </c>
      <c r="CZ3" s="18" t="s">
        <v>430</v>
      </c>
      <c r="DA3" s="18" t="s">
        <v>430</v>
      </c>
      <c r="DB3" s="18" t="s">
        <v>430</v>
      </c>
      <c r="DC3" s="18" t="s">
        <v>430</v>
      </c>
      <c r="DD3" s="18" t="s">
        <v>437</v>
      </c>
      <c r="DE3" s="18" t="s">
        <v>437</v>
      </c>
      <c r="DF3" s="18" t="s">
        <v>437</v>
      </c>
      <c r="DG3" s="18" t="s">
        <v>437</v>
      </c>
      <c r="DH3" s="18" t="s">
        <v>437</v>
      </c>
      <c r="DI3" s="18" t="s">
        <v>437</v>
      </c>
      <c r="DJ3" s="18" t="s">
        <v>443</v>
      </c>
      <c r="DK3" s="18" t="s">
        <v>445</v>
      </c>
      <c r="DL3" s="18" t="s">
        <v>449</v>
      </c>
      <c r="DM3" s="18" t="s">
        <v>450</v>
      </c>
      <c r="DN3" s="18" t="s">
        <v>451</v>
      </c>
      <c r="DO3" s="18" t="s">
        <v>451</v>
      </c>
      <c r="DP3" s="18" t="s">
        <v>451</v>
      </c>
      <c r="DQ3" s="18" t="s">
        <v>451</v>
      </c>
      <c r="DR3" s="18" t="s">
        <v>451</v>
      </c>
      <c r="DS3" s="18" t="s">
        <v>451</v>
      </c>
      <c r="DT3" s="18" t="s">
        <v>451</v>
      </c>
      <c r="DU3" s="18" t="s">
        <v>451</v>
      </c>
      <c r="DV3" s="18" t="s">
        <v>459</v>
      </c>
      <c r="DW3" s="18" t="s">
        <v>459</v>
      </c>
      <c r="DX3" s="18" t="s">
        <v>459</v>
      </c>
      <c r="DY3" s="18" t="s">
        <v>463</v>
      </c>
      <c r="DZ3" s="18" t="s">
        <v>463</v>
      </c>
      <c r="EA3" s="18" t="s">
        <v>463</v>
      </c>
      <c r="EB3" s="18" t="s">
        <v>391</v>
      </c>
      <c r="EC3" s="18" t="s">
        <v>391</v>
      </c>
      <c r="ED3" s="18" t="s">
        <v>391</v>
      </c>
      <c r="EE3" s="18" t="s">
        <v>391</v>
      </c>
      <c r="EF3" s="18" t="s">
        <v>473</v>
      </c>
      <c r="EG3" s="18" t="s">
        <v>476</v>
      </c>
      <c r="EH3" s="18" t="s">
        <v>478</v>
      </c>
      <c r="EI3" s="18" t="s">
        <v>496</v>
      </c>
      <c r="EJ3" s="18" t="s">
        <v>496</v>
      </c>
      <c r="EK3" s="18" t="s">
        <v>496</v>
      </c>
      <c r="EL3" s="18" t="s">
        <v>496</v>
      </c>
      <c r="EM3" s="18" t="s">
        <v>503</v>
      </c>
      <c r="EN3" s="18" t="s">
        <v>873</v>
      </c>
      <c r="EO3" s="18" t="s">
        <v>878</v>
      </c>
      <c r="EP3" s="18" t="s">
        <v>881</v>
      </c>
      <c r="EQ3" s="18" t="s">
        <v>885</v>
      </c>
      <c r="ER3" s="18" t="s">
        <v>890</v>
      </c>
      <c r="ES3" s="18" t="s">
        <v>894</v>
      </c>
      <c r="ET3" s="18" t="s">
        <v>899</v>
      </c>
      <c r="EU3" s="18" t="s">
        <v>903</v>
      </c>
      <c r="EV3" s="18" t="s">
        <v>905</v>
      </c>
      <c r="EW3" s="18" t="s">
        <v>908</v>
      </c>
    </row>
    <row r="4" spans="1:153" ht="14" x14ac:dyDescent="0.2">
      <c r="A4" s="18" t="s">
        <v>287</v>
      </c>
      <c r="B4" s="18"/>
      <c r="C4" s="18">
        <v>2</v>
      </c>
      <c r="D4" s="18">
        <v>2</v>
      </c>
      <c r="E4" s="18">
        <v>3</v>
      </c>
      <c r="F4" s="18">
        <v>3</v>
      </c>
      <c r="G4" s="18">
        <v>2019</v>
      </c>
      <c r="H4" s="18">
        <v>2020</v>
      </c>
      <c r="I4" s="18">
        <v>2019</v>
      </c>
      <c r="J4" s="18">
        <v>2020</v>
      </c>
      <c r="K4" s="18">
        <v>2019</v>
      </c>
      <c r="L4" s="18">
        <v>2020</v>
      </c>
      <c r="M4" s="18">
        <v>2019</v>
      </c>
      <c r="N4" s="18">
        <v>2020</v>
      </c>
      <c r="O4" s="18">
        <v>2019</v>
      </c>
      <c r="P4" s="18">
        <v>2020</v>
      </c>
      <c r="Q4" s="18">
        <v>2019</v>
      </c>
      <c r="R4" s="18">
        <v>2020</v>
      </c>
      <c r="S4" s="18">
        <v>2017</v>
      </c>
      <c r="T4" s="18">
        <v>2018</v>
      </c>
      <c r="U4" s="18">
        <v>2017</v>
      </c>
      <c r="V4" s="18">
        <v>2018</v>
      </c>
      <c r="W4" s="18">
        <v>2017</v>
      </c>
      <c r="X4" s="18">
        <v>2018</v>
      </c>
      <c r="Y4" s="18">
        <v>2017</v>
      </c>
      <c r="Z4" s="18">
        <v>2018</v>
      </c>
      <c r="AA4" s="18">
        <v>2017</v>
      </c>
      <c r="AB4" s="18">
        <v>2018</v>
      </c>
      <c r="AC4" s="18">
        <v>2017</v>
      </c>
      <c r="AD4" s="18">
        <v>2018</v>
      </c>
      <c r="AE4" s="18">
        <v>2020</v>
      </c>
      <c r="AF4" s="18">
        <v>2021</v>
      </c>
      <c r="AG4" s="18">
        <v>2020</v>
      </c>
      <c r="AH4" s="18">
        <v>2021</v>
      </c>
      <c r="AI4" s="18">
        <v>2020</v>
      </c>
      <c r="AJ4" s="18">
        <v>2021</v>
      </c>
      <c r="AK4" s="18">
        <v>2020</v>
      </c>
      <c r="AL4" s="18">
        <v>2021</v>
      </c>
      <c r="AM4" s="18">
        <v>2020</v>
      </c>
      <c r="AN4" s="18">
        <v>2021</v>
      </c>
      <c r="AO4" s="18">
        <v>2020</v>
      </c>
      <c r="AP4" s="18">
        <v>2021</v>
      </c>
      <c r="AQ4" s="18" t="s">
        <v>294</v>
      </c>
      <c r="AR4" s="18" t="s">
        <v>296</v>
      </c>
      <c r="AS4" s="18">
        <v>3</v>
      </c>
      <c r="AT4" s="18">
        <v>3</v>
      </c>
      <c r="AU4" s="18" t="s">
        <v>381</v>
      </c>
      <c r="AV4" s="18" t="s">
        <v>429</v>
      </c>
      <c r="AW4" s="18" t="s">
        <v>429</v>
      </c>
      <c r="AX4" s="18">
        <v>2020</v>
      </c>
      <c r="AY4" s="18">
        <v>2021</v>
      </c>
      <c r="AZ4" s="18" t="s">
        <v>301</v>
      </c>
      <c r="BA4" s="18">
        <v>2019</v>
      </c>
      <c r="BB4" s="18">
        <v>2019</v>
      </c>
      <c r="BC4" s="18">
        <v>9</v>
      </c>
      <c r="BD4" s="18">
        <v>5</v>
      </c>
      <c r="BE4" s="18">
        <v>2</v>
      </c>
      <c r="BF4" s="18" t="s">
        <v>405</v>
      </c>
      <c r="BG4" s="18" t="s">
        <v>406</v>
      </c>
      <c r="BH4" s="18" t="s">
        <v>407</v>
      </c>
      <c r="BI4" s="18" t="s">
        <v>408</v>
      </c>
      <c r="BJ4" s="18" t="s">
        <v>409</v>
      </c>
      <c r="BK4" s="18" t="s">
        <v>410</v>
      </c>
      <c r="BL4" s="18">
        <v>1</v>
      </c>
      <c r="BM4" s="18">
        <v>1</v>
      </c>
      <c r="BN4" s="18">
        <v>2</v>
      </c>
      <c r="BO4" s="18">
        <v>2</v>
      </c>
      <c r="BP4" s="18" t="s">
        <v>412</v>
      </c>
      <c r="BQ4" s="18" t="s">
        <v>403</v>
      </c>
      <c r="BR4" s="18" t="s">
        <v>414</v>
      </c>
      <c r="BS4" s="18" t="s">
        <v>414</v>
      </c>
      <c r="BT4" s="18" t="s">
        <v>414</v>
      </c>
      <c r="BU4" s="18" t="s">
        <v>419</v>
      </c>
      <c r="BV4" s="18" t="s">
        <v>419</v>
      </c>
      <c r="BW4" s="18" t="s">
        <v>419</v>
      </c>
      <c r="BX4" s="18" t="s">
        <v>423</v>
      </c>
      <c r="BY4" s="18" t="s">
        <v>423</v>
      </c>
      <c r="BZ4" s="18">
        <v>1</v>
      </c>
      <c r="CA4" s="18">
        <v>2</v>
      </c>
      <c r="CB4" s="18">
        <v>3</v>
      </c>
      <c r="CC4" s="18">
        <v>4</v>
      </c>
      <c r="CD4" s="18">
        <v>5</v>
      </c>
      <c r="CE4" s="18">
        <v>6</v>
      </c>
      <c r="CF4" s="18" t="s">
        <v>830</v>
      </c>
      <c r="CG4" s="18" t="s">
        <v>831</v>
      </c>
      <c r="CH4" s="18" t="s">
        <v>431</v>
      </c>
      <c r="CI4" s="18" t="s">
        <v>841</v>
      </c>
      <c r="CJ4" s="18" t="s">
        <v>846</v>
      </c>
      <c r="CK4" s="18" t="s">
        <v>849</v>
      </c>
      <c r="CL4" s="18" t="s">
        <v>849</v>
      </c>
      <c r="CM4" s="18" t="s">
        <v>849</v>
      </c>
      <c r="CN4" s="18" t="s">
        <v>849</v>
      </c>
      <c r="CO4" s="18" t="s">
        <v>849</v>
      </c>
      <c r="CP4" s="18">
        <v>2016</v>
      </c>
      <c r="CQ4" s="18">
        <v>2017</v>
      </c>
      <c r="CR4" s="18">
        <v>2018</v>
      </c>
      <c r="CS4" s="18">
        <v>2019</v>
      </c>
      <c r="CT4" s="18">
        <v>2020</v>
      </c>
      <c r="CU4" s="18" t="s">
        <v>865</v>
      </c>
      <c r="CV4" s="18" t="s">
        <v>865</v>
      </c>
      <c r="CW4" s="18" t="s">
        <v>865</v>
      </c>
      <c r="CX4" s="18" t="s">
        <v>431</v>
      </c>
      <c r="CY4" s="18" t="s">
        <v>432</v>
      </c>
      <c r="CZ4" s="18" t="s">
        <v>433</v>
      </c>
      <c r="DA4" s="18" t="s">
        <v>434</v>
      </c>
      <c r="DB4" s="18" t="s">
        <v>435</v>
      </c>
      <c r="DC4" s="18" t="s">
        <v>436</v>
      </c>
      <c r="DD4" s="18" t="s">
        <v>438</v>
      </c>
      <c r="DE4" s="18" t="s">
        <v>440</v>
      </c>
      <c r="DF4" s="18" t="s">
        <v>441</v>
      </c>
      <c r="DG4" s="18" t="s">
        <v>438</v>
      </c>
      <c r="DH4" s="18" t="s">
        <v>440</v>
      </c>
      <c r="DI4" s="18" t="s">
        <v>441</v>
      </c>
      <c r="DJ4" s="18" t="s">
        <v>444</v>
      </c>
      <c r="DK4" s="18" t="s">
        <v>429</v>
      </c>
      <c r="DL4" s="18" t="s">
        <v>429</v>
      </c>
      <c r="DM4" s="18" t="s">
        <v>429</v>
      </c>
      <c r="DN4" s="18" t="s">
        <v>431</v>
      </c>
      <c r="DO4" s="18" t="s">
        <v>431</v>
      </c>
      <c r="DP4" s="18" t="s">
        <v>431</v>
      </c>
      <c r="DQ4" s="18" t="s">
        <v>431</v>
      </c>
      <c r="DR4" s="18" t="s">
        <v>431</v>
      </c>
      <c r="DS4" s="18" t="s">
        <v>431</v>
      </c>
      <c r="DT4" s="18" t="s">
        <v>431</v>
      </c>
      <c r="DU4" s="18" t="s">
        <v>431</v>
      </c>
      <c r="DV4" s="18" t="s">
        <v>431</v>
      </c>
      <c r="DW4" s="18" t="s">
        <v>431</v>
      </c>
      <c r="DX4" s="18" t="s">
        <v>431</v>
      </c>
      <c r="DY4" s="18" t="s">
        <v>431</v>
      </c>
      <c r="DZ4" s="18" t="s">
        <v>432</v>
      </c>
      <c r="EA4" s="18" t="s">
        <v>433</v>
      </c>
      <c r="EB4" s="18">
        <v>2018</v>
      </c>
      <c r="EC4" s="18">
        <v>2018</v>
      </c>
      <c r="ED4" s="18">
        <v>2018</v>
      </c>
      <c r="EE4" s="18">
        <v>2018</v>
      </c>
      <c r="EF4" s="18" t="s">
        <v>429</v>
      </c>
      <c r="EG4" s="18" t="s">
        <v>429</v>
      </c>
      <c r="EH4" s="18" t="s">
        <v>429</v>
      </c>
      <c r="EI4" s="18" t="s">
        <v>497</v>
      </c>
      <c r="EJ4" s="18" t="s">
        <v>497</v>
      </c>
      <c r="EK4" s="18" t="s">
        <v>497</v>
      </c>
      <c r="EL4" s="18" t="s">
        <v>497</v>
      </c>
      <c r="EM4" s="18" t="s">
        <v>429</v>
      </c>
      <c r="EN4" s="18" t="s">
        <v>874</v>
      </c>
      <c r="EO4" s="18" t="s">
        <v>879</v>
      </c>
      <c r="EP4" s="18" t="s">
        <v>882</v>
      </c>
      <c r="EQ4" s="18" t="s">
        <v>886</v>
      </c>
      <c r="ER4" s="18" t="s">
        <v>891</v>
      </c>
      <c r="ES4" s="18" t="s">
        <v>895</v>
      </c>
      <c r="ET4" s="18" t="s">
        <v>900</v>
      </c>
      <c r="EU4" s="18" t="s">
        <v>904</v>
      </c>
      <c r="EV4" s="18"/>
      <c r="EW4" s="18"/>
    </row>
    <row r="5" spans="1:153" ht="14" x14ac:dyDescent="0.2">
      <c r="A5" s="18" t="s">
        <v>289</v>
      </c>
      <c r="B5" s="18"/>
      <c r="C5" s="18" t="s">
        <v>394</v>
      </c>
      <c r="D5" s="18" t="s">
        <v>501</v>
      </c>
      <c r="E5" s="18" t="s">
        <v>394</v>
      </c>
      <c r="F5" s="18" t="s">
        <v>501</v>
      </c>
      <c r="G5" s="18">
        <v>2010</v>
      </c>
      <c r="H5" s="18">
        <v>2010</v>
      </c>
      <c r="I5" s="18">
        <v>2011</v>
      </c>
      <c r="J5" s="18">
        <v>2011</v>
      </c>
      <c r="K5" s="18">
        <v>2013</v>
      </c>
      <c r="L5" s="18">
        <v>2013</v>
      </c>
      <c r="M5" s="18">
        <v>2014</v>
      </c>
      <c r="N5" s="18">
        <v>2014</v>
      </c>
      <c r="O5" s="18">
        <v>2015</v>
      </c>
      <c r="P5" s="18">
        <v>2015</v>
      </c>
      <c r="Q5" s="18">
        <v>2016</v>
      </c>
      <c r="R5" s="18">
        <v>2016</v>
      </c>
      <c r="S5" s="18">
        <v>2010</v>
      </c>
      <c r="T5" s="18">
        <v>2010</v>
      </c>
      <c r="U5" s="18">
        <v>2011</v>
      </c>
      <c r="V5" s="18">
        <v>2011</v>
      </c>
      <c r="W5" s="18">
        <v>2013</v>
      </c>
      <c r="X5" s="18">
        <v>2013</v>
      </c>
      <c r="Y5" s="18">
        <v>2014</v>
      </c>
      <c r="Z5" s="18">
        <v>2014</v>
      </c>
      <c r="AA5" s="18">
        <v>2015</v>
      </c>
      <c r="AB5" s="18">
        <v>2015</v>
      </c>
      <c r="AC5" s="18">
        <v>2016</v>
      </c>
      <c r="AD5" s="18">
        <v>2016</v>
      </c>
      <c r="AE5" s="18">
        <v>2015</v>
      </c>
      <c r="AF5" s="18">
        <v>2015</v>
      </c>
      <c r="AG5" s="18">
        <v>2016</v>
      </c>
      <c r="AH5" s="18">
        <v>2016</v>
      </c>
      <c r="AI5" s="18">
        <v>2017</v>
      </c>
      <c r="AJ5" s="18">
        <v>2017</v>
      </c>
      <c r="AK5" s="18">
        <v>2018</v>
      </c>
      <c r="AL5" s="18">
        <v>2018</v>
      </c>
      <c r="AM5" s="18">
        <v>2019</v>
      </c>
      <c r="AN5" s="18">
        <v>2019</v>
      </c>
      <c r="AO5" s="18">
        <v>2020</v>
      </c>
      <c r="AP5" s="18">
        <v>2020</v>
      </c>
      <c r="AQ5" s="18" t="s">
        <v>290</v>
      </c>
      <c r="AR5" s="18" t="s">
        <v>290</v>
      </c>
      <c r="AS5" s="18">
        <v>2020</v>
      </c>
      <c r="AT5" s="18">
        <v>2021</v>
      </c>
      <c r="AU5" s="18" t="s">
        <v>290</v>
      </c>
      <c r="AV5" s="18" t="s">
        <v>394</v>
      </c>
      <c r="AW5" s="18" t="s">
        <v>501</v>
      </c>
      <c r="AX5" s="18" t="s">
        <v>290</v>
      </c>
      <c r="AY5" s="18" t="s">
        <v>290</v>
      </c>
      <c r="AZ5" s="18" t="s">
        <v>290</v>
      </c>
      <c r="BA5" s="18" t="s">
        <v>290</v>
      </c>
      <c r="BB5" s="18" t="s">
        <v>290</v>
      </c>
      <c r="BC5" s="18" t="s">
        <v>394</v>
      </c>
      <c r="BD5" s="18" t="s">
        <v>394</v>
      </c>
      <c r="BE5" s="18" t="s">
        <v>394</v>
      </c>
      <c r="BF5" s="18" t="s">
        <v>394</v>
      </c>
      <c r="BG5" s="18" t="s">
        <v>394</v>
      </c>
      <c r="BH5" s="18" t="s">
        <v>394</v>
      </c>
      <c r="BI5" s="18" t="s">
        <v>394</v>
      </c>
      <c r="BJ5" s="18" t="s">
        <v>394</v>
      </c>
      <c r="BK5" s="18" t="s">
        <v>394</v>
      </c>
      <c r="BL5" s="18" t="s">
        <v>388</v>
      </c>
      <c r="BM5" s="18" t="s">
        <v>389</v>
      </c>
      <c r="BN5" s="18" t="s">
        <v>389</v>
      </c>
      <c r="BO5" s="18" t="s">
        <v>390</v>
      </c>
      <c r="BP5" s="18" t="s">
        <v>394</v>
      </c>
      <c r="BQ5" s="18" t="s">
        <v>394</v>
      </c>
      <c r="BR5" s="18" t="s">
        <v>415</v>
      </c>
      <c r="BS5" s="18" t="s">
        <v>417</v>
      </c>
      <c r="BT5" s="18" t="s">
        <v>418</v>
      </c>
      <c r="BU5" s="18" t="s">
        <v>415</v>
      </c>
      <c r="BV5" s="18" t="s">
        <v>417</v>
      </c>
      <c r="BW5" s="18" t="s">
        <v>418</v>
      </c>
      <c r="BX5" s="18" t="s">
        <v>424</v>
      </c>
      <c r="BY5" s="18" t="s">
        <v>425</v>
      </c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 t="s">
        <v>850</v>
      </c>
      <c r="CL5" s="18" t="s">
        <v>853</v>
      </c>
      <c r="CM5" s="18" t="s">
        <v>854</v>
      </c>
      <c r="CN5" s="18" t="s">
        <v>855</v>
      </c>
      <c r="CO5" s="18" t="s">
        <v>857</v>
      </c>
      <c r="CP5" s="18">
        <v>2016</v>
      </c>
      <c r="CQ5" s="18">
        <v>2017</v>
      </c>
      <c r="CR5" s="18">
        <v>2018</v>
      </c>
      <c r="CS5" s="18">
        <v>2019</v>
      </c>
      <c r="CT5" s="18">
        <v>2020</v>
      </c>
      <c r="CU5" s="18" t="s">
        <v>866</v>
      </c>
      <c r="CV5" s="18" t="s">
        <v>868</v>
      </c>
      <c r="CW5" s="18" t="s">
        <v>869</v>
      </c>
      <c r="CX5" s="18"/>
      <c r="CY5" s="18"/>
      <c r="CZ5" s="18"/>
      <c r="DA5" s="18"/>
      <c r="DB5" s="18"/>
      <c r="DC5" s="18"/>
      <c r="DD5" s="18" t="s">
        <v>439</v>
      </c>
      <c r="DE5" s="18" t="s">
        <v>439</v>
      </c>
      <c r="DF5" s="18" t="s">
        <v>439</v>
      </c>
      <c r="DG5" s="18" t="s">
        <v>442</v>
      </c>
      <c r="DH5" s="18" t="s">
        <v>442</v>
      </c>
      <c r="DI5" s="18" t="s">
        <v>442</v>
      </c>
      <c r="DJ5" s="18"/>
      <c r="DK5" s="18"/>
      <c r="DL5" s="18"/>
      <c r="DM5" s="18"/>
      <c r="DN5" s="18" t="s">
        <v>452</v>
      </c>
      <c r="DO5" s="18" t="s">
        <v>453</v>
      </c>
      <c r="DP5" s="18" t="s">
        <v>454</v>
      </c>
      <c r="DQ5" s="18" t="s">
        <v>455</v>
      </c>
      <c r="DR5" s="18" t="s">
        <v>456</v>
      </c>
      <c r="DS5" s="18" t="s">
        <v>457</v>
      </c>
      <c r="DT5" s="18" t="s">
        <v>458</v>
      </c>
      <c r="DU5" s="18" t="s">
        <v>458</v>
      </c>
      <c r="DV5" s="18" t="s">
        <v>460</v>
      </c>
      <c r="DW5" s="18" t="s">
        <v>461</v>
      </c>
      <c r="DX5" s="18" t="s">
        <v>461</v>
      </c>
      <c r="DY5" s="18"/>
      <c r="DZ5" s="18"/>
      <c r="EA5" s="18"/>
      <c r="EB5" s="18" t="s">
        <v>392</v>
      </c>
      <c r="EC5" s="18" t="s">
        <v>393</v>
      </c>
      <c r="ED5" s="18" t="s">
        <v>501</v>
      </c>
      <c r="EE5" s="18" t="s">
        <v>501</v>
      </c>
      <c r="EF5" s="18"/>
      <c r="EG5" s="18"/>
      <c r="EH5" s="18"/>
      <c r="EI5" s="18" t="s">
        <v>498</v>
      </c>
      <c r="EJ5" s="18" t="s">
        <v>499</v>
      </c>
      <c r="EK5" s="18" t="s">
        <v>500</v>
      </c>
      <c r="EL5" s="18" t="s">
        <v>501</v>
      </c>
      <c r="EM5" s="18"/>
      <c r="EN5" s="18"/>
      <c r="EO5" s="18"/>
      <c r="EP5" s="18"/>
      <c r="EQ5" s="18"/>
      <c r="ER5" s="18"/>
      <c r="ES5" s="18" t="s">
        <v>896</v>
      </c>
      <c r="ET5" s="18"/>
      <c r="EU5" s="18"/>
      <c r="EV5" s="18" t="s">
        <v>906</v>
      </c>
      <c r="EW5" s="18" t="s">
        <v>882</v>
      </c>
    </row>
    <row r="6" spans="1:153" ht="14" x14ac:dyDescent="0.2">
      <c r="A6" s="17" t="s">
        <v>910</v>
      </c>
      <c r="B6" s="18" t="s">
        <v>343</v>
      </c>
      <c r="C6" s="18">
        <v>69556</v>
      </c>
      <c r="D6" s="18">
        <v>69556</v>
      </c>
      <c r="E6" s="18">
        <v>69556</v>
      </c>
      <c r="F6" s="18">
        <v>69556</v>
      </c>
      <c r="G6" s="18">
        <v>414109</v>
      </c>
      <c r="H6" s="18">
        <v>414109</v>
      </c>
      <c r="I6" s="18">
        <v>414109</v>
      </c>
      <c r="J6" s="18">
        <v>414109</v>
      </c>
      <c r="K6" s="18">
        <v>414109</v>
      </c>
      <c r="L6" s="18">
        <v>414109</v>
      </c>
      <c r="M6" s="18">
        <v>414109</v>
      </c>
      <c r="N6" s="18">
        <v>414109</v>
      </c>
      <c r="O6" s="18">
        <v>414109</v>
      </c>
      <c r="P6" s="18">
        <v>414109</v>
      </c>
      <c r="Q6" s="18">
        <v>414109</v>
      </c>
      <c r="R6" s="18">
        <v>414109</v>
      </c>
      <c r="S6" s="18">
        <v>414109</v>
      </c>
      <c r="T6" s="18">
        <v>414109</v>
      </c>
      <c r="U6" s="18">
        <v>414109</v>
      </c>
      <c r="V6" s="18">
        <v>414109</v>
      </c>
      <c r="W6" s="18">
        <v>414109</v>
      </c>
      <c r="X6" s="18">
        <v>414109</v>
      </c>
      <c r="Y6" s="18">
        <v>414109</v>
      </c>
      <c r="Z6" s="18">
        <v>414109</v>
      </c>
      <c r="AA6" s="18">
        <v>414109</v>
      </c>
      <c r="AB6" s="18">
        <v>414109</v>
      </c>
      <c r="AC6" s="18">
        <v>414109</v>
      </c>
      <c r="AD6" s="18">
        <v>414109</v>
      </c>
      <c r="AE6" s="18">
        <v>1932086</v>
      </c>
      <c r="AF6" s="18">
        <v>1932086</v>
      </c>
      <c r="AG6" s="18">
        <v>1932086</v>
      </c>
      <c r="AH6" s="18">
        <v>1932086</v>
      </c>
      <c r="AI6" s="18">
        <v>1932086</v>
      </c>
      <c r="AJ6" s="18">
        <v>1932086</v>
      </c>
      <c r="AK6" s="18">
        <v>1932086</v>
      </c>
      <c r="AL6" s="18">
        <v>1932086</v>
      </c>
      <c r="AM6" s="18">
        <v>1932086</v>
      </c>
      <c r="AN6" s="18">
        <v>1932086</v>
      </c>
      <c r="AO6" s="18">
        <v>1932086</v>
      </c>
      <c r="AP6" s="18">
        <v>1932086</v>
      </c>
      <c r="AQ6" s="18">
        <v>6761</v>
      </c>
      <c r="AR6" s="18">
        <v>508680</v>
      </c>
      <c r="AS6" s="18">
        <v>3045660</v>
      </c>
      <c r="AT6" s="18">
        <v>3045660</v>
      </c>
      <c r="AU6" s="18">
        <v>329887</v>
      </c>
      <c r="AV6" s="18">
        <f>32773+134409</f>
        <v>167182</v>
      </c>
      <c r="AW6" s="18">
        <f>32773+134409</f>
        <v>167182</v>
      </c>
      <c r="AX6" s="18">
        <v>7506609</v>
      </c>
      <c r="AY6" s="18">
        <v>7506609</v>
      </c>
      <c r="AZ6" s="18">
        <v>124931</v>
      </c>
      <c r="BA6" s="18">
        <v>103512</v>
      </c>
      <c r="BB6" s="18">
        <v>103512</v>
      </c>
      <c r="BC6" s="18">
        <v>229704</v>
      </c>
      <c r="BD6" s="18">
        <v>143692</v>
      </c>
      <c r="BE6" s="18">
        <v>143692</v>
      </c>
      <c r="BF6" s="18">
        <v>2119324</v>
      </c>
      <c r="BG6" s="18">
        <v>2119324</v>
      </c>
      <c r="BH6" s="18">
        <v>2119324</v>
      </c>
      <c r="BI6" s="18">
        <v>2119324</v>
      </c>
      <c r="BJ6" s="18">
        <v>2119324</v>
      </c>
      <c r="BK6" s="18">
        <v>2119324</v>
      </c>
      <c r="BL6" s="18">
        <v>696</v>
      </c>
      <c r="BM6" s="18">
        <v>696</v>
      </c>
      <c r="BN6" s="18">
        <v>696</v>
      </c>
      <c r="BO6" s="18">
        <v>696</v>
      </c>
      <c r="BP6" s="18">
        <v>2057512</v>
      </c>
      <c r="BQ6" s="18">
        <v>2057512</v>
      </c>
      <c r="BR6" s="18">
        <v>249400</v>
      </c>
      <c r="BS6" s="18">
        <v>249400</v>
      </c>
      <c r="BT6" s="18">
        <v>249400</v>
      </c>
      <c r="BU6" s="18">
        <v>249400</v>
      </c>
      <c r="BV6" s="18">
        <v>249400</v>
      </c>
      <c r="BW6" s="18">
        <v>249400</v>
      </c>
      <c r="BX6" s="18">
        <v>33637</v>
      </c>
      <c r="BY6" s="18">
        <v>38512</v>
      </c>
      <c r="BZ6" s="18">
        <v>39067</v>
      </c>
      <c r="CA6" s="18">
        <v>39067</v>
      </c>
      <c r="CB6" s="18">
        <v>39067</v>
      </c>
      <c r="CC6" s="18">
        <v>39067</v>
      </c>
      <c r="CD6" s="18">
        <v>39067</v>
      </c>
      <c r="CE6" s="18">
        <v>39067</v>
      </c>
      <c r="CF6" s="18">
        <v>169804</v>
      </c>
      <c r="CG6" s="18">
        <v>169804</v>
      </c>
      <c r="CH6" s="18">
        <v>75317</v>
      </c>
      <c r="CI6" s="18">
        <v>38512</v>
      </c>
      <c r="CJ6" s="18">
        <v>45989</v>
      </c>
      <c r="CK6" s="18">
        <v>46382</v>
      </c>
      <c r="CL6" s="18">
        <v>46382</v>
      </c>
      <c r="CM6" s="18">
        <v>46382</v>
      </c>
      <c r="CN6" s="18">
        <v>46382</v>
      </c>
      <c r="CO6" s="18">
        <v>46382</v>
      </c>
      <c r="CP6" s="18">
        <v>29330</v>
      </c>
      <c r="CQ6" s="18">
        <v>29330</v>
      </c>
      <c r="CR6" s="18">
        <v>29330</v>
      </c>
      <c r="CS6" s="18">
        <v>29330</v>
      </c>
      <c r="CT6" s="18">
        <v>29330</v>
      </c>
      <c r="CU6" s="18">
        <v>27096</v>
      </c>
      <c r="CV6" s="18">
        <v>27096</v>
      </c>
      <c r="CW6" s="18">
        <v>27096</v>
      </c>
      <c r="CX6" s="18">
        <v>59891</v>
      </c>
      <c r="CY6" s="18">
        <v>59891</v>
      </c>
      <c r="CZ6" s="18">
        <v>59891</v>
      </c>
      <c r="DA6" s="18">
        <v>59891</v>
      </c>
      <c r="DB6" s="18">
        <v>59891</v>
      </c>
      <c r="DC6" s="18">
        <v>59891</v>
      </c>
      <c r="DD6" s="18">
        <v>30313</v>
      </c>
      <c r="DE6" s="18">
        <v>30313</v>
      </c>
      <c r="DF6" s="18">
        <v>30313</v>
      </c>
      <c r="DG6" s="18">
        <v>30313</v>
      </c>
      <c r="DH6" s="18">
        <v>30313</v>
      </c>
      <c r="DI6" s="18">
        <v>30313</v>
      </c>
      <c r="DJ6" s="18">
        <v>250634</v>
      </c>
      <c r="DK6" s="20">
        <v>356309</v>
      </c>
      <c r="DL6" s="20">
        <v>174984</v>
      </c>
      <c r="DM6" s="20">
        <v>73181</v>
      </c>
      <c r="DN6" s="18">
        <v>172720</v>
      </c>
      <c r="DO6" s="18">
        <v>172720</v>
      </c>
      <c r="DP6" s="18">
        <v>172720</v>
      </c>
      <c r="DQ6" s="18">
        <v>172720</v>
      </c>
      <c r="DR6" s="18">
        <v>172720</v>
      </c>
      <c r="DS6" s="18">
        <v>172720</v>
      </c>
      <c r="DT6" s="18">
        <v>172720</v>
      </c>
      <c r="DU6" s="18">
        <v>172720</v>
      </c>
      <c r="DV6" s="18">
        <v>165127</v>
      </c>
      <c r="DW6" s="18">
        <v>165127</v>
      </c>
      <c r="DX6" s="18">
        <v>165127</v>
      </c>
      <c r="DY6" s="18">
        <v>25186</v>
      </c>
      <c r="DZ6" s="18">
        <v>25186</v>
      </c>
      <c r="EA6" s="18">
        <v>25186</v>
      </c>
      <c r="EB6" s="18">
        <v>5156577</v>
      </c>
      <c r="EC6" s="18">
        <v>5156577</v>
      </c>
      <c r="ED6" s="18">
        <v>5156577</v>
      </c>
      <c r="EE6" s="18">
        <v>5156577</v>
      </c>
      <c r="EF6" s="18">
        <v>8952</v>
      </c>
      <c r="EG6" s="18">
        <v>4348</v>
      </c>
      <c r="EH6" s="18">
        <v>9642</v>
      </c>
      <c r="EI6" s="18">
        <v>30055</v>
      </c>
      <c r="EJ6" s="18">
        <v>30055</v>
      </c>
      <c r="EK6" s="18">
        <v>30055</v>
      </c>
      <c r="EL6" s="18">
        <v>30055</v>
      </c>
      <c r="EM6" s="18">
        <v>288563</v>
      </c>
      <c r="EN6" s="18">
        <v>2493</v>
      </c>
      <c r="EO6" s="18">
        <v>4547</v>
      </c>
      <c r="EP6" s="18">
        <v>78329</v>
      </c>
      <c r="EQ6" s="18">
        <v>203533</v>
      </c>
      <c r="ER6" s="18">
        <v>696</v>
      </c>
      <c r="ES6" s="18">
        <v>975</v>
      </c>
      <c r="ET6" s="18">
        <v>97297</v>
      </c>
      <c r="EU6" s="18">
        <v>61013</v>
      </c>
      <c r="EV6" s="18">
        <v>2344</v>
      </c>
      <c r="EW6" s="18">
        <v>3397</v>
      </c>
    </row>
    <row r="7" spans="1:153" ht="14" x14ac:dyDescent="0.2">
      <c r="A7" s="18" t="s">
        <v>481</v>
      </c>
      <c r="B7" s="18"/>
      <c r="C7" s="18" t="s">
        <v>482</v>
      </c>
      <c r="D7" s="18" t="s">
        <v>482</v>
      </c>
      <c r="E7" s="18" t="s">
        <v>482</v>
      </c>
      <c r="F7" s="18" t="s">
        <v>482</v>
      </c>
      <c r="G7" s="18" t="s">
        <v>482</v>
      </c>
      <c r="H7" s="18" t="s">
        <v>482</v>
      </c>
      <c r="I7" s="18" t="s">
        <v>482</v>
      </c>
      <c r="J7" s="18" t="s">
        <v>482</v>
      </c>
      <c r="K7" s="18" t="s">
        <v>482</v>
      </c>
      <c r="L7" s="18" t="s">
        <v>482</v>
      </c>
      <c r="M7" s="18" t="s">
        <v>482</v>
      </c>
      <c r="N7" s="18" t="s">
        <v>482</v>
      </c>
      <c r="O7" s="18" t="s">
        <v>482</v>
      </c>
      <c r="P7" s="18" t="s">
        <v>482</v>
      </c>
      <c r="Q7" s="18" t="s">
        <v>482</v>
      </c>
      <c r="R7" s="18" t="s">
        <v>482</v>
      </c>
      <c r="S7" s="18" t="s">
        <v>482</v>
      </c>
      <c r="T7" s="18" t="s">
        <v>482</v>
      </c>
      <c r="U7" s="18" t="s">
        <v>482</v>
      </c>
      <c r="V7" s="18" t="s">
        <v>482</v>
      </c>
      <c r="W7" s="18" t="s">
        <v>482</v>
      </c>
      <c r="X7" s="18" t="s">
        <v>482</v>
      </c>
      <c r="Y7" s="18" t="s">
        <v>482</v>
      </c>
      <c r="Z7" s="18" t="s">
        <v>482</v>
      </c>
      <c r="AA7" s="18" t="s">
        <v>482</v>
      </c>
      <c r="AB7" s="18" t="s">
        <v>482</v>
      </c>
      <c r="AC7" s="18" t="s">
        <v>482</v>
      </c>
      <c r="AD7" s="18" t="s">
        <v>482</v>
      </c>
      <c r="AE7" s="18" t="s">
        <v>483</v>
      </c>
      <c r="AF7" s="18" t="s">
        <v>483</v>
      </c>
      <c r="AG7" s="18" t="s">
        <v>483</v>
      </c>
      <c r="AH7" s="18" t="s">
        <v>483</v>
      </c>
      <c r="AI7" s="18" t="s">
        <v>483</v>
      </c>
      <c r="AJ7" s="18" t="s">
        <v>483</v>
      </c>
      <c r="AK7" s="18" t="s">
        <v>483</v>
      </c>
      <c r="AL7" s="18" t="s">
        <v>483</v>
      </c>
      <c r="AM7" s="18" t="s">
        <v>483</v>
      </c>
      <c r="AN7" s="18" t="s">
        <v>483</v>
      </c>
      <c r="AO7" s="18" t="s">
        <v>483</v>
      </c>
      <c r="AP7" s="18" t="s">
        <v>483</v>
      </c>
      <c r="AQ7" s="18" t="s">
        <v>482</v>
      </c>
      <c r="AR7" s="18" t="s">
        <v>482</v>
      </c>
      <c r="AS7" s="18" t="s">
        <v>483</v>
      </c>
      <c r="AT7" s="18" t="s">
        <v>483</v>
      </c>
      <c r="AU7" s="18" t="s">
        <v>484</v>
      </c>
      <c r="AV7" s="18" t="s">
        <v>484</v>
      </c>
      <c r="AW7" s="18" t="s">
        <v>484</v>
      </c>
      <c r="AX7" s="18" t="s">
        <v>483</v>
      </c>
      <c r="AY7" s="18" t="s">
        <v>483</v>
      </c>
      <c r="AZ7" s="18" t="s">
        <v>484</v>
      </c>
      <c r="BA7" s="18" t="s">
        <v>482</v>
      </c>
      <c r="BB7" s="18" t="s">
        <v>483</v>
      </c>
      <c r="BC7" s="18" t="s">
        <v>482</v>
      </c>
      <c r="BD7" s="18" t="s">
        <v>482</v>
      </c>
      <c r="BE7" s="18" t="s">
        <v>482</v>
      </c>
      <c r="BF7" s="18" t="s">
        <v>482</v>
      </c>
      <c r="BG7" s="18" t="s">
        <v>482</v>
      </c>
      <c r="BH7" s="18" t="s">
        <v>482</v>
      </c>
      <c r="BI7" s="18" t="s">
        <v>482</v>
      </c>
      <c r="BJ7" s="18" t="s">
        <v>482</v>
      </c>
      <c r="BK7" s="18" t="s">
        <v>482</v>
      </c>
      <c r="BL7" s="18" t="s">
        <v>482</v>
      </c>
      <c r="BM7" s="18" t="s">
        <v>482</v>
      </c>
      <c r="BN7" s="18" t="s">
        <v>482</v>
      </c>
      <c r="BO7" s="18" t="s">
        <v>482</v>
      </c>
      <c r="BP7" s="20" t="s">
        <v>483</v>
      </c>
      <c r="BQ7" s="18" t="s">
        <v>483</v>
      </c>
      <c r="BR7" s="18" t="s">
        <v>483</v>
      </c>
      <c r="BS7" s="18" t="s">
        <v>483</v>
      </c>
      <c r="BT7" s="18" t="s">
        <v>483</v>
      </c>
      <c r="BU7" s="18" t="s">
        <v>483</v>
      </c>
      <c r="BV7" s="18" t="s">
        <v>483</v>
      </c>
      <c r="BW7" s="18" t="s">
        <v>483</v>
      </c>
      <c r="BX7" s="18" t="s">
        <v>482</v>
      </c>
      <c r="BY7" s="18" t="s">
        <v>482</v>
      </c>
      <c r="BZ7" s="18" t="s">
        <v>482</v>
      </c>
      <c r="CA7" s="18" t="s">
        <v>482</v>
      </c>
      <c r="CB7" s="18" t="s">
        <v>482</v>
      </c>
      <c r="CC7" s="18" t="s">
        <v>482</v>
      </c>
      <c r="CD7" s="18" t="s">
        <v>482</v>
      </c>
      <c r="CE7" s="18" t="s">
        <v>482</v>
      </c>
      <c r="CF7" s="18" t="s">
        <v>482</v>
      </c>
      <c r="CG7" s="18" t="s">
        <v>482</v>
      </c>
      <c r="CH7" s="18" t="s">
        <v>482</v>
      </c>
      <c r="CI7" s="18" t="s">
        <v>482</v>
      </c>
      <c r="CJ7" s="18" t="s">
        <v>482</v>
      </c>
      <c r="CK7" s="18" t="s">
        <v>482</v>
      </c>
      <c r="CL7" s="18" t="s">
        <v>482</v>
      </c>
      <c r="CM7" s="18" t="s">
        <v>482</v>
      </c>
      <c r="CN7" s="18" t="s">
        <v>482</v>
      </c>
      <c r="CO7" s="18" t="s">
        <v>482</v>
      </c>
      <c r="CP7" s="18" t="s">
        <v>482</v>
      </c>
      <c r="CQ7" s="18" t="s">
        <v>482</v>
      </c>
      <c r="CR7" s="18" t="s">
        <v>482</v>
      </c>
      <c r="CS7" s="18" t="s">
        <v>482</v>
      </c>
      <c r="CT7" s="18" t="s">
        <v>482</v>
      </c>
      <c r="CU7" s="18" t="s">
        <v>482</v>
      </c>
      <c r="CV7" s="18" t="s">
        <v>482</v>
      </c>
      <c r="CW7" s="18" t="s">
        <v>482</v>
      </c>
      <c r="CX7" s="18" t="s">
        <v>482</v>
      </c>
      <c r="CY7" s="18" t="s">
        <v>482</v>
      </c>
      <c r="CZ7" s="18" t="s">
        <v>482</v>
      </c>
      <c r="DA7" s="18" t="s">
        <v>482</v>
      </c>
      <c r="DB7" s="18" t="s">
        <v>482</v>
      </c>
      <c r="DC7" s="18" t="s">
        <v>482</v>
      </c>
      <c r="DD7" s="18" t="s">
        <v>482</v>
      </c>
      <c r="DE7" s="18" t="s">
        <v>482</v>
      </c>
      <c r="DF7" s="18" t="s">
        <v>482</v>
      </c>
      <c r="DG7" s="18" t="s">
        <v>482</v>
      </c>
      <c r="DH7" s="18" t="s">
        <v>482</v>
      </c>
      <c r="DI7" s="18" t="s">
        <v>482</v>
      </c>
      <c r="DJ7" s="18" t="s">
        <v>482</v>
      </c>
      <c r="DK7" s="18" t="s">
        <v>484</v>
      </c>
      <c r="DL7" s="18" t="s">
        <v>484</v>
      </c>
      <c r="DM7" s="18" t="s">
        <v>484</v>
      </c>
      <c r="DN7" s="18" t="s">
        <v>482</v>
      </c>
      <c r="DO7" s="18" t="s">
        <v>482</v>
      </c>
      <c r="DP7" s="18" t="s">
        <v>482</v>
      </c>
      <c r="DQ7" s="18" t="s">
        <v>482</v>
      </c>
      <c r="DR7" s="18" t="s">
        <v>482</v>
      </c>
      <c r="DS7" s="18" t="s">
        <v>482</v>
      </c>
      <c r="DT7" s="18" t="s">
        <v>482</v>
      </c>
      <c r="DU7" s="18" t="s">
        <v>482</v>
      </c>
      <c r="DV7" s="18" t="s">
        <v>485</v>
      </c>
      <c r="DW7" s="18" t="s">
        <v>485</v>
      </c>
      <c r="DX7" s="18" t="s">
        <v>485</v>
      </c>
      <c r="DY7" s="18" t="s">
        <v>482</v>
      </c>
      <c r="DZ7" s="18" t="s">
        <v>482</v>
      </c>
      <c r="EA7" s="18" t="s">
        <v>482</v>
      </c>
      <c r="EB7" s="18" t="s">
        <v>483</v>
      </c>
      <c r="EC7" s="18" t="s">
        <v>483</v>
      </c>
      <c r="ED7" s="18" t="s">
        <v>483</v>
      </c>
      <c r="EE7" s="18" t="s">
        <v>483</v>
      </c>
      <c r="EF7" s="18" t="s">
        <v>484</v>
      </c>
      <c r="EG7" s="18" t="s">
        <v>484</v>
      </c>
      <c r="EH7" s="18" t="s">
        <v>484</v>
      </c>
      <c r="EI7" s="18" t="s">
        <v>484</v>
      </c>
      <c r="EJ7" s="18" t="s">
        <v>484</v>
      </c>
      <c r="EK7" s="18" t="s">
        <v>484</v>
      </c>
      <c r="EL7" s="18" t="s">
        <v>484</v>
      </c>
      <c r="EM7" s="18" t="s">
        <v>484</v>
      </c>
      <c r="EN7" s="18" t="s">
        <v>482</v>
      </c>
      <c r="EO7" s="18" t="s">
        <v>483</v>
      </c>
      <c r="EP7" s="18" t="s">
        <v>482</v>
      </c>
      <c r="EQ7" s="18" t="s">
        <v>482</v>
      </c>
      <c r="ER7" s="18" t="s">
        <v>482</v>
      </c>
      <c r="ES7" s="18" t="s">
        <v>482</v>
      </c>
      <c r="ET7" s="18" t="s">
        <v>482</v>
      </c>
      <c r="EU7" s="18" t="s">
        <v>483</v>
      </c>
      <c r="EV7" s="18" t="s">
        <v>482</v>
      </c>
      <c r="EW7" s="18" t="s">
        <v>482</v>
      </c>
    </row>
    <row r="8" spans="1:153" ht="14" x14ac:dyDescent="0.2">
      <c r="A8" s="18" t="s">
        <v>288</v>
      </c>
      <c r="B8" s="18" t="s">
        <v>343</v>
      </c>
      <c r="C8" s="18">
        <v>16258.347919877846</v>
      </c>
      <c r="D8" s="18">
        <v>8463.6520801221541</v>
      </c>
      <c r="E8" s="18">
        <v>29387.015158454175</v>
      </c>
      <c r="F8" s="18">
        <v>8294.9848415458255</v>
      </c>
      <c r="G8" s="21">
        <v>5212.9803793223209</v>
      </c>
      <c r="H8" s="18">
        <v>5178.9086121372065</v>
      </c>
      <c r="I8" s="18">
        <v>10233.207077590507</v>
      </c>
      <c r="J8" s="18">
        <v>10166.323371201024</v>
      </c>
      <c r="K8" s="18">
        <v>4627.1573859887476</v>
      </c>
      <c r="L8" s="18">
        <v>4596.9145272567948</v>
      </c>
      <c r="M8" s="18">
        <v>7115.2331694847753</v>
      </c>
      <c r="N8" s="18">
        <v>7068.7283775273581</v>
      </c>
      <c r="O8" s="18">
        <v>4872.0540362030943</v>
      </c>
      <c r="P8" s="18">
        <v>4840.2105457703947</v>
      </c>
      <c r="Q8" s="18">
        <v>5272.5794038521699</v>
      </c>
      <c r="R8" s="18">
        <v>5238.118100559017</v>
      </c>
      <c r="S8" s="21">
        <v>2671.7941662528178</v>
      </c>
      <c r="T8" s="18">
        <v>3702.0938774222054</v>
      </c>
      <c r="U8" s="18">
        <v>5160.0257680428385</v>
      </c>
      <c r="V8" s="18">
        <v>7149.8396263077229</v>
      </c>
      <c r="W8" s="18">
        <v>2392.3632835967483</v>
      </c>
      <c r="X8" s="21">
        <v>3314.908602107912</v>
      </c>
      <c r="Y8" s="18">
        <v>3642.2793862200897</v>
      </c>
      <c r="Z8" s="18">
        <v>5046.8184959389491</v>
      </c>
      <c r="AA8" s="18">
        <v>2510.703434535103</v>
      </c>
      <c r="AB8" s="18">
        <v>3478.8831903362216</v>
      </c>
      <c r="AC8" s="18">
        <v>2825.5991295463009</v>
      </c>
      <c r="AD8" s="18">
        <v>3915.209251397489</v>
      </c>
      <c r="AE8" s="18">
        <v>9826.9546099310537</v>
      </c>
      <c r="AF8" s="18">
        <v>19735.123720770633</v>
      </c>
      <c r="AG8" s="18">
        <v>19232.472146065327</v>
      </c>
      <c r="AH8" s="18">
        <v>38623.890342924584</v>
      </c>
      <c r="AI8" s="18">
        <v>17657.087959248522</v>
      </c>
      <c r="AJ8" s="18">
        <v>35460.102265267698</v>
      </c>
      <c r="AK8" s="18">
        <v>16997.793478133739</v>
      </c>
      <c r="AL8" s="18">
        <v>34136.064588318171</v>
      </c>
      <c r="AM8" s="18">
        <v>44354.899675724089</v>
      </c>
      <c r="AN8" s="18">
        <v>89076.368770255809</v>
      </c>
      <c r="AO8" s="18">
        <v>38026.459741056904</v>
      </c>
      <c r="AP8" s="18">
        <v>76367.187744436582</v>
      </c>
      <c r="AQ8" s="18">
        <v>6631.4402597398275</v>
      </c>
      <c r="AR8" s="18">
        <v>37509</v>
      </c>
      <c r="AS8" s="18">
        <v>919166.49177504622</v>
      </c>
      <c r="AT8" s="18">
        <v>166356.55804674391</v>
      </c>
      <c r="AU8" s="18">
        <v>46709</v>
      </c>
      <c r="AV8" s="18">
        <v>135509.52064829718</v>
      </c>
      <c r="AW8" s="18">
        <v>21548.165733213209</v>
      </c>
      <c r="AX8" s="18">
        <v>266312</v>
      </c>
      <c r="AY8" s="18">
        <v>157844</v>
      </c>
      <c r="AZ8" s="18">
        <v>99774</v>
      </c>
      <c r="BA8" s="18">
        <v>32837.242050398301</v>
      </c>
      <c r="BB8" s="18">
        <v>70289.431499734113</v>
      </c>
      <c r="BC8" s="18">
        <v>25316</v>
      </c>
      <c r="BD8" s="18">
        <v>19872</v>
      </c>
      <c r="BE8" s="18">
        <v>34135</v>
      </c>
      <c r="BF8" s="18">
        <v>279029.12</v>
      </c>
      <c r="BG8" s="18">
        <v>312520</v>
      </c>
      <c r="BH8" s="18">
        <v>311998</v>
      </c>
      <c r="BI8" s="18">
        <v>282475</v>
      </c>
      <c r="BJ8" s="18">
        <v>269044</v>
      </c>
      <c r="BK8" s="18">
        <v>277430</v>
      </c>
      <c r="BL8" s="18">
        <v>36049.309792223517</v>
      </c>
      <c r="BM8" s="18">
        <v>92361.753325743091</v>
      </c>
      <c r="BN8" s="18">
        <v>60498.132596898446</v>
      </c>
      <c r="BO8" s="18">
        <v>123838.88862466688</v>
      </c>
      <c r="BP8" s="20">
        <v>435613</v>
      </c>
      <c r="BQ8" s="18">
        <v>1535469</v>
      </c>
      <c r="BR8" s="18">
        <v>6234</v>
      </c>
      <c r="BS8" s="18">
        <v>3866</v>
      </c>
      <c r="BT8" s="18">
        <v>7653</v>
      </c>
      <c r="BU8" s="18">
        <v>6337</v>
      </c>
      <c r="BV8" s="18">
        <v>3930</v>
      </c>
      <c r="BW8" s="18">
        <v>7780</v>
      </c>
      <c r="BX8" s="18">
        <v>0.434</v>
      </c>
      <c r="BY8" s="18">
        <v>0.47899999999999998</v>
      </c>
      <c r="BZ8" s="18">
        <v>4761</v>
      </c>
      <c r="CA8" s="18">
        <v>4998</v>
      </c>
      <c r="CB8" s="18">
        <v>5257</v>
      </c>
      <c r="CC8" s="18">
        <v>4983</v>
      </c>
      <c r="CD8" s="18">
        <v>9649</v>
      </c>
      <c r="CE8" s="18">
        <v>9429</v>
      </c>
      <c r="CF8" s="18">
        <v>13630</v>
      </c>
      <c r="CG8" s="18">
        <v>12896</v>
      </c>
      <c r="CH8" s="18">
        <v>33024</v>
      </c>
      <c r="CI8" s="18">
        <v>31185</v>
      </c>
      <c r="CJ8" s="18">
        <v>7180</v>
      </c>
      <c r="CK8" s="18">
        <v>2577</v>
      </c>
      <c r="CL8" s="18">
        <v>3217</v>
      </c>
      <c r="CM8" s="18">
        <v>522</v>
      </c>
      <c r="CN8" s="18">
        <v>11.7</v>
      </c>
      <c r="CO8" s="18">
        <v>2073</v>
      </c>
      <c r="CP8" s="18">
        <v>710</v>
      </c>
      <c r="CQ8" s="18">
        <v>621</v>
      </c>
      <c r="CR8" s="18">
        <v>1615</v>
      </c>
      <c r="CS8" s="18">
        <v>4023</v>
      </c>
      <c r="CT8" s="18">
        <v>4354</v>
      </c>
      <c r="CU8" s="18">
        <v>157</v>
      </c>
      <c r="CV8" s="18">
        <v>4403</v>
      </c>
      <c r="CW8" s="18">
        <v>3035</v>
      </c>
      <c r="CX8" s="18">
        <v>6515</v>
      </c>
      <c r="CY8" s="18">
        <v>3527</v>
      </c>
      <c r="CZ8" s="18">
        <v>26147</v>
      </c>
      <c r="DA8" s="20">
        <v>11617</v>
      </c>
      <c r="DB8" s="20">
        <v>10996</v>
      </c>
      <c r="DC8" s="20">
        <v>3083</v>
      </c>
      <c r="DD8" s="18">
        <v>172</v>
      </c>
      <c r="DE8" s="18">
        <v>4754</v>
      </c>
      <c r="DF8" s="18">
        <v>8973</v>
      </c>
      <c r="DG8" s="18">
        <v>1443</v>
      </c>
      <c r="DH8" s="18">
        <v>4775</v>
      </c>
      <c r="DI8" s="18">
        <v>10196</v>
      </c>
      <c r="DJ8" s="18">
        <v>7.79143537187112E-3</v>
      </c>
      <c r="DK8" s="18">
        <v>96658</v>
      </c>
      <c r="DL8" s="18">
        <v>6.75</v>
      </c>
      <c r="DM8" s="18">
        <v>4.2</v>
      </c>
      <c r="DN8" s="18">
        <v>314</v>
      </c>
      <c r="DO8" s="18">
        <v>578</v>
      </c>
      <c r="DP8" s="18">
        <v>30</v>
      </c>
      <c r="DQ8" s="18">
        <v>2456</v>
      </c>
      <c r="DR8" s="18">
        <v>51</v>
      </c>
      <c r="DS8" s="18">
        <v>3564</v>
      </c>
      <c r="DT8" s="18">
        <v>3823</v>
      </c>
      <c r="DU8" s="18">
        <v>3729</v>
      </c>
      <c r="DV8" s="18">
        <v>6.82</v>
      </c>
      <c r="DW8" s="18">
        <v>4.29</v>
      </c>
      <c r="DX8" s="18">
        <v>3.22</v>
      </c>
      <c r="DY8" s="18">
        <v>9090</v>
      </c>
      <c r="DZ8" s="18">
        <v>7997</v>
      </c>
      <c r="EA8" s="18">
        <v>8099</v>
      </c>
      <c r="EB8" s="18">
        <v>86526.4423982343</v>
      </c>
      <c r="EC8" s="18">
        <v>777114.07745355717</v>
      </c>
      <c r="ED8" s="18">
        <v>107848.52984676926</v>
      </c>
      <c r="EE8" s="18">
        <v>30269.031463946947</v>
      </c>
      <c r="EF8" s="18">
        <v>4.74</v>
      </c>
      <c r="EG8" s="18">
        <v>3.4</v>
      </c>
      <c r="EH8" s="18">
        <v>4.0199999999999996</v>
      </c>
      <c r="EI8" s="18">
        <v>601.64</v>
      </c>
      <c r="EJ8" s="18">
        <v>6557.32</v>
      </c>
      <c r="EK8" s="18">
        <v>4716.2700000000004</v>
      </c>
      <c r="EL8" s="18">
        <v>60.77</v>
      </c>
      <c r="EM8" s="18">
        <v>5.1000000000000004E-3</v>
      </c>
      <c r="EN8" s="18">
        <v>2493</v>
      </c>
      <c r="EO8" s="18">
        <v>4563</v>
      </c>
      <c r="EP8" s="18">
        <v>78329</v>
      </c>
      <c r="EQ8" s="18">
        <v>59827</v>
      </c>
      <c r="ER8" s="18">
        <v>696</v>
      </c>
      <c r="ES8" s="18">
        <v>175</v>
      </c>
      <c r="ET8" s="18">
        <v>3016</v>
      </c>
      <c r="EU8" s="20">
        <v>18752</v>
      </c>
      <c r="EV8" s="18">
        <v>2345</v>
      </c>
      <c r="EW8" s="18">
        <v>2771</v>
      </c>
    </row>
    <row r="9" spans="1:153" ht="14" x14ac:dyDescent="0.2">
      <c r="A9" s="18" t="s">
        <v>832</v>
      </c>
      <c r="B9" s="18"/>
      <c r="C9" s="18">
        <f>C8/(C20+C21)/C22</f>
        <v>1.8554516248563714E-3</v>
      </c>
      <c r="D9" s="18">
        <f>D8/(D20+D21)/D22</f>
        <v>4.4223381566818529E-2</v>
      </c>
      <c r="E9" s="18">
        <f t="shared" ref="E9:BR9" si="0">E8/(E20+E21)/(E22+E23)</f>
        <v>1.7723071739265371E-3</v>
      </c>
      <c r="F9" s="18">
        <f t="shared" si="0"/>
        <v>4.3342079313515726E-2</v>
      </c>
      <c r="G9" s="18">
        <f t="shared" si="0"/>
        <v>7.8642337877030868E-3</v>
      </c>
      <c r="H9" s="18">
        <f t="shared" si="0"/>
        <v>7.7617692951895464E-3</v>
      </c>
      <c r="I9" s="18">
        <f t="shared" si="0"/>
        <v>7.8981382887871598E-3</v>
      </c>
      <c r="J9" s="18">
        <f t="shared" si="0"/>
        <v>7.7952320485342608E-3</v>
      </c>
      <c r="K9" s="18">
        <f t="shared" si="0"/>
        <v>7.8397694843730884E-3</v>
      </c>
      <c r="L9" s="18">
        <f t="shared" si="0"/>
        <v>7.7376237415932268E-3</v>
      </c>
      <c r="M9" s="18">
        <f t="shared" si="0"/>
        <v>7.9340244976413635E-3</v>
      </c>
      <c r="N9" s="18">
        <f t="shared" si="0"/>
        <v>7.830650689628179E-3</v>
      </c>
      <c r="O9" s="18">
        <f t="shared" si="0"/>
        <v>7.8812360659659495E-3</v>
      </c>
      <c r="P9" s="18">
        <f t="shared" si="0"/>
        <v>7.7785500477627117E-3</v>
      </c>
      <c r="Q9" s="18">
        <f t="shared" si="0"/>
        <v>7.8836414531282453E-3</v>
      </c>
      <c r="R9" s="18">
        <f t="shared" si="0"/>
        <v>7.7809240947103635E-3</v>
      </c>
      <c r="S9" s="18">
        <f t="shared" si="0"/>
        <v>4.0042896053594738E-3</v>
      </c>
      <c r="T9" s="18">
        <f t="shared" si="0"/>
        <v>4.0042896053594746E-3</v>
      </c>
      <c r="U9" s="18">
        <f t="shared" si="0"/>
        <v>3.9565530988572356E-3</v>
      </c>
      <c r="V9" s="18">
        <f t="shared" si="0"/>
        <v>3.9565530988572347E-3</v>
      </c>
      <c r="W9" s="18">
        <f t="shared" si="0"/>
        <v>4.026876469404507E-3</v>
      </c>
      <c r="X9" s="18">
        <f t="shared" si="0"/>
        <v>4.0268764694045061E-3</v>
      </c>
      <c r="Y9" s="18">
        <f t="shared" si="0"/>
        <v>4.0348724783650048E-3</v>
      </c>
      <c r="Z9" s="18">
        <f t="shared" si="0"/>
        <v>4.0348724783650057E-3</v>
      </c>
      <c r="AA9" s="18">
        <f t="shared" si="0"/>
        <v>4.0348724783650057E-3</v>
      </c>
      <c r="AB9" s="18">
        <f t="shared" si="0"/>
        <v>4.0348724783650057E-3</v>
      </c>
      <c r="AC9" s="18">
        <f t="shared" si="0"/>
        <v>4.1972654924930198E-3</v>
      </c>
      <c r="AD9" s="18">
        <f t="shared" si="0"/>
        <v>4.1972654924930198E-3</v>
      </c>
      <c r="AE9" s="18">
        <f t="shared" si="0"/>
        <v>4.9901383046710357E-3</v>
      </c>
      <c r="AF9" s="18">
        <f t="shared" si="0"/>
        <v>4.9901383046710365E-3</v>
      </c>
      <c r="AG9" s="18">
        <f t="shared" si="0"/>
        <v>4.8950155767893914E-3</v>
      </c>
      <c r="AH9" s="18">
        <f t="shared" si="0"/>
        <v>4.8950155767893914E-3</v>
      </c>
      <c r="AI9" s="18">
        <f t="shared" si="0"/>
        <v>4.8316782587460739E-3</v>
      </c>
      <c r="AJ9" s="18">
        <f t="shared" si="0"/>
        <v>4.8316782587460748E-3</v>
      </c>
      <c r="AK9" s="18">
        <f t="shared" si="0"/>
        <v>4.6273678124610336E-3</v>
      </c>
      <c r="AL9" s="18">
        <f t="shared" si="0"/>
        <v>4.6273678124610345E-3</v>
      </c>
      <c r="AM9" s="18">
        <f t="shared" si="0"/>
        <v>4.4273807769413635E-3</v>
      </c>
      <c r="AN9" s="18">
        <f t="shared" si="0"/>
        <v>4.4273807769413627E-3</v>
      </c>
      <c r="AO9" s="18">
        <f t="shared" si="0"/>
        <v>4.0612579452945687E-3</v>
      </c>
      <c r="AP9" s="18">
        <f t="shared" si="0"/>
        <v>4.0612579452945687E-3</v>
      </c>
      <c r="AQ9" s="18">
        <f t="shared" si="0"/>
        <v>5.8806599343210241E-3</v>
      </c>
      <c r="AR9" s="18">
        <f t="shared" si="0"/>
        <v>8.7698674437263428E-3</v>
      </c>
      <c r="AS9" s="18">
        <f t="shared" si="0"/>
        <v>1.2624830796980463E-2</v>
      </c>
      <c r="AT9" s="18">
        <f t="shared" si="0"/>
        <v>1.2624830796980464E-2</v>
      </c>
      <c r="AU9" s="18">
        <f t="shared" si="0"/>
        <v>1.1260876477701057E-2</v>
      </c>
      <c r="AV9" s="18">
        <f t="shared" si="0"/>
        <v>9.5194605302632383E-3</v>
      </c>
      <c r="AW9" s="18">
        <f t="shared" si="0"/>
        <v>1.9678690167317998E-2</v>
      </c>
      <c r="AX9" s="18">
        <f t="shared" si="0"/>
        <v>4.0100663036016148E-3</v>
      </c>
      <c r="AY9" s="18">
        <f t="shared" si="0"/>
        <v>4.060451553267291E-3</v>
      </c>
      <c r="AZ9" s="18">
        <f>AZ8/(AZ20+AZ21)/(AZ22+AZ23)</f>
        <v>3.3833599754761169E-2</v>
      </c>
      <c r="BA9" s="18">
        <f t="shared" si="0"/>
        <v>7.3617305488824546E-3</v>
      </c>
      <c r="BB9" s="18">
        <f t="shared" si="0"/>
        <v>1.5758079023232001E-2</v>
      </c>
      <c r="BC9" s="18">
        <f t="shared" si="0"/>
        <v>7.5661123284952768E-3</v>
      </c>
      <c r="BD9" s="18">
        <f t="shared" si="0"/>
        <v>5.7120978507197041E-3</v>
      </c>
      <c r="BE9" s="18">
        <f t="shared" si="0"/>
        <v>6.3528665134980969E-3</v>
      </c>
      <c r="BF9" s="18">
        <f t="shared" si="0"/>
        <v>8.5050532427042424E-3</v>
      </c>
      <c r="BG9" s="18">
        <f t="shared" si="0"/>
        <v>8.5275152541087716E-3</v>
      </c>
      <c r="BH9" s="18">
        <f t="shared" si="0"/>
        <v>7.8268555023798588E-3</v>
      </c>
      <c r="BI9" s="18">
        <f t="shared" si="0"/>
        <v>7.2955125194628032E-3</v>
      </c>
      <c r="BJ9" s="18">
        <f t="shared" si="0"/>
        <v>7.3470035238348639E-3</v>
      </c>
      <c r="BK9" s="18">
        <f t="shared" si="0"/>
        <v>7.3372236749886643E-3</v>
      </c>
      <c r="BL9" s="18">
        <f t="shared" si="0"/>
        <v>2.8608619757438348E-3</v>
      </c>
      <c r="BM9" s="18">
        <f t="shared" si="0"/>
        <v>2.7899718717776033E-3</v>
      </c>
      <c r="BN9" s="18">
        <f t="shared" si="0"/>
        <v>2.788591616216112E-3</v>
      </c>
      <c r="BO9" s="18">
        <f t="shared" si="0"/>
        <v>2.726404056193552E-3</v>
      </c>
      <c r="BP9" s="18">
        <f t="shared" si="0"/>
        <v>3.9173082701190135E-3</v>
      </c>
      <c r="BQ9" s="18">
        <f t="shared" si="0"/>
        <v>6.576397524466363E-3</v>
      </c>
      <c r="BR9" s="18">
        <f t="shared" si="0"/>
        <v>1.2021636631859072E-2</v>
      </c>
      <c r="BS9" s="18">
        <f t="shared" ref="BS9:EM9" si="1">BS8/(BS20+BS21)/(BS22+BS23)</f>
        <v>1.9070639305445936E-2</v>
      </c>
      <c r="BT9" s="18">
        <f t="shared" si="1"/>
        <v>6.4444090772444911E-3</v>
      </c>
      <c r="BU9" s="18">
        <f t="shared" si="1"/>
        <v>1.2021018286668184E-2</v>
      </c>
      <c r="BV9" s="18">
        <f t="shared" si="1"/>
        <v>1.907026397515528E-2</v>
      </c>
      <c r="BW9" s="18">
        <f t="shared" si="1"/>
        <v>6.4445372192733072E-3</v>
      </c>
      <c r="BX9" s="18">
        <f t="shared" si="1"/>
        <v>1.1890410958904109E-3</v>
      </c>
      <c r="BY9" s="18">
        <f t="shared" si="1"/>
        <v>1.3123287671232876E-3</v>
      </c>
      <c r="BZ9" s="18">
        <f t="shared" si="1"/>
        <v>3.2609589041095892E-2</v>
      </c>
      <c r="CA9" s="18">
        <f t="shared" si="1"/>
        <v>3.4232876712328768E-2</v>
      </c>
      <c r="CB9" s="18">
        <f t="shared" si="1"/>
        <v>3.6006849315068493E-2</v>
      </c>
      <c r="CC9" s="18">
        <f t="shared" si="1"/>
        <v>3.4130136986301365E-2</v>
      </c>
      <c r="CD9" s="18">
        <f t="shared" si="1"/>
        <v>3.1470971950424004E-2</v>
      </c>
      <c r="CE9" s="18">
        <f t="shared" si="1"/>
        <v>3.2291095890410959E-2</v>
      </c>
      <c r="CF9" s="18">
        <f t="shared" si="1"/>
        <v>2.2820679520474414E-3</v>
      </c>
      <c r="CG9" s="18">
        <f t="shared" si="1"/>
        <v>2.2820321630783176E-3</v>
      </c>
      <c r="CH9" s="18">
        <f t="shared" si="1"/>
        <v>3.3097290640394092E-3</v>
      </c>
      <c r="CI9" s="18">
        <v>1.2221446257380484E-2</v>
      </c>
      <c r="CJ9" s="18">
        <v>4.1791444394969892E-3</v>
      </c>
      <c r="CK9" s="18">
        <v>7.067341313916657E-3</v>
      </c>
      <c r="CL9" s="18">
        <v>8.4260981167657619E-3</v>
      </c>
      <c r="CM9" s="18">
        <v>9.2866038071517526E-3</v>
      </c>
      <c r="CN9" s="18">
        <v>1.0684931506849314E-2</v>
      </c>
      <c r="CO9" s="18">
        <v>8.8327403651547749E-3</v>
      </c>
      <c r="CP9" s="18">
        <v>7.2044647387113142E-3</v>
      </c>
      <c r="CQ9" s="18">
        <v>6.3247950297907014E-3</v>
      </c>
      <c r="CR9" s="18">
        <v>6.019942223464728E-3</v>
      </c>
      <c r="CS9" s="18">
        <v>9.911796590125161E-3</v>
      </c>
      <c r="CT9" s="18">
        <v>2.8449241887163537E-3</v>
      </c>
      <c r="CU9" s="18">
        <v>4.7267800692458225E-3</v>
      </c>
      <c r="CV9" s="18">
        <v>3.0986421008554169E-3</v>
      </c>
      <c r="CW9" s="18">
        <v>1.5594652087679453E-3</v>
      </c>
      <c r="CX9" s="18">
        <f t="shared" si="1"/>
        <v>1.9202824863752788E-2</v>
      </c>
      <c r="CY9" s="18">
        <f t="shared" si="1"/>
        <v>1.8674220363212791E-2</v>
      </c>
      <c r="CZ9" s="18">
        <f t="shared" si="1"/>
        <v>1.8397832817337461E-2</v>
      </c>
      <c r="DA9" s="18">
        <f t="shared" si="1"/>
        <v>1.7129923175604935E-2</v>
      </c>
      <c r="DB9" s="18">
        <f t="shared" si="1"/>
        <v>1.6214223572260641E-2</v>
      </c>
      <c r="DC9" s="18">
        <f t="shared" si="1"/>
        <v>4.5336368502473428E-3</v>
      </c>
      <c r="DD9" s="18">
        <f t="shared" si="1"/>
        <v>1.9232919601923294E-2</v>
      </c>
      <c r="DE9" s="18">
        <f t="shared" si="1"/>
        <v>1.9372295254317405E-2</v>
      </c>
      <c r="DF9" s="18">
        <f t="shared" si="1"/>
        <v>1.9821467623610808E-2</v>
      </c>
      <c r="DG9" s="18">
        <f t="shared" si="1"/>
        <v>1.8721781099174842E-2</v>
      </c>
      <c r="DH9" s="18">
        <f t="shared" si="1"/>
        <v>1.9135362149251819E-2</v>
      </c>
      <c r="DI9" s="18">
        <f t="shared" si="1"/>
        <v>1.8944876652056047E-2</v>
      </c>
      <c r="DJ9" s="18">
        <f t="shared" si="1"/>
        <v>7.79143537187112E-3</v>
      </c>
      <c r="DK9" s="18">
        <f t="shared" si="1"/>
        <v>1.0384958366908408E-2</v>
      </c>
      <c r="DL9" s="18">
        <f t="shared" si="1"/>
        <v>1.8493150684931507E-2</v>
      </c>
      <c r="DM9" s="18">
        <f t="shared" si="1"/>
        <v>1.1506849315068493E-2</v>
      </c>
      <c r="DN9" s="18">
        <f t="shared" si="1"/>
        <v>8.5598233514161872E-3</v>
      </c>
      <c r="DO9" s="18">
        <f t="shared" si="1"/>
        <v>8.9047743764347001E-3</v>
      </c>
      <c r="DP9" s="18">
        <f t="shared" si="1"/>
        <v>1.0471204188481676E-2</v>
      </c>
      <c r="DQ9" s="18">
        <f t="shared" si="1"/>
        <v>1.0227367369034729E-2</v>
      </c>
      <c r="DR9" s="18">
        <f t="shared" si="1"/>
        <v>1.3484928609201481E-2</v>
      </c>
      <c r="DS9" s="18">
        <f t="shared" si="1"/>
        <v>1.3691578373145451E-2</v>
      </c>
      <c r="DT9" s="18">
        <f t="shared" si="1"/>
        <v>1.3382433761678563E-2</v>
      </c>
      <c r="DU9" s="18">
        <f t="shared" si="1"/>
        <v>1.3302654109589042E-2</v>
      </c>
      <c r="DV9" s="18">
        <f t="shared" si="1"/>
        <v>1.8684931506849314E-2</v>
      </c>
      <c r="DW9" s="18">
        <f t="shared" si="1"/>
        <v>1.1753424657534246E-2</v>
      </c>
      <c r="DX9" s="18">
        <f t="shared" si="1"/>
        <v>8.8219178082191794E-3</v>
      </c>
      <c r="DY9" s="18">
        <f t="shared" si="1"/>
        <v>1.3936267257437658E-2</v>
      </c>
      <c r="DZ9" s="18">
        <f t="shared" si="1"/>
        <v>1.2570045347731434E-2</v>
      </c>
      <c r="EA9" s="18">
        <f t="shared" si="1"/>
        <v>1.2730373548990483E-2</v>
      </c>
      <c r="EB9" s="18">
        <f t="shared" si="1"/>
        <v>3.0722611979696005E-3</v>
      </c>
      <c r="EC9" s="18">
        <f t="shared" si="1"/>
        <v>3.6555493321984004E-3</v>
      </c>
      <c r="ED9" s="18">
        <f t="shared" si="1"/>
        <v>5.508387692953599E-3</v>
      </c>
      <c r="EE9" s="18">
        <f t="shared" si="1"/>
        <v>1.4748151044972799E-2</v>
      </c>
      <c r="EF9" s="18">
        <f t="shared" si="1"/>
        <v>1.2986301369863014E-2</v>
      </c>
      <c r="EG9" s="18">
        <f t="shared" si="1"/>
        <v>9.3150684931506845E-3</v>
      </c>
      <c r="EH9" s="18">
        <f t="shared" si="1"/>
        <v>1.1013698630136985E-2</v>
      </c>
      <c r="EI9" s="18">
        <f t="shared" si="1"/>
        <v>3.5238129955568005E-3</v>
      </c>
      <c r="EJ9" s="18">
        <f t="shared" si="1"/>
        <v>1.1183012382675722E-2</v>
      </c>
      <c r="EK9" s="18">
        <f t="shared" si="1"/>
        <v>1.0682429602179256E-2</v>
      </c>
      <c r="EL9" s="18">
        <f t="shared" si="1"/>
        <v>3.5237134263444402E-3</v>
      </c>
      <c r="EM9" s="18">
        <f t="shared" si="1"/>
        <v>5.1000000000000004E-3</v>
      </c>
      <c r="EN9" s="18"/>
      <c r="EO9" s="18"/>
      <c r="EP9" s="18"/>
      <c r="EQ9" s="18"/>
      <c r="ER9" s="18"/>
      <c r="ES9" s="18"/>
      <c r="ET9" s="18"/>
      <c r="EU9" s="18"/>
      <c r="EV9" s="18"/>
      <c r="EW9" s="18"/>
    </row>
    <row r="10" spans="1:153" ht="14" x14ac:dyDescent="0.2">
      <c r="A10" s="18" t="s">
        <v>486</v>
      </c>
      <c r="B10" s="18" t="s">
        <v>783</v>
      </c>
      <c r="C10" s="18">
        <v>1.8562373546376651E-3</v>
      </c>
      <c r="D10" s="18">
        <v>4.4423607217808192E-2</v>
      </c>
      <c r="E10" s="18">
        <v>1.8009381445338729E-3</v>
      </c>
      <c r="F10" s="18">
        <v>4.3649803369441492E-2</v>
      </c>
      <c r="G10" s="18">
        <v>7.8141551915654403E-3</v>
      </c>
      <c r="H10" s="18">
        <v>7.8141551915654403E-3</v>
      </c>
      <c r="I10" s="18">
        <v>7.8478437924279689E-3</v>
      </c>
      <c r="J10" s="18">
        <v>7.8478437924279689E-3</v>
      </c>
      <c r="K10" s="18">
        <v>7.7898466742915683E-3</v>
      </c>
      <c r="L10" s="18">
        <v>7.7898466742915683E-3</v>
      </c>
      <c r="M10" s="18">
        <v>7.8835014817583843E-3</v>
      </c>
      <c r="N10" s="18">
        <v>7.8835014817583843E-3</v>
      </c>
      <c r="O10" s="18">
        <v>7.8310492011463752E-3</v>
      </c>
      <c r="P10" s="18">
        <v>7.8310492011463752E-3</v>
      </c>
      <c r="Q10" s="18">
        <v>7.7628677460970406E-3</v>
      </c>
      <c r="R10" s="18">
        <v>7.7628677460970406E-3</v>
      </c>
      <c r="S10" s="18">
        <v>4.0041904882084818E-3</v>
      </c>
      <c r="T10" s="18">
        <v>4.0041904882084818E-3</v>
      </c>
      <c r="U10" s="18">
        <v>3.9564551633157136E-3</v>
      </c>
      <c r="V10" s="18">
        <v>3.9564551633157136E-3</v>
      </c>
      <c r="W10" s="18">
        <v>4.0267767931666766E-3</v>
      </c>
      <c r="X10" s="18">
        <v>4.0267767931666766E-3</v>
      </c>
      <c r="Y10" s="18">
        <v>4.0347726042040226E-3</v>
      </c>
      <c r="Z10" s="18">
        <v>4.0347726042040226E-3</v>
      </c>
      <c r="AA10" s="18">
        <v>4.0347726042040226E-3</v>
      </c>
      <c r="AB10" s="18">
        <v>4.0347726042040226E-3</v>
      </c>
      <c r="AC10" s="18">
        <v>4.1593493320049232E-3</v>
      </c>
      <c r="AD10" s="18">
        <v>4.1593493320049232E-3</v>
      </c>
      <c r="AE10" s="18">
        <v>4.9901383046710348E-3</v>
      </c>
      <c r="AF10" s="18">
        <v>4.9901383046710348E-3</v>
      </c>
      <c r="AG10" s="18">
        <v>4.8950155767893931E-3</v>
      </c>
      <c r="AH10" s="18">
        <v>4.8950155767893931E-3</v>
      </c>
      <c r="AI10" s="18">
        <v>4.8316782587460756E-3</v>
      </c>
      <c r="AJ10" s="18">
        <v>4.8316782587460756E-3</v>
      </c>
      <c r="AK10" s="18">
        <v>4.6273678124610336E-3</v>
      </c>
      <c r="AL10" s="18">
        <v>4.6273678124610336E-3</v>
      </c>
      <c r="AM10" s="18">
        <v>4.4273807769413627E-3</v>
      </c>
      <c r="AN10" s="18">
        <v>4.4273807769413627E-3</v>
      </c>
      <c r="AO10" s="18">
        <v>4.0612579452945679E-3</v>
      </c>
      <c r="AP10" s="18">
        <v>4.0612579452945679E-3</v>
      </c>
      <c r="AQ10" s="18">
        <v>5.7912333227137184E-3</v>
      </c>
      <c r="AR10" s="18">
        <v>8.614575106993554E-3</v>
      </c>
      <c r="AS10" s="18">
        <v>1.3000632836248719E-2</v>
      </c>
      <c r="AT10" s="18">
        <v>1.3000632836248719E-2</v>
      </c>
      <c r="AU10" s="18">
        <v>1.085821156832493E-2</v>
      </c>
      <c r="AV10" s="18">
        <v>9.171352877469929E-3</v>
      </c>
      <c r="AW10" s="18">
        <v>1.8942424258440029E-2</v>
      </c>
      <c r="AX10" s="18">
        <v>3.9811877271919991E-3</v>
      </c>
      <c r="AY10" s="18">
        <v>4.0310825081071987E-3</v>
      </c>
      <c r="AZ10" s="18">
        <v>3.3270150307341061E-2</v>
      </c>
      <c r="BA10" s="18">
        <v>7.3468977440039988E-3</v>
      </c>
      <c r="BB10" s="18">
        <v>1.5758079023232001E-2</v>
      </c>
      <c r="BC10" s="18">
        <v>7.5275436822558354E-3</v>
      </c>
      <c r="BD10" s="18">
        <v>5.8348855330783494E-3</v>
      </c>
      <c r="BE10" s="18">
        <v>6.4895531897502011E-3</v>
      </c>
      <c r="BF10" s="18">
        <v>8.4141855472785378E-3</v>
      </c>
      <c r="BG10" s="18">
        <v>8.4393442145248472E-3</v>
      </c>
      <c r="BH10" s="18">
        <v>7.6418980742014534E-3</v>
      </c>
      <c r="BI10" s="18">
        <v>7.2594685501627294E-3</v>
      </c>
      <c r="BJ10" s="18">
        <v>7.2721629970048593E-3</v>
      </c>
      <c r="BK10" s="18">
        <v>7.3078587532514417E-3</v>
      </c>
      <c r="BL10" s="18">
        <v>2.6978112307885081E-3</v>
      </c>
      <c r="BM10" s="18">
        <v>2.6579135665112268E-3</v>
      </c>
      <c r="BN10" s="18">
        <v>2.656271020275873E-3</v>
      </c>
      <c r="BO10" s="18">
        <v>2.6354123983819392E-3</v>
      </c>
      <c r="BP10" s="18">
        <v>3.8519655431039999E-3</v>
      </c>
      <c r="BQ10" s="18">
        <v>6.4040441780000013E-3</v>
      </c>
      <c r="BR10" s="18">
        <v>1.202691671412537E-2</v>
      </c>
      <c r="BS10" s="18">
        <v>1.9081989134090829E-2</v>
      </c>
      <c r="BT10" s="18">
        <v>6.4392418175528683E-3</v>
      </c>
      <c r="BU10" s="18">
        <v>1.202691671412537E-2</v>
      </c>
      <c r="BV10" s="18">
        <v>1.9081989134090829E-2</v>
      </c>
      <c r="BW10" s="18">
        <v>6.4392418175528683E-3</v>
      </c>
      <c r="BX10" s="18">
        <v>1.1900025562372959E-3</v>
      </c>
      <c r="BY10" s="18">
        <v>1.3122924088975871E-3</v>
      </c>
      <c r="BZ10" s="18">
        <v>3.4324352560737813E-2</v>
      </c>
      <c r="CA10" s="18">
        <v>3.4237865330322852E-2</v>
      </c>
      <c r="CB10" s="18">
        <v>3.6012715434362519E-2</v>
      </c>
      <c r="CC10" s="18">
        <v>3.4135554391742533E-2</v>
      </c>
      <c r="CD10" s="18">
        <v>3.1480585754707892E-2</v>
      </c>
      <c r="CE10" s="18">
        <v>3.230006435865504E-2</v>
      </c>
      <c r="CF10" s="18">
        <v>2.281027065651186E-3</v>
      </c>
      <c r="CG10" s="18">
        <v>2.281027065651186E-3</v>
      </c>
      <c r="CH10" s="18">
        <v>3.2133274199129349E-3</v>
      </c>
      <c r="CI10" s="18">
        <v>1.263914104097621E-2</v>
      </c>
      <c r="CJ10" s="18">
        <v>4.245230090924576E-3</v>
      </c>
      <c r="CK10" s="18">
        <v>7.0278742377963581E-3</v>
      </c>
      <c r="CL10" s="18">
        <v>8.4137413761632956E-3</v>
      </c>
      <c r="CM10" s="18">
        <v>9.2743646800397123E-3</v>
      </c>
      <c r="CN10" s="18">
        <v>1.002740425458769E-2</v>
      </c>
      <c r="CO10" s="18">
        <v>8.5670662072284721E-3</v>
      </c>
      <c r="CP10" s="18">
        <v>7.1987631780821917E-3</v>
      </c>
      <c r="CQ10" s="18">
        <v>6.2940667063103514E-3</v>
      </c>
      <c r="CR10" s="18">
        <v>6.0099428695981208E-3</v>
      </c>
      <c r="CS10" s="18">
        <v>9.8784023142266756E-3</v>
      </c>
      <c r="CT10" s="18">
        <v>2.933618681949207E-3</v>
      </c>
      <c r="CU10" s="18">
        <v>4.7066682713133327E-3</v>
      </c>
      <c r="CV10" s="18">
        <v>3.1054822250656429E-3</v>
      </c>
      <c r="CW10" s="18">
        <v>1.5594184876159701E-3</v>
      </c>
      <c r="CX10" s="18">
        <v>1.8466536989589041E-2</v>
      </c>
      <c r="CY10" s="18">
        <v>1.7956138680000001E-2</v>
      </c>
      <c r="CZ10" s="18">
        <v>1.7691416227799999E-2</v>
      </c>
      <c r="DA10" s="18">
        <v>1.64707506E-2</v>
      </c>
      <c r="DB10" s="18">
        <v>1.5584848092E-2</v>
      </c>
      <c r="DC10" s="18">
        <v>4.3143333849863016E-3</v>
      </c>
      <c r="DD10" s="18">
        <v>1.8698659063391999E-2</v>
      </c>
      <c r="DE10" s="18">
        <v>1.8876889141651199E-2</v>
      </c>
      <c r="DF10" s="18">
        <v>1.9178405816935199E-2</v>
      </c>
      <c r="DG10" s="18">
        <v>1.782363512823102E-2</v>
      </c>
      <c r="DH10" s="18">
        <v>1.8399332714768939E-2</v>
      </c>
      <c r="DI10" s="18">
        <v>1.804238306222352E-2</v>
      </c>
      <c r="DJ10" s="18">
        <v>7.7669147255395024E-3</v>
      </c>
      <c r="DK10" s="18">
        <v>9.9783231780821904E-3</v>
      </c>
      <c r="DL10" s="18">
        <v>1.7788482542465751E-2</v>
      </c>
      <c r="DM10" s="18">
        <v>1.150961740273972E-2</v>
      </c>
      <c r="DN10" s="18">
        <v>8.2618230048191691E-3</v>
      </c>
      <c r="DO10" s="18">
        <v>8.940486187391454E-3</v>
      </c>
      <c r="DP10" s="18">
        <v>1.0625313753599999E-2</v>
      </c>
      <c r="DQ10" s="18">
        <v>1.060831325159424E-2</v>
      </c>
      <c r="DR10" s="18">
        <v>1.3320630823880641E-2</v>
      </c>
      <c r="DS10" s="18">
        <v>1.3320630823880641E-2</v>
      </c>
      <c r="DT10" s="18">
        <v>1.3320630823880641E-2</v>
      </c>
      <c r="DU10" s="18">
        <v>1.3320630823880641E-2</v>
      </c>
      <c r="DV10" s="18">
        <v>1.8925925391359989E-2</v>
      </c>
      <c r="DW10" s="18">
        <v>1.1761000243200001E-2</v>
      </c>
      <c r="DX10" s="18">
        <v>8.7820626816000058E-3</v>
      </c>
      <c r="DY10" s="18">
        <v>1.341216902866277E-2</v>
      </c>
      <c r="DZ10" s="18">
        <v>1.193985377155574E-2</v>
      </c>
      <c r="EA10" s="18">
        <v>1.2088982281493811E-2</v>
      </c>
      <c r="EB10" s="18">
        <v>3.088207866743999E-3</v>
      </c>
      <c r="EC10" s="18">
        <v>3.6629492296319992E-3</v>
      </c>
      <c r="ED10" s="18">
        <v>5.5195382753279974E-3</v>
      </c>
      <c r="EE10" s="18">
        <v>1.4778005601744011E-2</v>
      </c>
      <c r="EF10" s="18">
        <v>1.3004999999999999E-2</v>
      </c>
      <c r="EG10" s="18">
        <v>9.3581506849315065E-3</v>
      </c>
      <c r="EH10" s="18">
        <v>1.1241098630136989E-2</v>
      </c>
      <c r="EI10" s="18">
        <v>3.4505147267197421E-3</v>
      </c>
      <c r="EJ10" s="18">
        <v>1.1499344055667189E-2</v>
      </c>
      <c r="EK10" s="18">
        <v>1.09262363196735E-2</v>
      </c>
      <c r="EL10" s="18">
        <v>3.4505147267197421E-3</v>
      </c>
      <c r="EM10" s="18">
        <v>4.8259601561815059E-3</v>
      </c>
      <c r="EN10" s="18">
        <v>6.6018713903999993E-3</v>
      </c>
      <c r="EO10" s="18">
        <v>1.287757742544E-2</v>
      </c>
      <c r="EP10" s="18">
        <v>2.5999932148453971E-2</v>
      </c>
      <c r="EQ10" s="18">
        <v>5.216856839999999E-3</v>
      </c>
      <c r="ER10" s="18">
        <v>9.987178160170437E-3</v>
      </c>
      <c r="ES10" s="18">
        <v>8.5610370581651225E-3</v>
      </c>
      <c r="ET10" s="18">
        <v>6.7469660021468392E-3</v>
      </c>
      <c r="EU10" s="18">
        <v>6.3032205115375337E-3</v>
      </c>
      <c r="EV10" s="18">
        <v>1.1700074546837049E-2</v>
      </c>
      <c r="EW10" s="18">
        <v>1.17736962925223E-2</v>
      </c>
    </row>
    <row r="11" spans="1:153" ht="14" x14ac:dyDescent="0.2">
      <c r="A11" s="18" t="s">
        <v>488</v>
      </c>
      <c r="B11" s="18"/>
      <c r="C11" s="18" t="s">
        <v>489</v>
      </c>
      <c r="D11" s="18" t="s">
        <v>489</v>
      </c>
      <c r="E11" s="18" t="s">
        <v>489</v>
      </c>
      <c r="F11" s="18" t="s">
        <v>489</v>
      </c>
      <c r="G11" s="18" t="s">
        <v>489</v>
      </c>
      <c r="H11" s="18" t="s">
        <v>489</v>
      </c>
      <c r="I11" s="18" t="s">
        <v>489</v>
      </c>
      <c r="J11" s="18" t="s">
        <v>489</v>
      </c>
      <c r="K11" s="18" t="s">
        <v>489</v>
      </c>
      <c r="L11" s="18" t="s">
        <v>489</v>
      </c>
      <c r="M11" s="18" t="s">
        <v>489</v>
      </c>
      <c r="N11" s="18" t="s">
        <v>489</v>
      </c>
      <c r="O11" s="18" t="s">
        <v>489</v>
      </c>
      <c r="P11" s="18" t="s">
        <v>489</v>
      </c>
      <c r="Q11" s="18" t="s">
        <v>489</v>
      </c>
      <c r="R11" s="18" t="s">
        <v>489</v>
      </c>
      <c r="S11" s="18" t="s">
        <v>489</v>
      </c>
      <c r="T11" s="18" t="s">
        <v>489</v>
      </c>
      <c r="U11" s="18" t="s">
        <v>489</v>
      </c>
      <c r="V11" s="18" t="s">
        <v>489</v>
      </c>
      <c r="W11" s="18" t="s">
        <v>489</v>
      </c>
      <c r="X11" s="18" t="s">
        <v>489</v>
      </c>
      <c r="Y11" s="18" t="s">
        <v>489</v>
      </c>
      <c r="Z11" s="18" t="s">
        <v>489</v>
      </c>
      <c r="AA11" s="18" t="s">
        <v>489</v>
      </c>
      <c r="AB11" s="18" t="s">
        <v>489</v>
      </c>
      <c r="AC11" s="18" t="s">
        <v>489</v>
      </c>
      <c r="AD11" s="18" t="s">
        <v>489</v>
      </c>
      <c r="AE11" s="18" t="s">
        <v>490</v>
      </c>
      <c r="AF11" s="18" t="s">
        <v>490</v>
      </c>
      <c r="AG11" s="18" t="s">
        <v>490</v>
      </c>
      <c r="AH11" s="18" t="s">
        <v>490</v>
      </c>
      <c r="AI11" s="18" t="s">
        <v>490</v>
      </c>
      <c r="AJ11" s="18" t="s">
        <v>490</v>
      </c>
      <c r="AK11" s="18" t="s">
        <v>490</v>
      </c>
      <c r="AL11" s="18" t="s">
        <v>490</v>
      </c>
      <c r="AM11" s="18" t="s">
        <v>490</v>
      </c>
      <c r="AN11" s="18" t="s">
        <v>490</v>
      </c>
      <c r="AO11" s="18" t="s">
        <v>490</v>
      </c>
      <c r="AP11" s="18" t="s">
        <v>490</v>
      </c>
      <c r="AQ11" s="18" t="s">
        <v>489</v>
      </c>
      <c r="AR11" s="18" t="s">
        <v>489</v>
      </c>
      <c r="AS11" s="18" t="s">
        <v>491</v>
      </c>
      <c r="AT11" s="18" t="s">
        <v>491</v>
      </c>
      <c r="AU11" s="18" t="s">
        <v>492</v>
      </c>
      <c r="AV11" s="18" t="s">
        <v>493</v>
      </c>
      <c r="AW11" s="18" t="s">
        <v>493</v>
      </c>
      <c r="AX11" s="18" t="s">
        <v>491</v>
      </c>
      <c r="AY11" s="18" t="s">
        <v>491</v>
      </c>
      <c r="AZ11" s="18" t="s">
        <v>492</v>
      </c>
      <c r="BA11" s="18" t="s">
        <v>494</v>
      </c>
      <c r="BB11" s="18" t="s">
        <v>491</v>
      </c>
      <c r="BC11" s="18" t="s">
        <v>489</v>
      </c>
      <c r="BD11" s="18" t="s">
        <v>489</v>
      </c>
      <c r="BE11" s="18" t="s">
        <v>489</v>
      </c>
      <c r="BF11" s="18" t="s">
        <v>494</v>
      </c>
      <c r="BG11" s="18" t="s">
        <v>494</v>
      </c>
      <c r="BH11" s="18" t="s">
        <v>494</v>
      </c>
      <c r="BI11" s="18" t="s">
        <v>494</v>
      </c>
      <c r="BJ11" s="18" t="s">
        <v>494</v>
      </c>
      <c r="BK11" s="18" t="s">
        <v>494</v>
      </c>
      <c r="BL11" s="18" t="s">
        <v>842</v>
      </c>
      <c r="BM11" s="18" t="s">
        <v>842</v>
      </c>
      <c r="BN11" s="18" t="s">
        <v>842</v>
      </c>
      <c r="BO11" s="18" t="s">
        <v>842</v>
      </c>
      <c r="BP11" s="20" t="s">
        <v>491</v>
      </c>
      <c r="BQ11" s="20" t="s">
        <v>491</v>
      </c>
      <c r="BR11" s="18" t="s">
        <v>490</v>
      </c>
      <c r="BS11" s="18" t="s">
        <v>490</v>
      </c>
      <c r="BT11" s="18" t="s">
        <v>490</v>
      </c>
      <c r="BU11" s="18" t="s">
        <v>490</v>
      </c>
      <c r="BV11" s="18" t="s">
        <v>490</v>
      </c>
      <c r="BW11" s="18" t="s">
        <v>490</v>
      </c>
      <c r="BX11" s="18" t="s">
        <v>489</v>
      </c>
      <c r="BY11" s="18" t="s">
        <v>489</v>
      </c>
      <c r="BZ11" s="18" t="s">
        <v>489</v>
      </c>
      <c r="CA11" s="18" t="s">
        <v>489</v>
      </c>
      <c r="CB11" s="18" t="s">
        <v>489</v>
      </c>
      <c r="CC11" s="18" t="s">
        <v>489</v>
      </c>
      <c r="CD11" s="18" t="s">
        <v>489</v>
      </c>
      <c r="CE11" s="18" t="s">
        <v>489</v>
      </c>
      <c r="CF11" s="18" t="s">
        <v>489</v>
      </c>
      <c r="CG11" s="18" t="s">
        <v>489</v>
      </c>
      <c r="CH11" s="18" t="s">
        <v>489</v>
      </c>
      <c r="CI11" s="18" t="s">
        <v>842</v>
      </c>
      <c r="CJ11" s="18" t="s">
        <v>842</v>
      </c>
      <c r="CK11" s="18" t="s">
        <v>842</v>
      </c>
      <c r="CL11" s="18" t="s">
        <v>842</v>
      </c>
      <c r="CM11" s="18" t="s">
        <v>842</v>
      </c>
      <c r="CN11" s="18" t="s">
        <v>842</v>
      </c>
      <c r="CO11" s="18" t="s">
        <v>842</v>
      </c>
      <c r="CP11" s="18" t="s">
        <v>842</v>
      </c>
      <c r="CQ11" s="18" t="s">
        <v>842</v>
      </c>
      <c r="CR11" s="18" t="s">
        <v>842</v>
      </c>
      <c r="CS11" s="18" t="s">
        <v>842</v>
      </c>
      <c r="CT11" s="18" t="s">
        <v>842</v>
      </c>
      <c r="CU11" s="18" t="s">
        <v>842</v>
      </c>
      <c r="CV11" s="18" t="s">
        <v>842</v>
      </c>
      <c r="CW11" s="18" t="s">
        <v>842</v>
      </c>
      <c r="CX11" s="18" t="s">
        <v>494</v>
      </c>
      <c r="CY11" s="18" t="s">
        <v>494</v>
      </c>
      <c r="CZ11" s="18" t="s">
        <v>494</v>
      </c>
      <c r="DA11" s="18" t="s">
        <v>494</v>
      </c>
      <c r="DB11" s="18" t="s">
        <v>494</v>
      </c>
      <c r="DC11" s="18" t="s">
        <v>494</v>
      </c>
      <c r="DD11" s="18" t="s">
        <v>494</v>
      </c>
      <c r="DE11" s="18" t="s">
        <v>494</v>
      </c>
      <c r="DF11" s="18" t="s">
        <v>494</v>
      </c>
      <c r="DG11" s="18" t="s">
        <v>494</v>
      </c>
      <c r="DH11" s="18" t="s">
        <v>494</v>
      </c>
      <c r="DI11" s="18" t="s">
        <v>494</v>
      </c>
      <c r="DJ11" s="18" t="s">
        <v>494</v>
      </c>
      <c r="DK11" s="18" t="s">
        <v>493</v>
      </c>
      <c r="DL11" s="18" t="s">
        <v>493</v>
      </c>
      <c r="DM11" s="18" t="s">
        <v>493</v>
      </c>
      <c r="DN11" s="18" t="s">
        <v>494</v>
      </c>
      <c r="DO11" s="18" t="s">
        <v>494</v>
      </c>
      <c r="DP11" s="18" t="s">
        <v>494</v>
      </c>
      <c r="DQ11" s="18" t="s">
        <v>494</v>
      </c>
      <c r="DR11" s="18" t="s">
        <v>494</v>
      </c>
      <c r="DS11" s="18" t="s">
        <v>494</v>
      </c>
      <c r="DT11" s="18" t="s">
        <v>494</v>
      </c>
      <c r="DU11" s="18" t="s">
        <v>494</v>
      </c>
      <c r="DV11" s="18" t="s">
        <v>491</v>
      </c>
      <c r="DW11" s="18" t="s">
        <v>491</v>
      </c>
      <c r="DX11" s="18" t="s">
        <v>491</v>
      </c>
      <c r="DY11" s="18" t="s">
        <v>842</v>
      </c>
      <c r="DZ11" s="18" t="s">
        <v>842</v>
      </c>
      <c r="EA11" s="18" t="s">
        <v>842</v>
      </c>
      <c r="EB11" s="18" t="s">
        <v>491</v>
      </c>
      <c r="EC11" s="18" t="s">
        <v>491</v>
      </c>
      <c r="ED11" s="18" t="s">
        <v>491</v>
      </c>
      <c r="EE11" s="18" t="s">
        <v>491</v>
      </c>
      <c r="EF11" s="18" t="s">
        <v>495</v>
      </c>
      <c r="EG11" s="18" t="s">
        <v>495</v>
      </c>
      <c r="EH11" s="18" t="s">
        <v>495</v>
      </c>
      <c r="EI11" s="18" t="s">
        <v>492</v>
      </c>
      <c r="EJ11" s="18" t="s">
        <v>492</v>
      </c>
      <c r="EK11" s="18" t="s">
        <v>492</v>
      </c>
      <c r="EL11" s="18" t="s">
        <v>492</v>
      </c>
      <c r="EM11" s="18" t="s">
        <v>492</v>
      </c>
      <c r="EN11" s="18" t="s">
        <v>494</v>
      </c>
      <c r="EO11" s="18" t="s">
        <v>491</v>
      </c>
      <c r="EP11" s="18" t="s">
        <v>494</v>
      </c>
      <c r="EQ11" s="18" t="s">
        <v>494</v>
      </c>
      <c r="ER11" s="18" t="s">
        <v>489</v>
      </c>
      <c r="ES11" s="18" t="s">
        <v>489</v>
      </c>
      <c r="ET11" s="18" t="s">
        <v>489</v>
      </c>
      <c r="EU11" s="18" t="s">
        <v>490</v>
      </c>
      <c r="EV11" s="18" t="s">
        <v>842</v>
      </c>
      <c r="EW11" s="18" t="s">
        <v>842</v>
      </c>
    </row>
    <row r="12" spans="1:153" ht="14" x14ac:dyDescent="0.2">
      <c r="A12" s="18" t="s">
        <v>7</v>
      </c>
      <c r="B12" s="18" t="s">
        <v>344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18">
        <v>1</v>
      </c>
      <c r="P12" s="18">
        <v>1</v>
      </c>
      <c r="Q12" s="18">
        <v>1</v>
      </c>
      <c r="R12" s="18">
        <v>1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1</v>
      </c>
      <c r="Z12" s="18">
        <v>1</v>
      </c>
      <c r="AA12" s="18">
        <v>1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1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1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1</v>
      </c>
      <c r="AX12" s="18">
        <v>1</v>
      </c>
      <c r="AY12" s="18">
        <v>1</v>
      </c>
      <c r="AZ12" s="18">
        <v>1</v>
      </c>
      <c r="BA12" s="18">
        <v>1</v>
      </c>
      <c r="BB12" s="18">
        <v>1</v>
      </c>
      <c r="BC12" s="18">
        <v>1</v>
      </c>
      <c r="BD12" s="18">
        <v>1</v>
      </c>
      <c r="BE12" s="18">
        <v>1</v>
      </c>
      <c r="BF12" s="18">
        <v>1</v>
      </c>
      <c r="BG12" s="18">
        <v>1</v>
      </c>
      <c r="BH12" s="18">
        <v>1</v>
      </c>
      <c r="BI12" s="18">
        <v>1</v>
      </c>
      <c r="BJ12" s="18">
        <v>1</v>
      </c>
      <c r="BK12" s="18">
        <v>1</v>
      </c>
      <c r="BL12" s="18">
        <v>1</v>
      </c>
      <c r="BM12" s="18">
        <v>1</v>
      </c>
      <c r="BN12" s="18">
        <v>1</v>
      </c>
      <c r="BO12" s="18">
        <v>1</v>
      </c>
      <c r="BP12" s="18">
        <v>1</v>
      </c>
      <c r="BQ12" s="18">
        <v>1</v>
      </c>
      <c r="BR12" s="18">
        <v>1</v>
      </c>
      <c r="BS12" s="18">
        <v>1</v>
      </c>
      <c r="BT12" s="18">
        <v>1</v>
      </c>
      <c r="BU12" s="18">
        <v>1</v>
      </c>
      <c r="BV12" s="18">
        <v>1</v>
      </c>
      <c r="BW12" s="18">
        <v>1</v>
      </c>
      <c r="BX12" s="18">
        <v>1</v>
      </c>
      <c r="BY12" s="18">
        <v>1</v>
      </c>
      <c r="BZ12" s="18">
        <v>1</v>
      </c>
      <c r="CA12" s="18">
        <v>1</v>
      </c>
      <c r="CB12" s="18">
        <v>1</v>
      </c>
      <c r="CC12" s="18">
        <v>1</v>
      </c>
      <c r="CD12" s="18">
        <v>1</v>
      </c>
      <c r="CE12" s="18">
        <v>1</v>
      </c>
      <c r="CF12" s="18">
        <v>1</v>
      </c>
      <c r="CG12" s="18">
        <v>1</v>
      </c>
      <c r="CH12" s="18">
        <v>1</v>
      </c>
      <c r="CI12" s="18">
        <v>1</v>
      </c>
      <c r="CJ12" s="18">
        <v>1</v>
      </c>
      <c r="CK12" s="18">
        <v>1</v>
      </c>
      <c r="CL12" s="18">
        <v>1</v>
      </c>
      <c r="CM12" s="18">
        <v>1</v>
      </c>
      <c r="CN12" s="18">
        <v>1</v>
      </c>
      <c r="CO12" s="18">
        <v>1</v>
      </c>
      <c r="CP12" s="18">
        <v>1</v>
      </c>
      <c r="CQ12" s="18">
        <v>1</v>
      </c>
      <c r="CR12" s="18">
        <v>1</v>
      </c>
      <c r="CS12" s="18">
        <v>1</v>
      </c>
      <c r="CT12" s="18">
        <v>1</v>
      </c>
      <c r="CU12" s="18">
        <v>1</v>
      </c>
      <c r="CV12" s="18">
        <v>1</v>
      </c>
      <c r="CW12" s="18">
        <v>1</v>
      </c>
      <c r="CX12" s="18">
        <v>1</v>
      </c>
      <c r="CY12" s="18">
        <v>1</v>
      </c>
      <c r="CZ12" s="18">
        <v>1</v>
      </c>
      <c r="DA12" s="18">
        <v>1</v>
      </c>
      <c r="DB12" s="18">
        <v>1</v>
      </c>
      <c r="DC12" s="18">
        <v>1</v>
      </c>
      <c r="DD12" s="18">
        <v>1</v>
      </c>
      <c r="DE12" s="18">
        <v>1</v>
      </c>
      <c r="DF12" s="18">
        <v>1</v>
      </c>
      <c r="DG12" s="18">
        <v>1</v>
      </c>
      <c r="DH12" s="18">
        <v>1</v>
      </c>
      <c r="DI12" s="18">
        <v>1</v>
      </c>
      <c r="DJ12" s="18">
        <v>1</v>
      </c>
      <c r="DK12" s="18">
        <v>1</v>
      </c>
      <c r="DL12" s="18">
        <v>1</v>
      </c>
      <c r="DM12" s="18">
        <v>1</v>
      </c>
      <c r="DN12" s="18">
        <v>1</v>
      </c>
      <c r="DO12" s="18">
        <v>1</v>
      </c>
      <c r="DP12" s="18">
        <v>1</v>
      </c>
      <c r="DQ12" s="18">
        <v>1</v>
      </c>
      <c r="DR12" s="18">
        <v>1</v>
      </c>
      <c r="DS12" s="18">
        <v>1</v>
      </c>
      <c r="DT12" s="18">
        <v>1</v>
      </c>
      <c r="DU12" s="18">
        <v>1</v>
      </c>
      <c r="DV12" s="18">
        <v>1</v>
      </c>
      <c r="DW12" s="18">
        <v>1</v>
      </c>
      <c r="DX12" s="18">
        <v>1</v>
      </c>
      <c r="DY12" s="18">
        <v>1</v>
      </c>
      <c r="DZ12" s="18">
        <v>1</v>
      </c>
      <c r="EA12" s="18">
        <v>1</v>
      </c>
      <c r="EB12" s="18">
        <v>1</v>
      </c>
      <c r="EC12" s="18">
        <v>1</v>
      </c>
      <c r="ED12" s="18">
        <v>1</v>
      </c>
      <c r="EE12" s="18">
        <v>1</v>
      </c>
      <c r="EF12" s="18">
        <v>1</v>
      </c>
      <c r="EG12" s="18">
        <v>1</v>
      </c>
      <c r="EH12" s="18">
        <v>1</v>
      </c>
      <c r="EI12" s="18">
        <v>1</v>
      </c>
      <c r="EJ12" s="18">
        <v>1</v>
      </c>
      <c r="EK12" s="18">
        <v>1</v>
      </c>
      <c r="EL12" s="18">
        <v>1</v>
      </c>
      <c r="EM12" s="18">
        <v>1</v>
      </c>
      <c r="EN12" s="18">
        <v>1</v>
      </c>
      <c r="EO12" s="18">
        <v>1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1</v>
      </c>
      <c r="EV12" s="18">
        <v>1</v>
      </c>
      <c r="EW12" s="18">
        <v>1</v>
      </c>
    </row>
    <row r="13" spans="1:153" ht="14" x14ac:dyDescent="0.2">
      <c r="A13" s="18" t="s">
        <v>363</v>
      </c>
      <c r="B13" s="18"/>
      <c r="C13" s="18" t="s">
        <v>364</v>
      </c>
      <c r="D13" s="18" t="s">
        <v>364</v>
      </c>
      <c r="E13" s="18" t="s">
        <v>364</v>
      </c>
      <c r="F13" s="18" t="s">
        <v>364</v>
      </c>
      <c r="G13" s="18" t="s">
        <v>411</v>
      </c>
      <c r="H13" s="18" t="s">
        <v>411</v>
      </c>
      <c r="I13" s="18" t="s">
        <v>411</v>
      </c>
      <c r="J13" s="18" t="s">
        <v>411</v>
      </c>
      <c r="K13" s="18" t="s">
        <v>411</v>
      </c>
      <c r="L13" s="18" t="s">
        <v>411</v>
      </c>
      <c r="M13" s="18" t="s">
        <v>411</v>
      </c>
      <c r="N13" s="18" t="s">
        <v>411</v>
      </c>
      <c r="O13" s="18" t="s">
        <v>411</v>
      </c>
      <c r="P13" s="18" t="s">
        <v>411</v>
      </c>
      <c r="Q13" s="18" t="s">
        <v>411</v>
      </c>
      <c r="R13" s="18" t="s">
        <v>411</v>
      </c>
      <c r="S13" s="18" t="s">
        <v>411</v>
      </c>
      <c r="T13" s="18" t="s">
        <v>411</v>
      </c>
      <c r="U13" s="18" t="s">
        <v>411</v>
      </c>
      <c r="V13" s="18" t="s">
        <v>411</v>
      </c>
      <c r="W13" s="18" t="s">
        <v>411</v>
      </c>
      <c r="X13" s="18" t="s">
        <v>411</v>
      </c>
      <c r="Y13" s="18" t="s">
        <v>411</v>
      </c>
      <c r="Z13" s="18" t="s">
        <v>411</v>
      </c>
      <c r="AA13" s="18" t="s">
        <v>411</v>
      </c>
      <c r="AB13" s="18" t="s">
        <v>411</v>
      </c>
      <c r="AC13" s="18" t="s">
        <v>411</v>
      </c>
      <c r="AD13" s="18" t="s">
        <v>411</v>
      </c>
      <c r="AE13" s="18" t="s">
        <v>385</v>
      </c>
      <c r="AF13" s="18" t="s">
        <v>385</v>
      </c>
      <c r="AG13" s="18" t="s">
        <v>385</v>
      </c>
      <c r="AH13" s="18" t="s">
        <v>385</v>
      </c>
      <c r="AI13" s="18" t="s">
        <v>385</v>
      </c>
      <c r="AJ13" s="18" t="s">
        <v>385</v>
      </c>
      <c r="AK13" s="18" t="s">
        <v>385</v>
      </c>
      <c r="AL13" s="18" t="s">
        <v>385</v>
      </c>
      <c r="AM13" s="18" t="s">
        <v>385</v>
      </c>
      <c r="AN13" s="18" t="s">
        <v>385</v>
      </c>
      <c r="AO13" s="18" t="s">
        <v>385</v>
      </c>
      <c r="AP13" s="18" t="s">
        <v>385</v>
      </c>
      <c r="AQ13" s="18" t="s">
        <v>385</v>
      </c>
      <c r="AR13" s="18" t="s">
        <v>411</v>
      </c>
      <c r="AS13" s="18" t="s">
        <v>385</v>
      </c>
      <c r="AT13" s="18" t="s">
        <v>385</v>
      </c>
      <c r="AU13" s="18" t="s">
        <v>385</v>
      </c>
      <c r="AV13" s="18" t="s">
        <v>385</v>
      </c>
      <c r="AW13" s="18" t="s">
        <v>385</v>
      </c>
      <c r="AX13" s="18" t="s">
        <v>385</v>
      </c>
      <c r="AY13" s="18" t="s">
        <v>385</v>
      </c>
      <c r="AZ13" s="18" t="s">
        <v>411</v>
      </c>
      <c r="BA13" s="18" t="s">
        <v>385</v>
      </c>
      <c r="BB13" s="18" t="s">
        <v>385</v>
      </c>
      <c r="BC13" s="18" t="s">
        <v>385</v>
      </c>
      <c r="BD13" s="18" t="s">
        <v>364</v>
      </c>
      <c r="BE13" s="18" t="s">
        <v>364</v>
      </c>
      <c r="BF13" s="18" t="s">
        <v>411</v>
      </c>
      <c r="BG13" s="18" t="s">
        <v>411</v>
      </c>
      <c r="BH13" s="18" t="s">
        <v>411</v>
      </c>
      <c r="BI13" s="18" t="s">
        <v>411</v>
      </c>
      <c r="BJ13" s="18" t="s">
        <v>411</v>
      </c>
      <c r="BK13" s="18" t="s">
        <v>411</v>
      </c>
      <c r="BL13" s="18" t="s">
        <v>364</v>
      </c>
      <c r="BM13" s="18" t="s">
        <v>364</v>
      </c>
      <c r="BN13" s="18" t="s">
        <v>364</v>
      </c>
      <c r="BO13" s="18" t="s">
        <v>364</v>
      </c>
      <c r="BP13" s="18" t="s">
        <v>385</v>
      </c>
      <c r="BQ13" s="18" t="s">
        <v>385</v>
      </c>
      <c r="BR13" s="18" t="s">
        <v>385</v>
      </c>
      <c r="BS13" s="18" t="s">
        <v>385</v>
      </c>
      <c r="BT13" s="18" t="s">
        <v>385</v>
      </c>
      <c r="BU13" s="18" t="s">
        <v>385</v>
      </c>
      <c r="BV13" s="18" t="s">
        <v>385</v>
      </c>
      <c r="BW13" s="18" t="s">
        <v>385</v>
      </c>
      <c r="BX13" s="18" t="s">
        <v>421</v>
      </c>
      <c r="BY13" s="18" t="s">
        <v>421</v>
      </c>
      <c r="BZ13" s="18" t="s">
        <v>364</v>
      </c>
      <c r="CA13" s="18" t="s">
        <v>364</v>
      </c>
      <c r="CB13" s="18" t="s">
        <v>364</v>
      </c>
      <c r="CC13" s="18" t="s">
        <v>364</v>
      </c>
      <c r="CD13" s="18" t="s">
        <v>364</v>
      </c>
      <c r="CE13" s="18" t="s">
        <v>364</v>
      </c>
      <c r="CF13" s="18" t="s">
        <v>364</v>
      </c>
      <c r="CG13" s="18" t="s">
        <v>364</v>
      </c>
      <c r="CH13" s="18" t="s">
        <v>385</v>
      </c>
      <c r="CI13" s="18" t="s">
        <v>385</v>
      </c>
      <c r="CJ13" s="18" t="s">
        <v>385</v>
      </c>
      <c r="CK13" s="18" t="s">
        <v>385</v>
      </c>
      <c r="CL13" s="18" t="s">
        <v>385</v>
      </c>
      <c r="CM13" s="18" t="s">
        <v>385</v>
      </c>
      <c r="CN13" s="18" t="s">
        <v>385</v>
      </c>
      <c r="CO13" s="18" t="s">
        <v>385</v>
      </c>
      <c r="CP13" s="18" t="s">
        <v>860</v>
      </c>
      <c r="CQ13" s="18" t="s">
        <v>860</v>
      </c>
      <c r="CR13" s="18" t="s">
        <v>860</v>
      </c>
      <c r="CS13" s="18" t="s">
        <v>860</v>
      </c>
      <c r="CT13" s="18" t="s">
        <v>860</v>
      </c>
      <c r="CU13" s="18" t="s">
        <v>364</v>
      </c>
      <c r="CV13" s="18" t="s">
        <v>364</v>
      </c>
      <c r="CW13" s="18" t="s">
        <v>364</v>
      </c>
      <c r="CX13" s="18" t="s">
        <v>385</v>
      </c>
      <c r="CY13" s="18" t="s">
        <v>385</v>
      </c>
      <c r="CZ13" s="18" t="s">
        <v>385</v>
      </c>
      <c r="DA13" s="18" t="s">
        <v>385</v>
      </c>
      <c r="DB13" s="18" t="s">
        <v>385</v>
      </c>
      <c r="DC13" s="18" t="s">
        <v>385</v>
      </c>
      <c r="DD13" s="18" t="s">
        <v>411</v>
      </c>
      <c r="DE13" s="18" t="s">
        <v>411</v>
      </c>
      <c r="DF13" s="18" t="s">
        <v>411</v>
      </c>
      <c r="DG13" s="18" t="s">
        <v>411</v>
      </c>
      <c r="DH13" s="18" t="s">
        <v>411</v>
      </c>
      <c r="DI13" s="18" t="s">
        <v>411</v>
      </c>
      <c r="DJ13" s="18" t="s">
        <v>385</v>
      </c>
      <c r="DK13" s="18" t="s">
        <v>385</v>
      </c>
      <c r="DL13" s="18" t="s">
        <v>385</v>
      </c>
      <c r="DM13" s="18" t="s">
        <v>385</v>
      </c>
      <c r="DN13" s="18" t="s">
        <v>411</v>
      </c>
      <c r="DO13" s="18" t="s">
        <v>411</v>
      </c>
      <c r="DP13" s="18" t="s">
        <v>411</v>
      </c>
      <c r="DQ13" s="18" t="s">
        <v>411</v>
      </c>
      <c r="DR13" s="18" t="s">
        <v>411</v>
      </c>
      <c r="DS13" s="18" t="s">
        <v>411</v>
      </c>
      <c r="DT13" s="18" t="s">
        <v>411</v>
      </c>
      <c r="DU13" s="18" t="s">
        <v>411</v>
      </c>
      <c r="DV13" s="18" t="s">
        <v>385</v>
      </c>
      <c r="DW13" s="18" t="s">
        <v>385</v>
      </c>
      <c r="DX13" s="18" t="s">
        <v>385</v>
      </c>
      <c r="DY13" s="18" t="s">
        <v>364</v>
      </c>
      <c r="DZ13" s="18" t="s">
        <v>364</v>
      </c>
      <c r="EA13" s="18" t="s">
        <v>364</v>
      </c>
      <c r="EB13" s="18" t="s">
        <v>385</v>
      </c>
      <c r="EC13" s="18" t="s">
        <v>385</v>
      </c>
      <c r="ED13" s="18" t="s">
        <v>385</v>
      </c>
      <c r="EE13" s="18" t="s">
        <v>385</v>
      </c>
      <c r="EF13" s="18" t="s">
        <v>385</v>
      </c>
      <c r="EG13" s="18" t="s">
        <v>385</v>
      </c>
      <c r="EH13" s="18" t="s">
        <v>385</v>
      </c>
      <c r="EI13" s="18" t="s">
        <v>385</v>
      </c>
      <c r="EJ13" s="18" t="s">
        <v>385</v>
      </c>
      <c r="EK13" s="18" t="s">
        <v>385</v>
      </c>
      <c r="EL13" s="18" t="s">
        <v>385</v>
      </c>
      <c r="EM13" s="18" t="s">
        <v>385</v>
      </c>
      <c r="EN13" s="18" t="s">
        <v>385</v>
      </c>
      <c r="EO13" s="18" t="s">
        <v>385</v>
      </c>
      <c r="EP13" s="18" t="s">
        <v>385</v>
      </c>
      <c r="EQ13" s="18" t="s">
        <v>860</v>
      </c>
      <c r="ER13" s="18" t="s">
        <v>385</v>
      </c>
      <c r="ES13" s="18" t="s">
        <v>411</v>
      </c>
      <c r="ET13" s="18" t="s">
        <v>385</v>
      </c>
      <c r="EU13" s="18" t="s">
        <v>385</v>
      </c>
      <c r="EV13" s="18" t="s">
        <v>385</v>
      </c>
      <c r="EW13" s="18" t="s">
        <v>364</v>
      </c>
    </row>
    <row r="14" spans="1:153" ht="14" x14ac:dyDescent="0.2">
      <c r="A14" s="18" t="s">
        <v>284</v>
      </c>
      <c r="B14" s="18"/>
      <c r="C14" s="18" t="s">
        <v>379</v>
      </c>
      <c r="D14" s="18" t="s">
        <v>379</v>
      </c>
      <c r="E14" s="18" t="s">
        <v>379</v>
      </c>
      <c r="F14" s="18" t="s">
        <v>379</v>
      </c>
      <c r="G14" s="18" t="s">
        <v>303</v>
      </c>
      <c r="H14" s="18" t="s">
        <v>303</v>
      </c>
      <c r="I14" s="18" t="s">
        <v>303</v>
      </c>
      <c r="J14" s="18" t="s">
        <v>303</v>
      </c>
      <c r="K14" s="18" t="s">
        <v>303</v>
      </c>
      <c r="L14" s="18" t="s">
        <v>303</v>
      </c>
      <c r="M14" s="18" t="s">
        <v>303</v>
      </c>
      <c r="N14" s="18" t="s">
        <v>303</v>
      </c>
      <c r="O14" s="18" t="s">
        <v>303</v>
      </c>
      <c r="P14" s="18" t="s">
        <v>303</v>
      </c>
      <c r="Q14" s="18" t="s">
        <v>303</v>
      </c>
      <c r="R14" s="18" t="s">
        <v>303</v>
      </c>
      <c r="S14" s="18" t="s">
        <v>303</v>
      </c>
      <c r="T14" s="18" t="s">
        <v>303</v>
      </c>
      <c r="U14" s="18" t="s">
        <v>303</v>
      </c>
      <c r="V14" s="18" t="s">
        <v>303</v>
      </c>
      <c r="W14" s="18" t="s">
        <v>303</v>
      </c>
      <c r="X14" s="18" t="s">
        <v>303</v>
      </c>
      <c r="Y14" s="18" t="s">
        <v>303</v>
      </c>
      <c r="Z14" s="18" t="s">
        <v>303</v>
      </c>
      <c r="AA14" s="18" t="s">
        <v>303</v>
      </c>
      <c r="AB14" s="18" t="s">
        <v>303</v>
      </c>
      <c r="AC14" s="18" t="s">
        <v>303</v>
      </c>
      <c r="AD14" s="18" t="s">
        <v>303</v>
      </c>
      <c r="AE14" s="18" t="s">
        <v>304</v>
      </c>
      <c r="AF14" s="18" t="s">
        <v>304</v>
      </c>
      <c r="AG14" s="18" t="s">
        <v>304</v>
      </c>
      <c r="AH14" s="18" t="s">
        <v>304</v>
      </c>
      <c r="AI14" s="18" t="s">
        <v>304</v>
      </c>
      <c r="AJ14" s="18" t="s">
        <v>304</v>
      </c>
      <c r="AK14" s="18" t="s">
        <v>304</v>
      </c>
      <c r="AL14" s="18" t="s">
        <v>304</v>
      </c>
      <c r="AM14" s="18" t="s">
        <v>304</v>
      </c>
      <c r="AN14" s="18" t="s">
        <v>304</v>
      </c>
      <c r="AO14" s="18" t="s">
        <v>304</v>
      </c>
      <c r="AP14" s="18" t="s">
        <v>304</v>
      </c>
      <c r="AQ14" s="18" t="s">
        <v>305</v>
      </c>
      <c r="AR14" s="18" t="s">
        <v>307</v>
      </c>
      <c r="AS14" s="18" t="s">
        <v>308</v>
      </c>
      <c r="AT14" s="18" t="s">
        <v>308</v>
      </c>
      <c r="AU14" s="18" t="s">
        <v>382</v>
      </c>
      <c r="AV14" s="18" t="s">
        <v>369</v>
      </c>
      <c r="AW14" s="18" t="s">
        <v>369</v>
      </c>
      <c r="AX14" s="18" t="s">
        <v>367</v>
      </c>
      <c r="AY14" s="18" t="s">
        <v>367</v>
      </c>
      <c r="AZ14" s="18" t="s">
        <v>309</v>
      </c>
      <c r="BA14" s="18" t="s">
        <v>367</v>
      </c>
      <c r="BB14" s="18" t="s">
        <v>367</v>
      </c>
      <c r="BC14" s="18" t="s">
        <v>397</v>
      </c>
      <c r="BD14" s="18" t="s">
        <v>400</v>
      </c>
      <c r="BE14" s="18" t="s">
        <v>400</v>
      </c>
      <c r="BF14" s="18" t="s">
        <v>374</v>
      </c>
      <c r="BG14" s="18" t="s">
        <v>374</v>
      </c>
      <c r="BH14" s="18" t="s">
        <v>374</v>
      </c>
      <c r="BI14" s="18" t="s">
        <v>374</v>
      </c>
      <c r="BJ14" s="18" t="s">
        <v>374</v>
      </c>
      <c r="BK14" s="18" t="s">
        <v>374</v>
      </c>
      <c r="BL14" s="18" t="s">
        <v>379</v>
      </c>
      <c r="BM14" s="18" t="s">
        <v>379</v>
      </c>
      <c r="BN14" s="18" t="s">
        <v>379</v>
      </c>
      <c r="BO14" s="18" t="s">
        <v>379</v>
      </c>
      <c r="BP14" s="18" t="s">
        <v>369</v>
      </c>
      <c r="BQ14" s="18" t="s">
        <v>369</v>
      </c>
      <c r="BR14" s="18" t="s">
        <v>416</v>
      </c>
      <c r="BS14" s="18" t="s">
        <v>416</v>
      </c>
      <c r="BT14" s="18" t="s">
        <v>416</v>
      </c>
      <c r="BU14" s="18" t="s">
        <v>416</v>
      </c>
      <c r="BV14" s="18" t="s">
        <v>416</v>
      </c>
      <c r="BW14" s="18" t="s">
        <v>416</v>
      </c>
      <c r="BX14" s="18" t="s">
        <v>487</v>
      </c>
      <c r="BY14" s="18" t="s">
        <v>487</v>
      </c>
      <c r="BZ14" s="18" t="s">
        <v>286</v>
      </c>
      <c r="CA14" s="18" t="s">
        <v>286</v>
      </c>
      <c r="CB14" s="18" t="s">
        <v>286</v>
      </c>
      <c r="CC14" s="18" t="s">
        <v>286</v>
      </c>
      <c r="CD14" s="18" t="s">
        <v>286</v>
      </c>
      <c r="CE14" s="18" t="s">
        <v>286</v>
      </c>
      <c r="CF14" s="18" t="s">
        <v>372</v>
      </c>
      <c r="CG14" s="18" t="s">
        <v>372</v>
      </c>
      <c r="CH14" s="18" t="s">
        <v>367</v>
      </c>
      <c r="CI14" s="18" t="s">
        <v>382</v>
      </c>
      <c r="CJ14" s="18" t="s">
        <v>376</v>
      </c>
      <c r="CK14" s="18" t="s">
        <v>851</v>
      </c>
      <c r="CL14" s="18" t="s">
        <v>851</v>
      </c>
      <c r="CM14" s="18" t="s">
        <v>851</v>
      </c>
      <c r="CN14" s="18" t="s">
        <v>851</v>
      </c>
      <c r="CO14" s="18" t="s">
        <v>851</v>
      </c>
      <c r="CP14" s="18" t="s">
        <v>861</v>
      </c>
      <c r="CQ14" s="18" t="s">
        <v>861</v>
      </c>
      <c r="CR14" s="18" t="s">
        <v>861</v>
      </c>
      <c r="CS14" s="18" t="s">
        <v>861</v>
      </c>
      <c r="CT14" s="18" t="s">
        <v>861</v>
      </c>
      <c r="CU14" s="18" t="s">
        <v>400</v>
      </c>
      <c r="CV14" s="18" t="s">
        <v>400</v>
      </c>
      <c r="CW14" s="18" t="s">
        <v>400</v>
      </c>
      <c r="CX14" s="18" t="s">
        <v>416</v>
      </c>
      <c r="CY14" s="18" t="s">
        <v>416</v>
      </c>
      <c r="CZ14" s="18" t="s">
        <v>416</v>
      </c>
      <c r="DA14" s="18" t="s">
        <v>416</v>
      </c>
      <c r="DB14" s="18" t="s">
        <v>416</v>
      </c>
      <c r="DC14" s="18" t="s">
        <v>416</v>
      </c>
      <c r="DD14" s="18" t="s">
        <v>307</v>
      </c>
      <c r="DE14" s="18" t="s">
        <v>307</v>
      </c>
      <c r="DF14" s="18" t="s">
        <v>307</v>
      </c>
      <c r="DG14" s="18" t="s">
        <v>307</v>
      </c>
      <c r="DH14" s="18" t="s">
        <v>307</v>
      </c>
      <c r="DI14" s="18" t="s">
        <v>307</v>
      </c>
      <c r="DJ14" s="18" t="s">
        <v>305</v>
      </c>
      <c r="DK14" s="18" t="s">
        <v>446</v>
      </c>
      <c r="DL14" s="18" t="s">
        <v>446</v>
      </c>
      <c r="DM14" s="18" t="s">
        <v>376</v>
      </c>
      <c r="DN14" s="18" t="s">
        <v>303</v>
      </c>
      <c r="DO14" s="18" t="s">
        <v>303</v>
      </c>
      <c r="DP14" s="18" t="s">
        <v>303</v>
      </c>
      <c r="DQ14" s="18" t="s">
        <v>303</v>
      </c>
      <c r="DR14" s="18" t="s">
        <v>303</v>
      </c>
      <c r="DS14" s="18" t="s">
        <v>303</v>
      </c>
      <c r="DT14" s="18" t="s">
        <v>303</v>
      </c>
      <c r="DU14" s="18" t="s">
        <v>303</v>
      </c>
      <c r="DV14" s="18" t="s">
        <v>305</v>
      </c>
      <c r="DW14" s="18" t="s">
        <v>305</v>
      </c>
      <c r="DX14" s="18" t="s">
        <v>305</v>
      </c>
      <c r="DY14" s="18" t="s">
        <v>464</v>
      </c>
      <c r="DZ14" s="18" t="s">
        <v>464</v>
      </c>
      <c r="EA14" s="18" t="s">
        <v>464</v>
      </c>
      <c r="EB14" s="18" t="s">
        <v>304</v>
      </c>
      <c r="EC14" s="18" t="s">
        <v>304</v>
      </c>
      <c r="ED14" s="18" t="s">
        <v>304</v>
      </c>
      <c r="EE14" s="18" t="s">
        <v>304</v>
      </c>
      <c r="EF14" s="18" t="s">
        <v>474</v>
      </c>
      <c r="EG14" s="18" t="s">
        <v>369</v>
      </c>
      <c r="EH14" s="18" t="s">
        <v>416</v>
      </c>
      <c r="EI14" s="18" t="s">
        <v>377</v>
      </c>
      <c r="EJ14" s="18" t="s">
        <v>377</v>
      </c>
      <c r="EK14" s="18" t="s">
        <v>377</v>
      </c>
      <c r="EL14" s="18" t="s">
        <v>377</v>
      </c>
      <c r="EM14" s="18" t="s">
        <v>369</v>
      </c>
      <c r="EN14" s="18" t="s">
        <v>875</v>
      </c>
      <c r="EO14" s="18" t="s">
        <v>446</v>
      </c>
      <c r="EP14" s="18" t="s">
        <v>474</v>
      </c>
      <c r="EQ14" s="18" t="s">
        <v>887</v>
      </c>
      <c r="ER14" s="18" t="s">
        <v>369</v>
      </c>
      <c r="ES14" s="18" t="s">
        <v>307</v>
      </c>
      <c r="ET14" s="18" t="s">
        <v>308</v>
      </c>
      <c r="EU14" s="18" t="s">
        <v>367</v>
      </c>
      <c r="EV14" s="18" t="s">
        <v>377</v>
      </c>
      <c r="EW14" s="18" t="s">
        <v>464</v>
      </c>
    </row>
    <row r="15" spans="1:153" ht="180" x14ac:dyDescent="0.2">
      <c r="A15" s="18" t="s">
        <v>0</v>
      </c>
      <c r="B15" s="18"/>
      <c r="C15" s="18" t="s">
        <v>378</v>
      </c>
      <c r="D15" s="18" t="s">
        <v>378</v>
      </c>
      <c r="E15" s="18" t="s">
        <v>378</v>
      </c>
      <c r="F15" s="18" t="s">
        <v>378</v>
      </c>
      <c r="G15" s="18" t="s">
        <v>314</v>
      </c>
      <c r="H15" s="18" t="s">
        <v>314</v>
      </c>
      <c r="I15" s="18" t="s">
        <v>314</v>
      </c>
      <c r="J15" s="18" t="s">
        <v>314</v>
      </c>
      <c r="K15" s="18" t="s">
        <v>314</v>
      </c>
      <c r="L15" s="18" t="s">
        <v>314</v>
      </c>
      <c r="M15" s="18" t="s">
        <v>314</v>
      </c>
      <c r="N15" s="18" t="s">
        <v>314</v>
      </c>
      <c r="O15" s="18" t="s">
        <v>314</v>
      </c>
      <c r="P15" s="18" t="s">
        <v>314</v>
      </c>
      <c r="Q15" s="18" t="s">
        <v>314</v>
      </c>
      <c r="R15" s="18" t="s">
        <v>314</v>
      </c>
      <c r="S15" s="18" t="s">
        <v>314</v>
      </c>
      <c r="T15" s="18" t="s">
        <v>314</v>
      </c>
      <c r="U15" s="18" t="s">
        <v>314</v>
      </c>
      <c r="V15" s="18" t="s">
        <v>314</v>
      </c>
      <c r="W15" s="18" t="s">
        <v>314</v>
      </c>
      <c r="X15" s="18" t="s">
        <v>314</v>
      </c>
      <c r="Y15" s="18" t="s">
        <v>314</v>
      </c>
      <c r="Z15" s="18" t="s">
        <v>314</v>
      </c>
      <c r="AA15" s="18" t="s">
        <v>314</v>
      </c>
      <c r="AB15" s="18" t="s">
        <v>314</v>
      </c>
      <c r="AC15" s="18" t="s">
        <v>314</v>
      </c>
      <c r="AD15" s="18" t="s">
        <v>314</v>
      </c>
      <c r="AE15" s="18" t="s">
        <v>313</v>
      </c>
      <c r="AF15" s="18" t="s">
        <v>313</v>
      </c>
      <c r="AG15" s="18" t="s">
        <v>313</v>
      </c>
      <c r="AH15" s="18" t="s">
        <v>313</v>
      </c>
      <c r="AI15" s="18" t="s">
        <v>313</v>
      </c>
      <c r="AJ15" s="18" t="s">
        <v>313</v>
      </c>
      <c r="AK15" s="18" t="s">
        <v>313</v>
      </c>
      <c r="AL15" s="18" t="s">
        <v>313</v>
      </c>
      <c r="AM15" s="18" t="s">
        <v>313</v>
      </c>
      <c r="AN15" s="18" t="s">
        <v>313</v>
      </c>
      <c r="AO15" s="18" t="s">
        <v>313</v>
      </c>
      <c r="AP15" s="18" t="s">
        <v>313</v>
      </c>
      <c r="AQ15" s="18" t="s">
        <v>306</v>
      </c>
      <c r="AR15" s="18" t="s">
        <v>312</v>
      </c>
      <c r="AS15" s="18" t="s">
        <v>311</v>
      </c>
      <c r="AT15" s="18" t="s">
        <v>311</v>
      </c>
      <c r="AU15" s="18" t="s">
        <v>383</v>
      </c>
      <c r="AV15" s="18" t="s">
        <v>370</v>
      </c>
      <c r="AW15" s="18" t="s">
        <v>370</v>
      </c>
      <c r="AX15" s="18" t="s">
        <v>368</v>
      </c>
      <c r="AY15" s="18" t="s">
        <v>368</v>
      </c>
      <c r="AZ15" s="18" t="s">
        <v>310</v>
      </c>
      <c r="BA15" s="18" t="s">
        <v>368</v>
      </c>
      <c r="BB15" s="18" t="s">
        <v>368</v>
      </c>
      <c r="BC15" s="16" t="s">
        <v>398</v>
      </c>
      <c r="BD15" s="16" t="s">
        <v>401</v>
      </c>
      <c r="BE15" s="16" t="s">
        <v>401</v>
      </c>
      <c r="BF15" s="18" t="s">
        <v>373</v>
      </c>
      <c r="BG15" s="18" t="s">
        <v>373</v>
      </c>
      <c r="BH15" s="18" t="s">
        <v>373</v>
      </c>
      <c r="BI15" s="18" t="s">
        <v>373</v>
      </c>
      <c r="BJ15" s="18" t="s">
        <v>373</v>
      </c>
      <c r="BK15" s="18" t="s">
        <v>373</v>
      </c>
      <c r="BL15" s="18" t="s">
        <v>378</v>
      </c>
      <c r="BM15" s="18" t="s">
        <v>378</v>
      </c>
      <c r="BN15" s="18" t="s">
        <v>378</v>
      </c>
      <c r="BO15" s="18" t="s">
        <v>378</v>
      </c>
      <c r="BP15" s="18" t="s">
        <v>370</v>
      </c>
      <c r="BQ15" s="18" t="s">
        <v>370</v>
      </c>
      <c r="BR15" s="18" t="s">
        <v>466</v>
      </c>
      <c r="BS15" s="18" t="s">
        <v>466</v>
      </c>
      <c r="BT15" s="18" t="s">
        <v>466</v>
      </c>
      <c r="BU15" s="18" t="s">
        <v>466</v>
      </c>
      <c r="BV15" s="18" t="s">
        <v>466</v>
      </c>
      <c r="BW15" s="18" t="s">
        <v>466</v>
      </c>
      <c r="BX15" s="16" t="s">
        <v>422</v>
      </c>
      <c r="BY15" s="16" t="s">
        <v>422</v>
      </c>
      <c r="BZ15" s="16" t="s">
        <v>467</v>
      </c>
      <c r="CA15" s="16" t="s">
        <v>467</v>
      </c>
      <c r="CB15" s="16" t="s">
        <v>467</v>
      </c>
      <c r="CC15" s="16" t="s">
        <v>467</v>
      </c>
      <c r="CD15" s="16" t="s">
        <v>467</v>
      </c>
      <c r="CE15" s="16" t="s">
        <v>467</v>
      </c>
      <c r="CF15" s="18" t="s">
        <v>371</v>
      </c>
      <c r="CG15" s="18" t="s">
        <v>371</v>
      </c>
      <c r="CH15" s="16" t="s">
        <v>471</v>
      </c>
      <c r="CI15" s="16" t="s">
        <v>843</v>
      </c>
      <c r="CJ15" s="16" t="s">
        <v>847</v>
      </c>
      <c r="CK15" s="18" t="s">
        <v>852</v>
      </c>
      <c r="CL15" s="18" t="s">
        <v>852</v>
      </c>
      <c r="CM15" s="18" t="s">
        <v>852</v>
      </c>
      <c r="CN15" s="18" t="s">
        <v>852</v>
      </c>
      <c r="CO15" s="18" t="s">
        <v>852</v>
      </c>
      <c r="CP15" s="16" t="s">
        <v>862</v>
      </c>
      <c r="CQ15" s="16" t="s">
        <v>862</v>
      </c>
      <c r="CR15" s="16" t="s">
        <v>862</v>
      </c>
      <c r="CS15" s="16" t="s">
        <v>862</v>
      </c>
      <c r="CT15" s="16" t="s">
        <v>862</v>
      </c>
      <c r="CU15" s="18" t="s">
        <v>867</v>
      </c>
      <c r="CV15" s="18" t="s">
        <v>867</v>
      </c>
      <c r="CW15" s="18" t="s">
        <v>867</v>
      </c>
      <c r="CX15" s="16" t="s">
        <v>470</v>
      </c>
      <c r="CY15" s="16" t="s">
        <v>470</v>
      </c>
      <c r="CZ15" s="16" t="s">
        <v>470</v>
      </c>
      <c r="DA15" s="16" t="s">
        <v>470</v>
      </c>
      <c r="DB15" s="16" t="s">
        <v>470</v>
      </c>
      <c r="DC15" s="16" t="s">
        <v>470</v>
      </c>
      <c r="DD15" s="16" t="s">
        <v>312</v>
      </c>
      <c r="DE15" s="16" t="s">
        <v>312</v>
      </c>
      <c r="DF15" s="16" t="s">
        <v>312</v>
      </c>
      <c r="DG15" s="16" t="s">
        <v>312</v>
      </c>
      <c r="DH15" s="16" t="s">
        <v>312</v>
      </c>
      <c r="DI15" s="16" t="s">
        <v>312</v>
      </c>
      <c r="DJ15" s="16" t="s">
        <v>468</v>
      </c>
      <c r="DK15" s="18" t="s">
        <v>447</v>
      </c>
      <c r="DL15" s="18" t="s">
        <v>448</v>
      </c>
      <c r="DM15" s="18" t="s">
        <v>375</v>
      </c>
      <c r="DN15" s="18" t="s">
        <v>469</v>
      </c>
      <c r="DO15" s="18" t="s">
        <v>469</v>
      </c>
      <c r="DP15" s="18" t="s">
        <v>469</v>
      </c>
      <c r="DQ15" s="18" t="s">
        <v>469</v>
      </c>
      <c r="DR15" s="18" t="s">
        <v>469</v>
      </c>
      <c r="DS15" s="18" t="s">
        <v>469</v>
      </c>
      <c r="DT15" s="18" t="s">
        <v>469</v>
      </c>
      <c r="DU15" s="18" t="s">
        <v>469</v>
      </c>
      <c r="DV15" s="18" t="s">
        <v>468</v>
      </c>
      <c r="DW15" s="18" t="s">
        <v>468</v>
      </c>
      <c r="DX15" s="18" t="s">
        <v>468</v>
      </c>
      <c r="DY15" s="18" t="s">
        <v>465</v>
      </c>
      <c r="DZ15" s="18" t="s">
        <v>465</v>
      </c>
      <c r="EA15" s="18" t="s">
        <v>465</v>
      </c>
      <c r="EB15" s="18" t="s">
        <v>313</v>
      </c>
      <c r="EC15" s="18" t="s">
        <v>313</v>
      </c>
      <c r="ED15" s="18" t="s">
        <v>313</v>
      </c>
      <c r="EE15" s="18" t="s">
        <v>313</v>
      </c>
      <c r="EF15" s="18" t="s">
        <v>475</v>
      </c>
      <c r="EG15" s="18" t="s">
        <v>477</v>
      </c>
      <c r="EH15" s="18" t="s">
        <v>479</v>
      </c>
      <c r="EI15" s="18" t="s">
        <v>502</v>
      </c>
      <c r="EJ15" s="18" t="s">
        <v>502</v>
      </c>
      <c r="EK15" s="18" t="s">
        <v>502</v>
      </c>
      <c r="EL15" s="18" t="s">
        <v>502</v>
      </c>
      <c r="EM15" s="18" t="s">
        <v>370</v>
      </c>
      <c r="EN15" s="16" t="s">
        <v>876</v>
      </c>
      <c r="EO15" s="18" t="s">
        <v>880</v>
      </c>
      <c r="EP15" s="18" t="s">
        <v>883</v>
      </c>
      <c r="EQ15" s="18" t="s">
        <v>888</v>
      </c>
      <c r="ER15" s="18" t="s">
        <v>892</v>
      </c>
      <c r="ES15" s="18" t="s">
        <v>897</v>
      </c>
      <c r="ET15" s="16" t="s">
        <v>901</v>
      </c>
      <c r="EU15" s="18" t="s">
        <v>368</v>
      </c>
      <c r="EV15" s="22" t="s">
        <v>907</v>
      </c>
      <c r="EW15" s="18" t="s">
        <v>909</v>
      </c>
    </row>
    <row r="16" spans="1:153" ht="14" x14ac:dyDescent="0.2">
      <c r="A16" s="18" t="s">
        <v>361</v>
      </c>
      <c r="B16" s="18" t="s">
        <v>362</v>
      </c>
      <c r="C16" s="18">
        <v>4.3</v>
      </c>
      <c r="D16" s="18">
        <v>4.3</v>
      </c>
      <c r="E16" s="18">
        <v>4.3</v>
      </c>
      <c r="F16" s="18">
        <v>4.3</v>
      </c>
      <c r="G16" s="18">
        <v>3.7</v>
      </c>
      <c r="H16" s="18">
        <v>3.7</v>
      </c>
      <c r="I16" s="18">
        <v>3.7</v>
      </c>
      <c r="J16" s="18">
        <v>3.7</v>
      </c>
      <c r="K16" s="18">
        <v>3.7</v>
      </c>
      <c r="L16" s="18">
        <v>3.7</v>
      </c>
      <c r="M16" s="18">
        <v>3.7</v>
      </c>
      <c r="N16" s="18">
        <v>3.7</v>
      </c>
      <c r="O16" s="18">
        <v>3.7</v>
      </c>
      <c r="P16" s="18">
        <v>3.7</v>
      </c>
      <c r="Q16" s="18">
        <v>3.7</v>
      </c>
      <c r="R16" s="18">
        <v>3.7</v>
      </c>
      <c r="S16" s="18">
        <v>3.7</v>
      </c>
      <c r="T16" s="18">
        <v>3.7</v>
      </c>
      <c r="U16" s="18">
        <v>3.7</v>
      </c>
      <c r="V16" s="18">
        <v>3.7</v>
      </c>
      <c r="W16" s="18">
        <v>3.7</v>
      </c>
      <c r="X16" s="18">
        <v>3.7</v>
      </c>
      <c r="Y16" s="18">
        <v>3.7</v>
      </c>
      <c r="Z16" s="18">
        <v>3.7</v>
      </c>
      <c r="AA16" s="18">
        <v>3.7</v>
      </c>
      <c r="AB16" s="18">
        <v>3.7</v>
      </c>
      <c r="AC16" s="18">
        <v>3.7</v>
      </c>
      <c r="AD16" s="18">
        <v>3.7</v>
      </c>
      <c r="AE16" s="18">
        <v>3.5</v>
      </c>
      <c r="AF16" s="18">
        <v>3.5</v>
      </c>
      <c r="AG16" s="18">
        <v>3.5</v>
      </c>
      <c r="AH16" s="18">
        <v>3.5</v>
      </c>
      <c r="AI16" s="18">
        <v>3.5</v>
      </c>
      <c r="AJ16" s="18">
        <v>3.5</v>
      </c>
      <c r="AK16" s="18">
        <v>3.5</v>
      </c>
      <c r="AL16" s="18">
        <v>3.5</v>
      </c>
      <c r="AM16" s="18">
        <v>3.5</v>
      </c>
      <c r="AN16" s="18">
        <v>3.5</v>
      </c>
      <c r="AO16" s="18">
        <v>3.5</v>
      </c>
      <c r="AP16" s="18">
        <v>3.5</v>
      </c>
      <c r="AQ16" s="18">
        <v>4.5</v>
      </c>
      <c r="AR16" s="18">
        <v>4.8</v>
      </c>
      <c r="AS16" s="18">
        <v>4.9000000000000004</v>
      </c>
      <c r="AT16" s="18">
        <v>4.9000000000000004</v>
      </c>
      <c r="AU16" s="18">
        <v>5.6</v>
      </c>
      <c r="AV16" s="18">
        <v>3.6</v>
      </c>
      <c r="AW16" s="18">
        <v>3.6</v>
      </c>
      <c r="AX16" s="18">
        <v>4.5</v>
      </c>
      <c r="AY16" s="18">
        <v>4.5</v>
      </c>
      <c r="AZ16" s="18">
        <v>4.3</v>
      </c>
      <c r="BA16" s="18">
        <v>4.5</v>
      </c>
      <c r="BB16" s="18">
        <v>4.5</v>
      </c>
      <c r="BC16" s="18">
        <v>3.3</v>
      </c>
      <c r="BD16" s="18">
        <v>4.2</v>
      </c>
      <c r="BE16" s="18">
        <v>4.2</v>
      </c>
      <c r="BF16" s="18">
        <v>4.5</v>
      </c>
      <c r="BG16" s="18">
        <v>4.5</v>
      </c>
      <c r="BH16" s="18">
        <v>4.5</v>
      </c>
      <c r="BI16" s="18">
        <v>4.5</v>
      </c>
      <c r="BJ16" s="18">
        <v>4.5</v>
      </c>
      <c r="BK16" s="18">
        <v>4.5</v>
      </c>
      <c r="BL16" s="18">
        <v>4.5</v>
      </c>
      <c r="BM16" s="18">
        <v>4.5</v>
      </c>
      <c r="BN16" s="18">
        <v>4.5</v>
      </c>
      <c r="BO16" s="18">
        <v>4.5</v>
      </c>
      <c r="BP16" s="18">
        <v>3.6</v>
      </c>
      <c r="BQ16" s="18">
        <v>3.6</v>
      </c>
      <c r="BR16" s="18">
        <v>4.3</v>
      </c>
      <c r="BS16" s="18">
        <v>4.3</v>
      </c>
      <c r="BT16" s="18">
        <v>4.3</v>
      </c>
      <c r="BU16" s="18">
        <v>4.3</v>
      </c>
      <c r="BV16" s="18">
        <v>4.3</v>
      </c>
      <c r="BW16" s="18">
        <v>4.3</v>
      </c>
      <c r="BX16" s="18">
        <v>5.8</v>
      </c>
      <c r="BY16" s="18">
        <v>5.8</v>
      </c>
      <c r="BZ16" s="18">
        <v>3.4</v>
      </c>
      <c r="CA16" s="18">
        <v>3.4</v>
      </c>
      <c r="CB16" s="18">
        <v>3.4</v>
      </c>
      <c r="CC16" s="18">
        <v>3.4</v>
      </c>
      <c r="CD16" s="18">
        <v>3.4</v>
      </c>
      <c r="CE16" s="18">
        <v>3.4</v>
      </c>
      <c r="CF16" s="18">
        <v>4.5999999999999996</v>
      </c>
      <c r="CG16" s="18">
        <v>4.5999999999999996</v>
      </c>
      <c r="CH16" s="18">
        <v>4.5</v>
      </c>
      <c r="CI16" s="18">
        <v>5.9</v>
      </c>
      <c r="CJ16" s="18">
        <v>4.7</v>
      </c>
      <c r="CK16" s="18">
        <v>5.9</v>
      </c>
      <c r="CL16" s="18">
        <v>5.9</v>
      </c>
      <c r="CM16" s="18">
        <v>5.9</v>
      </c>
      <c r="CN16" s="18">
        <v>5.9</v>
      </c>
      <c r="CO16" s="18">
        <v>5.9</v>
      </c>
      <c r="CP16" s="18">
        <v>3.3</v>
      </c>
      <c r="CQ16" s="18">
        <v>3.3</v>
      </c>
      <c r="CR16" s="18">
        <v>3.3</v>
      </c>
      <c r="CS16" s="18">
        <v>3.3</v>
      </c>
      <c r="CT16" s="18">
        <v>3.3</v>
      </c>
      <c r="CU16" s="18">
        <v>4.3</v>
      </c>
      <c r="CV16" s="18">
        <v>4.3</v>
      </c>
      <c r="CW16" s="18">
        <v>4.3</v>
      </c>
      <c r="CX16" s="18">
        <v>4.3</v>
      </c>
      <c r="CY16" s="18">
        <v>4.3</v>
      </c>
      <c r="CZ16" s="18">
        <v>4.3</v>
      </c>
      <c r="DA16" s="18">
        <v>4.3</v>
      </c>
      <c r="DB16" s="18">
        <v>4.3</v>
      </c>
      <c r="DC16" s="18">
        <v>4.3</v>
      </c>
      <c r="DD16" s="18">
        <v>4.8</v>
      </c>
      <c r="DE16" s="18">
        <v>4.8</v>
      </c>
      <c r="DF16" s="18">
        <v>4.8</v>
      </c>
      <c r="DG16" s="18">
        <v>4.8</v>
      </c>
      <c r="DH16" s="18">
        <v>4.8</v>
      </c>
      <c r="DI16" s="18">
        <v>4.8</v>
      </c>
      <c r="DJ16" s="18">
        <v>4.5</v>
      </c>
      <c r="DK16" s="18">
        <v>4.4000000000000004</v>
      </c>
      <c r="DL16" s="18">
        <v>4.4000000000000004</v>
      </c>
      <c r="DM16" s="18">
        <v>4.5999999999999996</v>
      </c>
      <c r="DN16" s="18">
        <v>3.7</v>
      </c>
      <c r="DO16" s="18">
        <v>3.7</v>
      </c>
      <c r="DP16" s="18">
        <v>3.7</v>
      </c>
      <c r="DQ16" s="18">
        <v>3.7</v>
      </c>
      <c r="DR16" s="18">
        <v>3.7</v>
      </c>
      <c r="DS16" s="18">
        <v>3.7</v>
      </c>
      <c r="DT16" s="18">
        <v>3.7</v>
      </c>
      <c r="DU16" s="18">
        <v>3.7</v>
      </c>
      <c r="DV16" s="18">
        <v>3.7</v>
      </c>
      <c r="DW16" s="18">
        <v>3.7</v>
      </c>
      <c r="DX16" s="18">
        <v>3.7</v>
      </c>
      <c r="DY16" s="18">
        <v>4.2</v>
      </c>
      <c r="DZ16" s="18">
        <v>4.2</v>
      </c>
      <c r="EA16" s="18">
        <v>4.2</v>
      </c>
      <c r="EB16" s="18">
        <v>4.5</v>
      </c>
      <c r="EC16" s="18">
        <v>4.5</v>
      </c>
      <c r="ED16" s="18">
        <v>4.5</v>
      </c>
      <c r="EE16" s="18">
        <v>4.5</v>
      </c>
      <c r="EF16" s="18">
        <v>5.0999999999999996</v>
      </c>
      <c r="EG16" s="18">
        <v>3.6</v>
      </c>
      <c r="EH16" s="18">
        <v>4.3</v>
      </c>
      <c r="EI16" s="18">
        <v>5.9</v>
      </c>
      <c r="EJ16" s="18">
        <v>5.9</v>
      </c>
      <c r="EK16" s="18">
        <v>5.9</v>
      </c>
      <c r="EL16" s="18">
        <v>5.9</v>
      </c>
      <c r="EM16" s="18">
        <v>3.6</v>
      </c>
      <c r="EN16" s="18">
        <v>5</v>
      </c>
      <c r="EO16" s="18">
        <v>4.4000000000000004</v>
      </c>
      <c r="EP16" s="18">
        <v>5.0999999999999996</v>
      </c>
      <c r="EQ16" s="18">
        <v>3.5</v>
      </c>
      <c r="ER16" s="18">
        <v>3.6</v>
      </c>
      <c r="ES16" s="18">
        <v>3.5</v>
      </c>
      <c r="ET16" s="18">
        <v>4.7</v>
      </c>
      <c r="EU16" s="18">
        <v>4.5</v>
      </c>
      <c r="EV16" s="18">
        <v>5.9</v>
      </c>
      <c r="EW16" s="18">
        <v>4.2</v>
      </c>
    </row>
    <row r="17" spans="1:153" ht="14" x14ac:dyDescent="0.2">
      <c r="A17" s="18" t="s">
        <v>8</v>
      </c>
      <c r="B17" s="18" t="s">
        <v>345</v>
      </c>
      <c r="C17" s="18">
        <v>1</v>
      </c>
      <c r="D17" s="18">
        <v>1</v>
      </c>
      <c r="E17" s="18">
        <v>1</v>
      </c>
      <c r="F17" s="18">
        <v>1</v>
      </c>
      <c r="G17" s="18">
        <v>0.87</v>
      </c>
      <c r="H17" s="18">
        <v>0.87</v>
      </c>
      <c r="I17" s="18">
        <v>0.87</v>
      </c>
      <c r="J17" s="18">
        <v>0.87</v>
      </c>
      <c r="K17" s="18">
        <v>0.87</v>
      </c>
      <c r="L17" s="18">
        <v>0.87</v>
      </c>
      <c r="M17" s="18">
        <v>0.87</v>
      </c>
      <c r="N17" s="18">
        <v>0.87</v>
      </c>
      <c r="O17" s="18">
        <v>0.87</v>
      </c>
      <c r="P17" s="18">
        <v>0.87</v>
      </c>
      <c r="Q17" s="18">
        <v>0.87</v>
      </c>
      <c r="R17" s="18">
        <v>0.87</v>
      </c>
      <c r="S17" s="18">
        <v>0.87</v>
      </c>
      <c r="T17" s="18">
        <v>0.87</v>
      </c>
      <c r="U17" s="18">
        <v>0.87</v>
      </c>
      <c r="V17" s="18">
        <v>0.87</v>
      </c>
      <c r="W17" s="18">
        <v>0.87</v>
      </c>
      <c r="X17" s="18">
        <v>0.87</v>
      </c>
      <c r="Y17" s="18">
        <v>0.87</v>
      </c>
      <c r="Z17" s="18">
        <v>0.87</v>
      </c>
      <c r="AA17" s="18">
        <v>0.87</v>
      </c>
      <c r="AB17" s="18">
        <v>0.87</v>
      </c>
      <c r="AC17" s="18">
        <v>0.87</v>
      </c>
      <c r="AD17" s="18">
        <v>0.87</v>
      </c>
      <c r="AE17" s="18">
        <v>0.82</v>
      </c>
      <c r="AF17" s="18">
        <v>0.82</v>
      </c>
      <c r="AG17" s="18">
        <v>0.82</v>
      </c>
      <c r="AH17" s="18">
        <v>0.82</v>
      </c>
      <c r="AI17" s="18">
        <v>0.82</v>
      </c>
      <c r="AJ17" s="18">
        <v>0.82</v>
      </c>
      <c r="AK17" s="18">
        <v>0.82</v>
      </c>
      <c r="AL17" s="18">
        <v>0.82</v>
      </c>
      <c r="AM17" s="18">
        <v>0.82</v>
      </c>
      <c r="AN17" s="18">
        <v>0.82</v>
      </c>
      <c r="AO17" s="18">
        <v>0.82</v>
      </c>
      <c r="AP17" s="18">
        <v>0.82</v>
      </c>
      <c r="AQ17" s="18">
        <v>0.9</v>
      </c>
      <c r="AR17" s="18">
        <v>0.91300000000000003</v>
      </c>
      <c r="AS17" s="18">
        <v>0.93</v>
      </c>
      <c r="AT17" s="18">
        <v>0.93</v>
      </c>
      <c r="AU17" s="18">
        <v>0.85</v>
      </c>
      <c r="AV17" s="18">
        <v>0.92</v>
      </c>
      <c r="AW17" s="18">
        <v>0.92</v>
      </c>
      <c r="AX17" s="18">
        <v>0.88</v>
      </c>
      <c r="AY17" s="18">
        <v>0.88</v>
      </c>
      <c r="AZ17" s="18">
        <v>0.96</v>
      </c>
      <c r="BA17" s="18">
        <v>0.88</v>
      </c>
      <c r="BB17" s="18">
        <v>0.88</v>
      </c>
      <c r="BC17" s="18">
        <v>0.98</v>
      </c>
      <c r="BD17" s="18">
        <v>0.86</v>
      </c>
      <c r="BE17" s="18">
        <v>0.86099999999999999</v>
      </c>
      <c r="BF17" s="18">
        <v>0.69</v>
      </c>
      <c r="BG17" s="18">
        <v>0.69</v>
      </c>
      <c r="BH17" s="18">
        <v>0.69</v>
      </c>
      <c r="BI17" s="18">
        <v>0.69</v>
      </c>
      <c r="BJ17" s="18">
        <v>0.69</v>
      </c>
      <c r="BK17" s="18">
        <v>0.69</v>
      </c>
      <c r="BL17" s="18">
        <v>0.83</v>
      </c>
      <c r="BM17" s="18">
        <v>0.83</v>
      </c>
      <c r="BN17" s="18">
        <v>0.83</v>
      </c>
      <c r="BO17" s="18">
        <v>0.83</v>
      </c>
      <c r="BP17" s="18">
        <v>0.89500000000000002</v>
      </c>
      <c r="BQ17" s="18">
        <v>0.97</v>
      </c>
      <c r="BR17" s="18">
        <v>0.98</v>
      </c>
      <c r="BS17" s="18">
        <v>0.98</v>
      </c>
      <c r="BT17" s="18">
        <v>0.98</v>
      </c>
      <c r="BU17" s="18">
        <v>0.98</v>
      </c>
      <c r="BV17" s="18">
        <v>0.98</v>
      </c>
      <c r="BW17" s="18">
        <v>0.98</v>
      </c>
      <c r="BX17" s="18">
        <v>0.68683418448969069</v>
      </c>
      <c r="BY17" s="18">
        <v>0.68683418448969069</v>
      </c>
      <c r="BZ17" s="18">
        <v>1</v>
      </c>
      <c r="CA17" s="18">
        <v>1</v>
      </c>
      <c r="CB17" s="18">
        <v>1</v>
      </c>
      <c r="CC17" s="18">
        <v>1</v>
      </c>
      <c r="CD17" s="18">
        <v>1</v>
      </c>
      <c r="CE17" s="18">
        <v>1</v>
      </c>
      <c r="CF17" s="18">
        <v>0.90200000000000002</v>
      </c>
      <c r="CG17" s="18">
        <v>0.90200000000000002</v>
      </c>
      <c r="CH17" s="18">
        <v>0.88</v>
      </c>
      <c r="CI17" s="18">
        <v>0.85</v>
      </c>
      <c r="CJ17" s="18">
        <v>0.88</v>
      </c>
      <c r="CK17" s="18">
        <v>0.9</v>
      </c>
      <c r="CL17" s="18">
        <v>0.9</v>
      </c>
      <c r="CM17" s="18">
        <v>0.9</v>
      </c>
      <c r="CN17" s="18">
        <v>0.9</v>
      </c>
      <c r="CO17" s="18">
        <v>0.9</v>
      </c>
      <c r="CP17" s="18">
        <v>0.81</v>
      </c>
      <c r="CQ17" s="18">
        <v>0.81</v>
      </c>
      <c r="CR17" s="18">
        <v>0.81</v>
      </c>
      <c r="CS17" s="18">
        <v>0.81</v>
      </c>
      <c r="CT17" s="18">
        <v>0.81</v>
      </c>
      <c r="CU17" s="18">
        <v>0.86</v>
      </c>
      <c r="CV17" s="18">
        <v>0.86</v>
      </c>
      <c r="CW17" s="18">
        <v>0.86</v>
      </c>
      <c r="CX17" s="18">
        <v>0.98</v>
      </c>
      <c r="CY17" s="18">
        <v>0.98</v>
      </c>
      <c r="CZ17" s="18">
        <v>0.98</v>
      </c>
      <c r="DA17" s="18">
        <v>0.98</v>
      </c>
      <c r="DB17" s="18">
        <v>0.98</v>
      </c>
      <c r="DC17" s="18">
        <v>0.98</v>
      </c>
      <c r="DD17" s="18">
        <v>0.61170000000000002</v>
      </c>
      <c r="DE17" s="18">
        <v>0.61170000000000002</v>
      </c>
      <c r="DF17" s="18">
        <v>0.61170000000000002</v>
      </c>
      <c r="DG17" s="18">
        <v>0.61170000000000002</v>
      </c>
      <c r="DH17" s="18">
        <v>0.61170000000000002</v>
      </c>
      <c r="DI17" s="18">
        <v>0.61170000000000002</v>
      </c>
      <c r="DJ17" s="18">
        <v>0.81</v>
      </c>
      <c r="DK17" s="18">
        <v>0.86</v>
      </c>
      <c r="DL17" s="18">
        <v>0.91</v>
      </c>
      <c r="DM17" s="18">
        <v>0.88</v>
      </c>
      <c r="DN17" s="18">
        <v>0.86670000000000003</v>
      </c>
      <c r="DO17" s="18">
        <v>0.86670000000000003</v>
      </c>
      <c r="DP17" s="18">
        <v>0.86670000000000003</v>
      </c>
      <c r="DQ17" s="18">
        <v>0.86670000000000003</v>
      </c>
      <c r="DR17" s="18">
        <v>0.86670000000000003</v>
      </c>
      <c r="DS17" s="18">
        <v>0.86670000000000003</v>
      </c>
      <c r="DT17" s="18">
        <v>0.86670000000000003</v>
      </c>
      <c r="DU17" s="18">
        <v>0.86670000000000003</v>
      </c>
      <c r="DV17" s="18">
        <v>0.92700000000000005</v>
      </c>
      <c r="DW17" s="18">
        <v>0.92700000000000005</v>
      </c>
      <c r="DX17" s="18">
        <v>0.92700000000000005</v>
      </c>
      <c r="DY17" s="18">
        <v>0.95</v>
      </c>
      <c r="DZ17" s="18">
        <v>0.95</v>
      </c>
      <c r="EA17" s="18">
        <v>0.95</v>
      </c>
      <c r="EB17" s="18">
        <v>0.99</v>
      </c>
      <c r="EC17" s="18">
        <v>0.99</v>
      </c>
      <c r="ED17" s="18">
        <v>0.99</v>
      </c>
      <c r="EE17" s="18">
        <v>0.99</v>
      </c>
      <c r="EF17" s="18">
        <v>1</v>
      </c>
      <c r="EG17" s="18">
        <v>1</v>
      </c>
      <c r="EH17" s="18">
        <v>1</v>
      </c>
      <c r="EI17" s="18">
        <v>0.9</v>
      </c>
      <c r="EJ17" s="18">
        <v>0.9</v>
      </c>
      <c r="EK17" s="18">
        <v>0.9</v>
      </c>
      <c r="EL17" s="18">
        <v>0.9</v>
      </c>
      <c r="EM17" s="18">
        <v>0.94469999999999998</v>
      </c>
      <c r="EN17" s="18">
        <v>0.81</v>
      </c>
      <c r="EO17" s="18">
        <v>0.91</v>
      </c>
      <c r="EP17" s="18">
        <v>0.91</v>
      </c>
      <c r="EQ17" s="18">
        <v>0.74</v>
      </c>
      <c r="ER17" s="18">
        <v>0.92169999999999996</v>
      </c>
      <c r="ES17" s="18">
        <v>0.93589999999999995</v>
      </c>
      <c r="ET17" s="18">
        <v>0.77</v>
      </c>
      <c r="EU17" s="18">
        <v>0.82</v>
      </c>
      <c r="EV17" s="18">
        <v>0.9</v>
      </c>
      <c r="EW17" s="18">
        <v>0.95</v>
      </c>
    </row>
    <row r="18" spans="1:153" ht="14" x14ac:dyDescent="0.2">
      <c r="A18" s="18" t="s">
        <v>326</v>
      </c>
      <c r="B18" s="18" t="s">
        <v>345</v>
      </c>
      <c r="C18" s="18">
        <v>0.46600000000000003</v>
      </c>
      <c r="D18" s="18">
        <v>0.46600000000000003</v>
      </c>
      <c r="E18" s="18">
        <v>0.46600000000000003</v>
      </c>
      <c r="F18" s="18">
        <v>0.46600000000000003</v>
      </c>
      <c r="G18" s="18">
        <v>4.5999999999999999E-2</v>
      </c>
      <c r="H18" s="18">
        <v>4.5999999999999999E-2</v>
      </c>
      <c r="I18" s="18">
        <v>4.5999999999999999E-2</v>
      </c>
      <c r="J18" s="18">
        <v>4.5999999999999999E-2</v>
      </c>
      <c r="K18" s="18">
        <v>4.5999999999999999E-2</v>
      </c>
      <c r="L18" s="18">
        <v>4.5999999999999999E-2</v>
      </c>
      <c r="M18" s="18">
        <v>4.5999999999999999E-2</v>
      </c>
      <c r="N18" s="18">
        <v>4.5999999999999999E-2</v>
      </c>
      <c r="O18" s="18">
        <v>4.5999999999999999E-2</v>
      </c>
      <c r="P18" s="18">
        <v>4.5999999999999999E-2</v>
      </c>
      <c r="Q18" s="18">
        <v>4.5999999999999999E-2</v>
      </c>
      <c r="R18" s="18">
        <v>4.5999999999999999E-2</v>
      </c>
      <c r="S18" s="18">
        <v>4.5999999999999999E-2</v>
      </c>
      <c r="T18" s="18">
        <v>4.5999999999999999E-2</v>
      </c>
      <c r="U18" s="18">
        <v>4.5999999999999999E-2</v>
      </c>
      <c r="V18" s="18">
        <v>4.5999999999999999E-2</v>
      </c>
      <c r="W18" s="18">
        <v>4.5999999999999999E-2</v>
      </c>
      <c r="X18" s="18">
        <v>4.5999999999999999E-2</v>
      </c>
      <c r="Y18" s="18">
        <v>4.5999999999999999E-2</v>
      </c>
      <c r="Z18" s="18">
        <v>4.5999999999999999E-2</v>
      </c>
      <c r="AA18" s="18">
        <v>4.5999999999999999E-2</v>
      </c>
      <c r="AB18" s="18">
        <v>4.5999999999999999E-2</v>
      </c>
      <c r="AC18" s="18">
        <v>4.5999999999999999E-2</v>
      </c>
      <c r="AD18" s="18">
        <v>4.5999999999999999E-2</v>
      </c>
      <c r="AE18" s="18">
        <v>0.187</v>
      </c>
      <c r="AF18" s="18">
        <v>0.187</v>
      </c>
      <c r="AG18" s="18">
        <v>0.187</v>
      </c>
      <c r="AH18" s="18">
        <v>0.187</v>
      </c>
      <c r="AI18" s="18">
        <v>0.187</v>
      </c>
      <c r="AJ18" s="18">
        <v>0.187</v>
      </c>
      <c r="AK18" s="18">
        <v>0.187</v>
      </c>
      <c r="AL18" s="18">
        <v>0.187</v>
      </c>
      <c r="AM18" s="18">
        <v>0.187</v>
      </c>
      <c r="AN18" s="18">
        <v>0.187</v>
      </c>
      <c r="AO18" s="18">
        <v>0.187</v>
      </c>
      <c r="AP18" s="18">
        <v>0.187</v>
      </c>
      <c r="AQ18" s="18">
        <v>0.315</v>
      </c>
      <c r="AR18" s="18">
        <v>0.28999999999999998</v>
      </c>
      <c r="AS18" s="18">
        <v>0.48</v>
      </c>
      <c r="AT18" s="18">
        <v>0.48</v>
      </c>
      <c r="AU18" s="18">
        <v>4.0999999999999995E-2</v>
      </c>
      <c r="AV18" s="18">
        <v>0.54200000000000004</v>
      </c>
      <c r="AW18" s="18">
        <v>0.54200000000000004</v>
      </c>
      <c r="AX18" s="18">
        <v>0.49</v>
      </c>
      <c r="AY18" s="18">
        <v>0.49</v>
      </c>
      <c r="AZ18" s="18">
        <v>0.435</v>
      </c>
      <c r="BA18" s="18">
        <v>0.49</v>
      </c>
      <c r="BB18" s="18">
        <v>0.49</v>
      </c>
      <c r="BC18" s="18">
        <v>0.36066666666666669</v>
      </c>
      <c r="BD18" s="18">
        <v>0.44</v>
      </c>
      <c r="BE18" s="18">
        <v>0.44</v>
      </c>
      <c r="BF18" s="18">
        <v>0.63600000000000001</v>
      </c>
      <c r="BG18" s="18">
        <v>0.63600000000000001</v>
      </c>
      <c r="BH18" s="18">
        <v>0.63600000000000001</v>
      </c>
      <c r="BI18" s="18">
        <v>0.63600000000000001</v>
      </c>
      <c r="BJ18" s="18">
        <v>0.63600000000000001</v>
      </c>
      <c r="BK18" s="18">
        <v>0.63600000000000001</v>
      </c>
      <c r="BL18" s="18">
        <v>0.46600000000000003</v>
      </c>
      <c r="BM18" s="18">
        <v>0.46600000000000003</v>
      </c>
      <c r="BN18" s="18">
        <v>0.46600000000000003</v>
      </c>
      <c r="BO18" s="18">
        <v>0.46600000000000003</v>
      </c>
      <c r="BP18" s="18">
        <v>0.54200000000000004</v>
      </c>
      <c r="BQ18" s="18">
        <v>0.54200000000000004</v>
      </c>
      <c r="BR18" s="18">
        <v>0.63400000000000001</v>
      </c>
      <c r="BS18" s="18">
        <v>0.63400000000000001</v>
      </c>
      <c r="BT18" s="18">
        <v>0.63400000000000001</v>
      </c>
      <c r="BU18" s="18">
        <v>0.63400000000000001</v>
      </c>
      <c r="BV18" s="18">
        <v>0.63400000000000001</v>
      </c>
      <c r="BW18" s="18">
        <v>0.63400000000000001</v>
      </c>
      <c r="BX18" s="18">
        <v>3.5000000000000003E-2</v>
      </c>
      <c r="BY18" s="18">
        <v>3.5000000000000003E-2</v>
      </c>
      <c r="BZ18" s="18">
        <v>0.159</v>
      </c>
      <c r="CA18" s="18">
        <v>0.159</v>
      </c>
      <c r="CB18" s="18">
        <v>0.159</v>
      </c>
      <c r="CC18" s="18">
        <v>0.159</v>
      </c>
      <c r="CD18" s="18">
        <v>0.159</v>
      </c>
      <c r="CE18" s="18">
        <v>0.159</v>
      </c>
      <c r="CF18" s="18">
        <v>0.106</v>
      </c>
      <c r="CG18" s="18">
        <v>0.106</v>
      </c>
      <c r="CH18" s="18">
        <f>AVERAGE(0.259,0.434)</f>
        <v>0.34650000000000003</v>
      </c>
      <c r="CI18" s="18">
        <v>4.1000000000000002E-2</v>
      </c>
      <c r="CJ18" s="18">
        <v>0.34725</v>
      </c>
      <c r="CK18" s="18">
        <f>AVERAGE(0.23,0.2275)</f>
        <v>0.22875000000000001</v>
      </c>
      <c r="CL18" s="18">
        <f>AVERAGE(0.23,0.2275)</f>
        <v>0.22875000000000001</v>
      </c>
      <c r="CM18" s="18">
        <f>AVERAGE(0.23,0.2275)</f>
        <v>0.22875000000000001</v>
      </c>
      <c r="CN18" s="18">
        <f>AVERAGE(0.23,0.2275)</f>
        <v>0.22875000000000001</v>
      </c>
      <c r="CO18" s="18">
        <f>AVERAGE(0.23,0.2275)</f>
        <v>0.22875000000000001</v>
      </c>
      <c r="CP18" s="18">
        <v>5.8000000000000003E-2</v>
      </c>
      <c r="CQ18" s="18">
        <v>5.8000000000000003E-2</v>
      </c>
      <c r="CR18" s="18">
        <v>5.8000000000000003E-2</v>
      </c>
      <c r="CS18" s="18">
        <v>5.8000000000000003E-2</v>
      </c>
      <c r="CT18" s="18">
        <v>5.8000000000000003E-2</v>
      </c>
      <c r="CU18" s="18">
        <v>0.48699999999999999</v>
      </c>
      <c r="CV18" s="18">
        <v>0.48699999999999999</v>
      </c>
      <c r="CW18" s="18">
        <v>0.48699999999999999</v>
      </c>
      <c r="CX18" s="18">
        <v>0.48299999999999998</v>
      </c>
      <c r="CY18" s="18">
        <v>0.48299999999999998</v>
      </c>
      <c r="CZ18" s="18">
        <v>0.48299999999999998</v>
      </c>
      <c r="DA18" s="18">
        <v>0.48299999999999998</v>
      </c>
      <c r="DB18" s="18">
        <v>0.48299999999999998</v>
      </c>
      <c r="DC18" s="18">
        <v>0.48299999999999998</v>
      </c>
      <c r="DD18" s="18">
        <v>0.28999999999999998</v>
      </c>
      <c r="DE18" s="18">
        <v>0.28999999999999998</v>
      </c>
      <c r="DF18" s="18">
        <v>0.28999999999999998</v>
      </c>
      <c r="DG18" s="18">
        <v>0.28999999999999998</v>
      </c>
      <c r="DH18" s="18">
        <v>0.28999999999999998</v>
      </c>
      <c r="DI18" s="18">
        <v>0.28999999999999998</v>
      </c>
      <c r="DJ18" s="18">
        <v>0.312</v>
      </c>
      <c r="DK18" s="18">
        <v>1.2E-2</v>
      </c>
      <c r="DL18" s="18">
        <v>1.2E-2</v>
      </c>
      <c r="DM18" s="18">
        <v>0.46100000000000002</v>
      </c>
      <c r="DN18" s="18">
        <v>2.9714285714285714E-2</v>
      </c>
      <c r="DO18" s="18">
        <v>2.9714285714285714E-2</v>
      </c>
      <c r="DP18" s="18">
        <v>2.9714285714285714E-2</v>
      </c>
      <c r="DQ18" s="18">
        <v>2.9714285714285714E-2</v>
      </c>
      <c r="DR18" s="18">
        <v>2.9714285714285714E-2</v>
      </c>
      <c r="DS18" s="18">
        <v>2.9714285714285714E-2</v>
      </c>
      <c r="DT18" s="18">
        <v>2.9714285714285714E-2</v>
      </c>
      <c r="DU18" s="18">
        <v>2.9714285714285714E-2</v>
      </c>
      <c r="DV18" s="18">
        <v>0.313</v>
      </c>
      <c r="DW18" s="18">
        <v>0.313</v>
      </c>
      <c r="DX18" s="18">
        <v>0.313</v>
      </c>
      <c r="DY18" s="18">
        <v>5.1999999999999998E-2</v>
      </c>
      <c r="DZ18" s="18">
        <v>5.1999999999999998E-2</v>
      </c>
      <c r="EA18" s="18">
        <v>5.1999999999999998E-2</v>
      </c>
      <c r="EB18" s="18">
        <v>0.187</v>
      </c>
      <c r="EC18" s="18">
        <v>0.187</v>
      </c>
      <c r="ED18" s="18">
        <v>0.187</v>
      </c>
      <c r="EE18" s="18">
        <v>0.187</v>
      </c>
      <c r="EF18" s="18">
        <v>0.17799999999999999</v>
      </c>
      <c r="EG18" s="18">
        <v>3.6999999999999998E-2</v>
      </c>
      <c r="EH18" s="18">
        <v>0.48299999999999998</v>
      </c>
      <c r="EI18" s="18">
        <v>3.9E-2</v>
      </c>
      <c r="EJ18" s="18">
        <v>3.9E-2</v>
      </c>
      <c r="EK18" s="18">
        <v>3.9E-2</v>
      </c>
      <c r="EL18" s="18">
        <v>3.9E-2</v>
      </c>
      <c r="EM18" s="18">
        <v>0.54200000000000004</v>
      </c>
      <c r="EN18" s="18">
        <v>0.54500000000000004</v>
      </c>
      <c r="EO18" s="18">
        <v>4.9000000000000002E-2</v>
      </c>
      <c r="EP18" s="18">
        <v>0.184</v>
      </c>
      <c r="EQ18" s="18">
        <v>1.8499999999999999E-2</v>
      </c>
      <c r="ER18" s="18">
        <v>0.54200000000000004</v>
      </c>
      <c r="ES18" s="18">
        <v>0.29399999999999998</v>
      </c>
      <c r="ET18" s="18">
        <v>0.27209090909090899</v>
      </c>
      <c r="EU18" s="18">
        <v>0.49</v>
      </c>
      <c r="EV18" s="18">
        <v>0.182</v>
      </c>
      <c r="EW18" s="18">
        <v>5.1999999999999998E-2</v>
      </c>
    </row>
    <row r="19" spans="1:153" ht="14" x14ac:dyDescent="0.2">
      <c r="A19" s="18" t="s">
        <v>327</v>
      </c>
      <c r="B19" s="18" t="s">
        <v>345</v>
      </c>
      <c r="C19" s="18">
        <v>0.52300000000000002</v>
      </c>
      <c r="D19" s="18">
        <v>0.52300000000000002</v>
      </c>
      <c r="E19" s="18">
        <v>0.52300000000000002</v>
      </c>
      <c r="F19" s="18">
        <v>0.52300000000000002</v>
      </c>
      <c r="G19" s="18">
        <v>0.28399999999999997</v>
      </c>
      <c r="H19" s="18">
        <v>0.28399999999999997</v>
      </c>
      <c r="I19" s="18">
        <v>0.28399999999999997</v>
      </c>
      <c r="J19" s="18">
        <v>0.28399999999999997</v>
      </c>
      <c r="K19" s="18">
        <v>0.28399999999999997</v>
      </c>
      <c r="L19" s="18">
        <v>0.28399999999999997</v>
      </c>
      <c r="M19" s="18">
        <v>0.28399999999999997</v>
      </c>
      <c r="N19" s="18">
        <v>0.28399999999999997</v>
      </c>
      <c r="O19" s="18">
        <v>0.28399999999999997</v>
      </c>
      <c r="P19" s="18">
        <v>0.28399999999999997</v>
      </c>
      <c r="Q19" s="18">
        <v>0.28399999999999997</v>
      </c>
      <c r="R19" s="18">
        <v>0.28399999999999997</v>
      </c>
      <c r="S19" s="18">
        <v>0.28399999999999997</v>
      </c>
      <c r="T19" s="18">
        <v>0.28399999999999997</v>
      </c>
      <c r="U19" s="18">
        <v>0.28399999999999997</v>
      </c>
      <c r="V19" s="18">
        <v>0.28399999999999997</v>
      </c>
      <c r="W19" s="18">
        <v>0.28399999999999997</v>
      </c>
      <c r="X19" s="18">
        <v>0.28399999999999997</v>
      </c>
      <c r="Y19" s="18">
        <v>0.28399999999999997</v>
      </c>
      <c r="Z19" s="18">
        <v>0.28399999999999997</v>
      </c>
      <c r="AA19" s="18">
        <v>0.28399999999999997</v>
      </c>
      <c r="AB19" s="18">
        <v>0.28399999999999997</v>
      </c>
      <c r="AC19" s="18">
        <v>0.28399999999999997</v>
      </c>
      <c r="AD19" s="18">
        <v>0.28399999999999997</v>
      </c>
      <c r="AE19" s="18">
        <v>0.29399999999999998</v>
      </c>
      <c r="AF19" s="18">
        <v>0.29399999999999998</v>
      </c>
      <c r="AG19" s="18">
        <v>0.29399999999999998</v>
      </c>
      <c r="AH19" s="18">
        <v>0.29399999999999998</v>
      </c>
      <c r="AI19" s="18">
        <v>0.29399999999999998</v>
      </c>
      <c r="AJ19" s="18">
        <v>0.29399999999999998</v>
      </c>
      <c r="AK19" s="18">
        <v>0.29399999999999998</v>
      </c>
      <c r="AL19" s="18">
        <v>0.29399999999999998</v>
      </c>
      <c r="AM19" s="18">
        <v>0.29399999999999998</v>
      </c>
      <c r="AN19" s="18">
        <v>0.29399999999999998</v>
      </c>
      <c r="AO19" s="18">
        <v>0.29399999999999998</v>
      </c>
      <c r="AP19" s="18">
        <v>0.29399999999999998</v>
      </c>
      <c r="AQ19" s="18">
        <v>0.41600000000000004</v>
      </c>
      <c r="AR19" s="18">
        <v>0.34899999999999998</v>
      </c>
      <c r="AS19" s="18">
        <v>0.51200000000000001</v>
      </c>
      <c r="AT19" s="18">
        <v>0.51200000000000001</v>
      </c>
      <c r="AU19" s="18">
        <v>0.25700000000000001</v>
      </c>
      <c r="AV19" s="18">
        <v>0.63900000000000001</v>
      </c>
      <c r="AW19" s="18">
        <v>0.63900000000000001</v>
      </c>
      <c r="AX19" s="18">
        <v>0.61499999999999999</v>
      </c>
      <c r="AY19" s="18">
        <v>0.61499999999999999</v>
      </c>
      <c r="AZ19" s="18">
        <v>0.54100000000000004</v>
      </c>
      <c r="BA19" s="18">
        <v>0.61499999999999999</v>
      </c>
      <c r="BB19" s="18">
        <v>0.61499999999999999</v>
      </c>
      <c r="BC19" s="18">
        <v>0.4906666666666667</v>
      </c>
      <c r="BD19" s="18">
        <v>0.52800000000000002</v>
      </c>
      <c r="BE19" s="18">
        <v>0.52800000000000002</v>
      </c>
      <c r="BF19" s="18">
        <v>0.63700000000000001</v>
      </c>
      <c r="BG19" s="18">
        <v>0.63700000000000001</v>
      </c>
      <c r="BH19" s="18">
        <v>0.63700000000000001</v>
      </c>
      <c r="BI19" s="18">
        <v>0.63700000000000001</v>
      </c>
      <c r="BJ19" s="18">
        <v>0.63700000000000001</v>
      </c>
      <c r="BK19" s="18">
        <v>0.63700000000000001</v>
      </c>
      <c r="BL19" s="18">
        <v>0.52300000000000002</v>
      </c>
      <c r="BM19" s="18">
        <v>0.52300000000000002</v>
      </c>
      <c r="BN19" s="18">
        <v>0.52300000000000002</v>
      </c>
      <c r="BO19" s="18">
        <v>0.52300000000000002</v>
      </c>
      <c r="BP19" s="18">
        <v>0.63900000000000001</v>
      </c>
      <c r="BQ19" s="18">
        <v>0.63900000000000001</v>
      </c>
      <c r="BR19" s="18">
        <v>0.64700000000000002</v>
      </c>
      <c r="BS19" s="18">
        <v>0.64700000000000002</v>
      </c>
      <c r="BT19" s="18">
        <v>0.64700000000000002</v>
      </c>
      <c r="BU19" s="18">
        <v>0.64700000000000002</v>
      </c>
      <c r="BV19" s="18">
        <v>0.64700000000000002</v>
      </c>
      <c r="BW19" s="18">
        <v>0.64700000000000002</v>
      </c>
      <c r="BX19" s="18">
        <v>0.27300000000000002</v>
      </c>
      <c r="BY19" s="18">
        <v>0.27300000000000002</v>
      </c>
      <c r="BZ19" s="18">
        <v>0.23899999999999999</v>
      </c>
      <c r="CA19" s="18">
        <v>0.23899999999999999</v>
      </c>
      <c r="CB19" s="18">
        <v>0.23899999999999999</v>
      </c>
      <c r="CC19" s="18">
        <v>0.23899999999999999</v>
      </c>
      <c r="CD19" s="18">
        <v>0.23899999999999999</v>
      </c>
      <c r="CE19" s="18">
        <v>0.23899999999999999</v>
      </c>
      <c r="CF19" s="18">
        <v>0.23699999999999999</v>
      </c>
      <c r="CG19" s="18">
        <v>0.23699999999999999</v>
      </c>
      <c r="CH19" s="18">
        <f>AVERAGE(0.443,0.576)</f>
        <v>0.50949999999999995</v>
      </c>
      <c r="CI19" s="18">
        <v>0.25700000000000001</v>
      </c>
      <c r="CJ19" s="18">
        <v>0.53150000000000008</v>
      </c>
      <c r="CK19" s="18">
        <f>AVERAGE(0.2475,0.248)</f>
        <v>0.24775</v>
      </c>
      <c r="CL19" s="18">
        <f>AVERAGE(0.2475,0.248)</f>
        <v>0.24775</v>
      </c>
      <c r="CM19" s="18">
        <f>AVERAGE(0.2475,0.248)</f>
        <v>0.24775</v>
      </c>
      <c r="CN19" s="18">
        <f>AVERAGE(0.2475,0.248)</f>
        <v>0.24775</v>
      </c>
      <c r="CO19" s="18">
        <f>AVERAGE(0.2475,0.248)</f>
        <v>0.24775</v>
      </c>
      <c r="CP19" s="18">
        <v>0.18</v>
      </c>
      <c r="CQ19" s="18">
        <v>0.18</v>
      </c>
      <c r="CR19" s="18">
        <v>0.18</v>
      </c>
      <c r="CS19" s="18">
        <v>0.18</v>
      </c>
      <c r="CT19" s="18">
        <v>0.18</v>
      </c>
      <c r="CU19" s="18">
        <v>0.57199999999999995</v>
      </c>
      <c r="CV19" s="18">
        <v>0.57199999999999995</v>
      </c>
      <c r="CW19" s="18">
        <v>0.57199999999999995</v>
      </c>
      <c r="CX19" s="18">
        <v>0.501</v>
      </c>
      <c r="CY19" s="18">
        <v>0.501</v>
      </c>
      <c r="CZ19" s="18">
        <v>0.501</v>
      </c>
      <c r="DA19" s="18">
        <v>0.501</v>
      </c>
      <c r="DB19" s="18">
        <v>0.501</v>
      </c>
      <c r="DC19" s="18">
        <v>0.501</v>
      </c>
      <c r="DD19" s="18">
        <v>0.34899999999999998</v>
      </c>
      <c r="DE19" s="18">
        <v>0.34899999999999998</v>
      </c>
      <c r="DF19" s="18">
        <v>0.34899999999999998</v>
      </c>
      <c r="DG19" s="18">
        <v>0.34899999999999998</v>
      </c>
      <c r="DH19" s="18">
        <v>0.34899999999999998</v>
      </c>
      <c r="DI19" s="18">
        <v>0.34899999999999998</v>
      </c>
      <c r="DJ19" s="18">
        <v>0.41399999999999998</v>
      </c>
      <c r="DK19" s="18">
        <v>0.23799999999999999</v>
      </c>
      <c r="DL19" s="18">
        <v>0.23799999999999999</v>
      </c>
      <c r="DM19" s="18">
        <v>0.61599999999999999</v>
      </c>
      <c r="DN19" s="18">
        <v>0.27742857142857141</v>
      </c>
      <c r="DO19" s="18">
        <v>0.27742857142857141</v>
      </c>
      <c r="DP19" s="18">
        <v>0.27742857142857141</v>
      </c>
      <c r="DQ19" s="18">
        <v>0.27742857142857141</v>
      </c>
      <c r="DR19" s="18">
        <v>0.27742857142857141</v>
      </c>
      <c r="DS19" s="18">
        <v>0.27742857142857141</v>
      </c>
      <c r="DT19" s="18">
        <v>0.27742857142857141</v>
      </c>
      <c r="DU19" s="18">
        <v>0.27742857142857141</v>
      </c>
      <c r="DV19" s="18">
        <v>0.41399999999999998</v>
      </c>
      <c r="DW19" s="18">
        <v>0.41399999999999998</v>
      </c>
      <c r="DX19" s="18">
        <v>0.41399999999999998</v>
      </c>
      <c r="DY19" s="18">
        <v>5.8000000000000003E-2</v>
      </c>
      <c r="DZ19" s="18">
        <v>5.8000000000000003E-2</v>
      </c>
      <c r="EA19" s="18">
        <v>5.8000000000000003E-2</v>
      </c>
      <c r="EB19" s="18">
        <v>0.29399999999999998</v>
      </c>
      <c r="EC19" s="18">
        <v>0.29399999999999998</v>
      </c>
      <c r="ED19" s="18">
        <v>0.29399999999999998</v>
      </c>
      <c r="EE19" s="18">
        <v>0.29399999999999998</v>
      </c>
      <c r="EF19" s="18">
        <v>0.38</v>
      </c>
      <c r="EG19" s="18">
        <v>0.22700000000000001</v>
      </c>
      <c r="EH19" s="18">
        <v>0.501</v>
      </c>
      <c r="EI19" s="18">
        <v>0.247</v>
      </c>
      <c r="EJ19" s="18">
        <v>0.247</v>
      </c>
      <c r="EK19" s="18">
        <v>0.247</v>
      </c>
      <c r="EL19" s="18">
        <v>0.247</v>
      </c>
      <c r="EM19" s="18">
        <v>0.63900000000000001</v>
      </c>
      <c r="EN19" s="18">
        <v>0.54500000000000004</v>
      </c>
      <c r="EO19" s="18">
        <v>0.29099999999999998</v>
      </c>
      <c r="EP19" s="18">
        <v>0.34</v>
      </c>
      <c r="EQ19" s="18">
        <v>4.7E-2</v>
      </c>
      <c r="ER19" s="18">
        <v>0.63900000000000001</v>
      </c>
      <c r="ES19" s="18">
        <v>0.29399999999999998</v>
      </c>
      <c r="ET19" s="18">
        <v>0.31463636363636399</v>
      </c>
      <c r="EU19" s="18">
        <v>0.61499999999999999</v>
      </c>
      <c r="EV19" s="18">
        <v>0.379</v>
      </c>
      <c r="EW19" s="18">
        <v>5.8000000000000003E-2</v>
      </c>
    </row>
    <row r="20" spans="1:153" ht="14" x14ac:dyDescent="0.2">
      <c r="A20" s="18" t="s">
        <v>9</v>
      </c>
      <c r="B20" s="18" t="s">
        <v>346</v>
      </c>
      <c r="C20" s="18">
        <v>44457</v>
      </c>
      <c r="D20" s="18">
        <v>971</v>
      </c>
      <c r="E20" s="18">
        <v>44457</v>
      </c>
      <c r="F20" s="18">
        <v>971</v>
      </c>
      <c r="G20" s="18">
        <v>4361</v>
      </c>
      <c r="H20" s="18">
        <v>4361</v>
      </c>
      <c r="I20" s="18">
        <v>8524</v>
      </c>
      <c r="J20" s="18">
        <v>8524</v>
      </c>
      <c r="K20" s="18">
        <v>3883</v>
      </c>
      <c r="L20" s="18">
        <v>3883</v>
      </c>
      <c r="M20" s="18">
        <v>5900</v>
      </c>
      <c r="N20" s="18">
        <v>5900</v>
      </c>
      <c r="O20" s="18">
        <v>4067</v>
      </c>
      <c r="P20" s="18">
        <v>4067</v>
      </c>
      <c r="Q20" s="18">
        <v>4400</v>
      </c>
      <c r="R20" s="18">
        <v>4400</v>
      </c>
      <c r="S20" s="18">
        <v>4361</v>
      </c>
      <c r="T20" s="18">
        <v>4361</v>
      </c>
      <c r="U20" s="18">
        <v>8524</v>
      </c>
      <c r="V20" s="18">
        <v>8524</v>
      </c>
      <c r="W20" s="18">
        <v>3883</v>
      </c>
      <c r="X20" s="18">
        <v>3883</v>
      </c>
      <c r="Y20" s="18">
        <v>5900</v>
      </c>
      <c r="Z20" s="18">
        <v>5900</v>
      </c>
      <c r="AA20" s="18">
        <v>4067</v>
      </c>
      <c r="AB20" s="18">
        <v>4067</v>
      </c>
      <c r="AC20" s="18">
        <v>4400</v>
      </c>
      <c r="AD20" s="18">
        <v>4400</v>
      </c>
      <c r="AE20" s="18">
        <v>16275</v>
      </c>
      <c r="AF20" s="18">
        <v>16275</v>
      </c>
      <c r="AG20" s="18">
        <v>32471</v>
      </c>
      <c r="AH20" s="18">
        <v>32471</v>
      </c>
      <c r="AI20" s="18">
        <v>30202</v>
      </c>
      <c r="AJ20" s="18">
        <v>30202</v>
      </c>
      <c r="AK20" s="18">
        <v>30358</v>
      </c>
      <c r="AL20" s="18">
        <v>30358</v>
      </c>
      <c r="AM20" s="18">
        <v>82796</v>
      </c>
      <c r="AN20" s="18">
        <v>82796</v>
      </c>
      <c r="AO20" s="18">
        <v>77382</v>
      </c>
      <c r="AP20" s="18">
        <v>77382</v>
      </c>
      <c r="AQ20" s="18">
        <v>4381</v>
      </c>
      <c r="AR20" s="18">
        <f>11132/0.95</f>
        <v>11717.894736842105</v>
      </c>
      <c r="AS20" s="18">
        <v>257540.34716550901</v>
      </c>
      <c r="AT20" s="18">
        <v>46611.278909743982</v>
      </c>
      <c r="AU20" s="18">
        <v>11918.2555422842</v>
      </c>
      <c r="AV20" s="18">
        <v>39000</v>
      </c>
      <c r="AW20" s="18">
        <v>3000</v>
      </c>
      <c r="AX20" s="23">
        <v>66410872</v>
      </c>
      <c r="AY20" s="23">
        <v>38873509</v>
      </c>
      <c r="AZ20" s="18">
        <v>2948962</v>
      </c>
      <c r="BA20" s="18">
        <v>1</v>
      </c>
      <c r="BB20" s="18">
        <v>1</v>
      </c>
      <c r="BC20" s="18">
        <v>9142</v>
      </c>
      <c r="BD20" s="20">
        <v>14142</v>
      </c>
      <c r="BE20" s="20">
        <v>14721</v>
      </c>
      <c r="BF20" s="18">
        <v>32807451.292483699</v>
      </c>
      <c r="BG20" s="18">
        <v>36648424.62162938</v>
      </c>
      <c r="BH20" s="18">
        <v>39862496.491104618</v>
      </c>
      <c r="BI20" s="18">
        <v>38719006.957553647</v>
      </c>
      <c r="BJ20" s="18">
        <v>36619555.050869092</v>
      </c>
      <c r="BK20" s="18">
        <v>37811304.696313299</v>
      </c>
      <c r="BL20" s="18">
        <v>12600855.999999987</v>
      </c>
      <c r="BM20" s="18">
        <v>33104904.84153007</v>
      </c>
      <c r="BN20" s="18">
        <v>21694870</v>
      </c>
      <c r="BO20" s="18">
        <v>45422060</v>
      </c>
      <c r="BP20" s="20">
        <v>111202124</v>
      </c>
      <c r="BQ20" s="20">
        <v>630</v>
      </c>
      <c r="BR20" s="18">
        <v>2865</v>
      </c>
      <c r="BS20" s="18">
        <v>1120</v>
      </c>
      <c r="BT20" s="18">
        <v>6561</v>
      </c>
      <c r="BU20" s="18">
        <v>2865</v>
      </c>
      <c r="BV20" s="18">
        <v>1120</v>
      </c>
      <c r="BW20" s="18">
        <v>6561</v>
      </c>
      <c r="BX20" s="18">
        <v>1</v>
      </c>
      <c r="BY20" s="18">
        <v>1</v>
      </c>
      <c r="BZ20" s="18">
        <v>400</v>
      </c>
      <c r="CA20" s="18">
        <v>400</v>
      </c>
      <c r="CB20" s="18">
        <v>400</v>
      </c>
      <c r="CC20" s="18">
        <v>400</v>
      </c>
      <c r="CD20" s="18">
        <v>840</v>
      </c>
      <c r="CE20" s="18">
        <v>800</v>
      </c>
      <c r="CF20" s="18">
        <v>16363.432876712322</v>
      </c>
      <c r="CG20" s="18">
        <v>15482.475409836072</v>
      </c>
      <c r="CH20" s="18">
        <f>25600*0.87</f>
        <v>22272</v>
      </c>
      <c r="CI20" s="18">
        <v>4974</v>
      </c>
      <c r="CJ20" s="18">
        <v>4707</v>
      </c>
      <c r="CK20" s="18">
        <v>999</v>
      </c>
      <c r="CL20" s="18">
        <v>1046</v>
      </c>
      <c r="CM20" s="18">
        <v>154</v>
      </c>
      <c r="CN20" s="18">
        <v>3</v>
      </c>
      <c r="CO20" s="18">
        <v>643</v>
      </c>
      <c r="CP20" s="18">
        <v>270</v>
      </c>
      <c r="CQ20" s="18">
        <v>269</v>
      </c>
      <c r="CR20" s="18">
        <v>735</v>
      </c>
      <c r="CS20" s="18">
        <v>1112</v>
      </c>
      <c r="CT20" s="18">
        <v>4193</v>
      </c>
      <c r="CU20" s="18">
        <v>91</v>
      </c>
      <c r="CV20" s="18">
        <v>3893</v>
      </c>
      <c r="CW20" s="18">
        <v>5332</v>
      </c>
      <c r="CX20" s="20">
        <v>339273</v>
      </c>
      <c r="CY20" s="20">
        <v>188870</v>
      </c>
      <c r="CZ20" s="20">
        <v>1421200</v>
      </c>
      <c r="DA20" s="20">
        <v>678170</v>
      </c>
      <c r="DB20" s="20">
        <v>678170</v>
      </c>
      <c r="DC20" s="20">
        <v>680028</v>
      </c>
      <c r="DD20" s="20">
        <v>8943</v>
      </c>
      <c r="DE20" s="20">
        <v>245402</v>
      </c>
      <c r="DF20" s="20">
        <v>452691</v>
      </c>
      <c r="DG20" s="20">
        <v>77076</v>
      </c>
      <c r="DH20" s="20">
        <v>249538</v>
      </c>
      <c r="DI20" s="20">
        <v>538193</v>
      </c>
      <c r="DJ20" s="20">
        <v>1</v>
      </c>
      <c r="DK20" s="20">
        <v>25500</v>
      </c>
      <c r="DL20" s="20">
        <v>1</v>
      </c>
      <c r="DM20" s="20">
        <v>1</v>
      </c>
      <c r="DN20" s="20">
        <v>36683</v>
      </c>
      <c r="DO20" s="20">
        <v>64909</v>
      </c>
      <c r="DP20" s="20">
        <v>2865</v>
      </c>
      <c r="DQ20" s="20">
        <v>240140</v>
      </c>
      <c r="DR20" s="20">
        <v>3782</v>
      </c>
      <c r="DS20" s="20">
        <v>260306</v>
      </c>
      <c r="DT20" s="20">
        <v>285673</v>
      </c>
      <c r="DU20" s="20">
        <v>280320</v>
      </c>
      <c r="DV20" s="20">
        <v>1</v>
      </c>
      <c r="DW20" s="20">
        <v>1</v>
      </c>
      <c r="DX20" s="20">
        <v>1</v>
      </c>
      <c r="DY20" s="20">
        <v>1787</v>
      </c>
      <c r="DZ20" s="20">
        <v>1743</v>
      </c>
      <c r="EA20" s="20">
        <v>1743</v>
      </c>
      <c r="EB20" s="20">
        <v>77161</v>
      </c>
      <c r="EC20" s="20">
        <v>582424</v>
      </c>
      <c r="ED20" s="20">
        <v>53641</v>
      </c>
      <c r="EE20" s="20">
        <v>5623</v>
      </c>
      <c r="EF20" s="18">
        <v>1</v>
      </c>
      <c r="EG20" s="18">
        <v>1</v>
      </c>
      <c r="EH20" s="18">
        <v>1</v>
      </c>
      <c r="EI20" s="18">
        <v>170735.50746268657</v>
      </c>
      <c r="EJ20" s="18">
        <v>586364.36906377203</v>
      </c>
      <c r="EK20" s="18">
        <v>441497.87788331066</v>
      </c>
      <c r="EL20" s="18">
        <v>17246.010854816825</v>
      </c>
      <c r="EM20" s="18">
        <v>1</v>
      </c>
      <c r="EN20" s="18">
        <v>377291</v>
      </c>
      <c r="EO20" s="18">
        <v>1733</v>
      </c>
      <c r="EP20" s="18">
        <v>3013310</v>
      </c>
      <c r="EQ20" s="18">
        <v>11079280</v>
      </c>
      <c r="ER20" s="18">
        <v>225</v>
      </c>
      <c r="ES20" s="18">
        <v>57</v>
      </c>
      <c r="ET20" s="18">
        <v>1229.9000000000001</v>
      </c>
      <c r="EU20" s="18">
        <v>18752</v>
      </c>
      <c r="EV20" s="18">
        <v>548</v>
      </c>
      <c r="EW20" s="18">
        <v>649</v>
      </c>
    </row>
    <row r="21" spans="1:153" ht="14" x14ac:dyDescent="0.2">
      <c r="A21" s="18" t="s">
        <v>10</v>
      </c>
      <c r="B21" s="18" t="s">
        <v>347</v>
      </c>
      <c r="C21" s="18"/>
      <c r="D21" s="18"/>
      <c r="E21" s="18">
        <v>971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>
        <v>1</v>
      </c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</row>
    <row r="22" spans="1:153" ht="14" x14ac:dyDescent="0.2">
      <c r="A22" s="18" t="s">
        <v>11</v>
      </c>
      <c r="B22" s="18" t="s">
        <v>348</v>
      </c>
      <c r="C22" s="18">
        <v>197.1</v>
      </c>
      <c r="D22" s="18">
        <v>197.1</v>
      </c>
      <c r="E22" s="18">
        <v>365</v>
      </c>
      <c r="F22" s="18">
        <v>197.1</v>
      </c>
      <c r="G22" s="18">
        <v>152</v>
      </c>
      <c r="H22" s="18">
        <v>153</v>
      </c>
      <c r="I22" s="18">
        <v>152</v>
      </c>
      <c r="J22" s="18">
        <v>153</v>
      </c>
      <c r="K22" s="18">
        <v>152</v>
      </c>
      <c r="L22" s="18">
        <v>153</v>
      </c>
      <c r="M22" s="18">
        <v>152</v>
      </c>
      <c r="N22" s="18">
        <v>153</v>
      </c>
      <c r="O22" s="18">
        <v>152</v>
      </c>
      <c r="P22" s="18">
        <v>153</v>
      </c>
      <c r="Q22" s="18">
        <v>152</v>
      </c>
      <c r="R22" s="18">
        <v>153</v>
      </c>
      <c r="S22" s="18">
        <v>153</v>
      </c>
      <c r="T22" s="18">
        <v>212</v>
      </c>
      <c r="U22" s="18">
        <v>153</v>
      </c>
      <c r="V22" s="18">
        <v>212</v>
      </c>
      <c r="W22" s="18">
        <v>153</v>
      </c>
      <c r="X22" s="18">
        <v>212</v>
      </c>
      <c r="Y22" s="18">
        <v>153</v>
      </c>
      <c r="Z22" s="18">
        <v>212</v>
      </c>
      <c r="AA22" s="18">
        <v>153</v>
      </c>
      <c r="AB22" s="18">
        <v>212</v>
      </c>
      <c r="AC22" s="18">
        <v>153</v>
      </c>
      <c r="AD22" s="18">
        <v>212</v>
      </c>
      <c r="AE22" s="18">
        <v>121</v>
      </c>
      <c r="AF22" s="18">
        <v>243</v>
      </c>
      <c r="AG22" s="18">
        <v>121</v>
      </c>
      <c r="AH22" s="18">
        <v>243</v>
      </c>
      <c r="AI22" s="18">
        <v>121</v>
      </c>
      <c r="AJ22" s="18">
        <v>243</v>
      </c>
      <c r="AK22" s="18">
        <v>121</v>
      </c>
      <c r="AL22" s="18">
        <v>243</v>
      </c>
      <c r="AM22" s="18">
        <v>121</v>
      </c>
      <c r="AN22" s="18">
        <v>243</v>
      </c>
      <c r="AO22" s="18">
        <v>121</v>
      </c>
      <c r="AP22" s="18">
        <v>243</v>
      </c>
      <c r="AQ22" s="18">
        <v>257.39999999999998</v>
      </c>
      <c r="AR22" s="18">
        <v>365</v>
      </c>
      <c r="AS22" s="18">
        <v>282.69839363730722</v>
      </c>
      <c r="AT22" s="18">
        <v>282.69839363730722</v>
      </c>
      <c r="AU22" s="18">
        <v>347</v>
      </c>
      <c r="AV22" s="18">
        <v>365</v>
      </c>
      <c r="AW22" s="18">
        <v>365</v>
      </c>
      <c r="AX22" s="18">
        <v>1</v>
      </c>
      <c r="AY22" s="18">
        <v>1</v>
      </c>
      <c r="AZ22" s="18">
        <v>1</v>
      </c>
      <c r="BA22" s="20">
        <v>4460533</v>
      </c>
      <c r="BB22" s="20">
        <v>4460533</v>
      </c>
      <c r="BC22" s="18">
        <v>366</v>
      </c>
      <c r="BD22" s="18">
        <v>246</v>
      </c>
      <c r="BE22" s="18">
        <v>365</v>
      </c>
      <c r="BF22" s="18">
        <v>1</v>
      </c>
      <c r="BG22" s="18">
        <v>1</v>
      </c>
      <c r="BH22" s="18">
        <v>1</v>
      </c>
      <c r="BI22" s="18">
        <v>1</v>
      </c>
      <c r="BJ22" s="18">
        <v>1</v>
      </c>
      <c r="BK22" s="18">
        <v>1</v>
      </c>
      <c r="BL22" s="18">
        <v>1</v>
      </c>
      <c r="BM22" s="18">
        <v>1</v>
      </c>
      <c r="BN22" s="18">
        <v>1</v>
      </c>
      <c r="BO22" s="18">
        <v>1</v>
      </c>
      <c r="BP22" s="18">
        <v>1</v>
      </c>
      <c r="BQ22" s="18">
        <v>370606</v>
      </c>
      <c r="BR22" s="18">
        <v>181</v>
      </c>
      <c r="BS22" s="18">
        <v>181</v>
      </c>
      <c r="BT22" s="18">
        <v>181</v>
      </c>
      <c r="BU22" s="18">
        <v>184</v>
      </c>
      <c r="BV22" s="18">
        <v>184</v>
      </c>
      <c r="BW22" s="18">
        <v>184</v>
      </c>
      <c r="BX22" s="18">
        <v>365</v>
      </c>
      <c r="BY22" s="18">
        <v>365</v>
      </c>
      <c r="BZ22" s="18">
        <v>365</v>
      </c>
      <c r="CA22" s="18">
        <v>365</v>
      </c>
      <c r="CB22" s="18">
        <v>365</v>
      </c>
      <c r="CC22" s="18">
        <v>365</v>
      </c>
      <c r="CD22" s="18">
        <v>365</v>
      </c>
      <c r="CE22" s="18">
        <v>365</v>
      </c>
      <c r="CF22" s="18">
        <v>365</v>
      </c>
      <c r="CG22" s="18">
        <v>365</v>
      </c>
      <c r="CH22" s="18">
        <v>448</v>
      </c>
      <c r="CI22" s="18">
        <v>513</v>
      </c>
      <c r="CJ22" s="18">
        <v>365</v>
      </c>
      <c r="CK22" s="18">
        <v>365</v>
      </c>
      <c r="CL22" s="18">
        <v>365</v>
      </c>
      <c r="CM22" s="18">
        <v>365</v>
      </c>
      <c r="CN22" s="18">
        <v>365</v>
      </c>
      <c r="CO22" s="18">
        <v>365</v>
      </c>
      <c r="CP22" s="18">
        <v>365</v>
      </c>
      <c r="CQ22" s="18">
        <v>365</v>
      </c>
      <c r="CR22" s="18">
        <v>365</v>
      </c>
      <c r="CS22" s="18">
        <v>365</v>
      </c>
      <c r="CT22" s="18">
        <v>365</v>
      </c>
      <c r="CU22" s="18">
        <v>365</v>
      </c>
      <c r="CV22" s="18">
        <v>365</v>
      </c>
      <c r="CW22" s="18">
        <v>365</v>
      </c>
      <c r="CX22" s="18">
        <v>1</v>
      </c>
      <c r="CY22" s="18">
        <v>1</v>
      </c>
      <c r="CZ22" s="18">
        <v>1</v>
      </c>
      <c r="DA22" s="18">
        <v>1</v>
      </c>
      <c r="DB22" s="18">
        <v>1</v>
      </c>
      <c r="DC22" s="18">
        <v>1</v>
      </c>
      <c r="DD22" s="18">
        <v>1</v>
      </c>
      <c r="DE22" s="18">
        <v>1</v>
      </c>
      <c r="DF22" s="18">
        <v>1</v>
      </c>
      <c r="DG22" s="18">
        <v>1</v>
      </c>
      <c r="DH22" s="18">
        <v>1</v>
      </c>
      <c r="DI22" s="18">
        <v>1</v>
      </c>
      <c r="DJ22" s="18">
        <v>1</v>
      </c>
      <c r="DK22" s="18">
        <v>365</v>
      </c>
      <c r="DL22" s="18">
        <v>365</v>
      </c>
      <c r="DM22" s="18">
        <v>365</v>
      </c>
      <c r="DN22" s="18">
        <v>1</v>
      </c>
      <c r="DO22" s="18">
        <v>1</v>
      </c>
      <c r="DP22" s="18">
        <v>1</v>
      </c>
      <c r="DQ22" s="18">
        <v>1</v>
      </c>
      <c r="DR22" s="18">
        <v>1</v>
      </c>
      <c r="DS22" s="18">
        <v>1</v>
      </c>
      <c r="DT22" s="18">
        <v>1</v>
      </c>
      <c r="DU22" s="18">
        <v>1</v>
      </c>
      <c r="DV22" s="18">
        <v>365</v>
      </c>
      <c r="DW22" s="18">
        <v>365</v>
      </c>
      <c r="DX22" s="18">
        <v>365</v>
      </c>
      <c r="DY22" s="18">
        <v>365</v>
      </c>
      <c r="DZ22" s="18">
        <v>365</v>
      </c>
      <c r="EA22" s="18">
        <v>365</v>
      </c>
      <c r="EB22" s="18">
        <v>365</v>
      </c>
      <c r="EC22" s="18">
        <v>365</v>
      </c>
      <c r="ED22" s="18">
        <v>365</v>
      </c>
      <c r="EE22" s="18">
        <v>365</v>
      </c>
      <c r="EF22" s="18">
        <v>365</v>
      </c>
      <c r="EG22" s="18">
        <v>365</v>
      </c>
      <c r="EH22" s="18">
        <v>365</v>
      </c>
      <c r="EI22" s="18">
        <v>1</v>
      </c>
      <c r="EJ22" s="18">
        <v>1</v>
      </c>
      <c r="EK22" s="18">
        <v>1</v>
      </c>
      <c r="EL22" s="18">
        <v>1</v>
      </c>
      <c r="EM22" s="18">
        <v>1</v>
      </c>
      <c r="EN22" s="18">
        <v>1</v>
      </c>
      <c r="EO22" s="18">
        <v>202.5</v>
      </c>
      <c r="EP22" s="18">
        <v>1</v>
      </c>
      <c r="EQ22" s="18">
        <v>1</v>
      </c>
      <c r="ER22" s="18">
        <v>318.29000000000002</v>
      </c>
      <c r="ES22" s="18">
        <v>365</v>
      </c>
      <c r="ET22" s="18">
        <v>365</v>
      </c>
      <c r="EU22" s="18">
        <v>163.155</v>
      </c>
      <c r="EV22" s="18">
        <v>365</v>
      </c>
      <c r="EW22" s="18">
        <v>365</v>
      </c>
    </row>
    <row r="23" spans="1:153" ht="14" x14ac:dyDescent="0.2">
      <c r="A23" s="18" t="s">
        <v>365</v>
      </c>
      <c r="B23" s="18" t="s">
        <v>348</v>
      </c>
      <c r="C23" s="18"/>
      <c r="D23" s="18"/>
      <c r="E23" s="18"/>
      <c r="F23" s="18"/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1</v>
      </c>
      <c r="AV23" s="18"/>
      <c r="AW23" s="18"/>
      <c r="AX23" s="18"/>
      <c r="AY23" s="18"/>
      <c r="AZ23" s="18">
        <v>0</v>
      </c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</row>
    <row r="24" spans="1:153" ht="14" x14ac:dyDescent="0.2">
      <c r="A24" s="18" t="s">
        <v>911</v>
      </c>
      <c r="B24" s="18" t="s">
        <v>912</v>
      </c>
      <c r="C24" s="18">
        <f>C22*C20</f>
        <v>8762474.6999999993</v>
      </c>
      <c r="D24" s="18">
        <f t="shared" ref="D24:BO24" si="2">D22*D20</f>
        <v>191384.1</v>
      </c>
      <c r="E24" s="18">
        <f t="shared" si="2"/>
        <v>16226805</v>
      </c>
      <c r="F24" s="18">
        <f t="shared" si="2"/>
        <v>191384.1</v>
      </c>
      <c r="G24" s="18">
        <f t="shared" si="2"/>
        <v>662872</v>
      </c>
      <c r="H24" s="18">
        <f t="shared" si="2"/>
        <v>667233</v>
      </c>
      <c r="I24" s="18">
        <f t="shared" si="2"/>
        <v>1295648</v>
      </c>
      <c r="J24" s="18">
        <f t="shared" si="2"/>
        <v>1304172</v>
      </c>
      <c r="K24" s="18">
        <f t="shared" si="2"/>
        <v>590216</v>
      </c>
      <c r="L24" s="18">
        <f t="shared" si="2"/>
        <v>594099</v>
      </c>
      <c r="M24" s="18">
        <f t="shared" si="2"/>
        <v>896800</v>
      </c>
      <c r="N24" s="18">
        <f t="shared" si="2"/>
        <v>902700</v>
      </c>
      <c r="O24" s="18">
        <f t="shared" si="2"/>
        <v>618184</v>
      </c>
      <c r="P24" s="18">
        <f t="shared" si="2"/>
        <v>622251</v>
      </c>
      <c r="Q24" s="18">
        <f t="shared" si="2"/>
        <v>668800</v>
      </c>
      <c r="R24" s="18">
        <f t="shared" si="2"/>
        <v>673200</v>
      </c>
      <c r="S24" s="18">
        <f t="shared" si="2"/>
        <v>667233</v>
      </c>
      <c r="T24" s="18">
        <f t="shared" si="2"/>
        <v>924532</v>
      </c>
      <c r="U24" s="18">
        <f t="shared" si="2"/>
        <v>1304172</v>
      </c>
      <c r="V24" s="18">
        <f t="shared" si="2"/>
        <v>1807088</v>
      </c>
      <c r="W24" s="18">
        <f t="shared" si="2"/>
        <v>594099</v>
      </c>
      <c r="X24" s="18">
        <f t="shared" si="2"/>
        <v>823196</v>
      </c>
      <c r="Y24" s="18">
        <f t="shared" si="2"/>
        <v>902700</v>
      </c>
      <c r="Z24" s="18">
        <f t="shared" si="2"/>
        <v>1250800</v>
      </c>
      <c r="AA24" s="18">
        <f t="shared" si="2"/>
        <v>622251</v>
      </c>
      <c r="AB24" s="18">
        <f t="shared" si="2"/>
        <v>862204</v>
      </c>
      <c r="AC24" s="18">
        <f t="shared" si="2"/>
        <v>673200</v>
      </c>
      <c r="AD24" s="18">
        <f t="shared" si="2"/>
        <v>932800</v>
      </c>
      <c r="AE24" s="18">
        <f t="shared" si="2"/>
        <v>1969275</v>
      </c>
      <c r="AF24" s="18">
        <f t="shared" si="2"/>
        <v>3954825</v>
      </c>
      <c r="AG24" s="18">
        <f t="shared" si="2"/>
        <v>3928991</v>
      </c>
      <c r="AH24" s="18">
        <f t="shared" si="2"/>
        <v>7890453</v>
      </c>
      <c r="AI24" s="18">
        <f t="shared" si="2"/>
        <v>3654442</v>
      </c>
      <c r="AJ24" s="18">
        <f t="shared" si="2"/>
        <v>7339086</v>
      </c>
      <c r="AK24" s="18">
        <f t="shared" si="2"/>
        <v>3673318</v>
      </c>
      <c r="AL24" s="18">
        <f t="shared" si="2"/>
        <v>7376994</v>
      </c>
      <c r="AM24" s="18">
        <f t="shared" si="2"/>
        <v>10018316</v>
      </c>
      <c r="AN24" s="18">
        <f t="shared" si="2"/>
        <v>20119428</v>
      </c>
      <c r="AO24" s="18">
        <f t="shared" si="2"/>
        <v>9363222</v>
      </c>
      <c r="AP24" s="18">
        <f t="shared" si="2"/>
        <v>18803826</v>
      </c>
      <c r="AQ24" s="18">
        <f t="shared" si="2"/>
        <v>1127669.3999999999</v>
      </c>
      <c r="AR24" s="18">
        <f t="shared" si="2"/>
        <v>4277031.5789473681</v>
      </c>
      <c r="AS24" s="18">
        <f t="shared" si="2"/>
        <v>72806242.440483823</v>
      </c>
      <c r="AT24" s="18">
        <f t="shared" si="2"/>
        <v>13176933.67316512</v>
      </c>
      <c r="AU24" s="18">
        <f t="shared" si="2"/>
        <v>4135634.6731726173</v>
      </c>
      <c r="AV24" s="18">
        <f t="shared" si="2"/>
        <v>14235000</v>
      </c>
      <c r="AW24" s="18">
        <f t="shared" si="2"/>
        <v>1095000</v>
      </c>
      <c r="AX24" s="18">
        <f t="shared" si="2"/>
        <v>66410872</v>
      </c>
      <c r="AY24" s="18">
        <f t="shared" si="2"/>
        <v>38873509</v>
      </c>
      <c r="AZ24" s="18">
        <f t="shared" si="2"/>
        <v>2948962</v>
      </c>
      <c r="BA24" s="18">
        <f t="shared" si="2"/>
        <v>4460533</v>
      </c>
      <c r="BB24" s="18">
        <f t="shared" si="2"/>
        <v>4460533</v>
      </c>
      <c r="BC24" s="18">
        <f t="shared" si="2"/>
        <v>3345972</v>
      </c>
      <c r="BD24" s="18">
        <f t="shared" si="2"/>
        <v>3478932</v>
      </c>
      <c r="BE24" s="18">
        <f t="shared" si="2"/>
        <v>5373165</v>
      </c>
      <c r="BF24" s="18">
        <f t="shared" si="2"/>
        <v>32807451.292483699</v>
      </c>
      <c r="BG24" s="18">
        <f t="shared" si="2"/>
        <v>36648424.62162938</v>
      </c>
      <c r="BH24" s="18">
        <f t="shared" si="2"/>
        <v>39862496.491104618</v>
      </c>
      <c r="BI24" s="18">
        <f t="shared" si="2"/>
        <v>38719006.957553647</v>
      </c>
      <c r="BJ24" s="18">
        <f t="shared" si="2"/>
        <v>36619555.050869092</v>
      </c>
      <c r="BK24" s="18">
        <f t="shared" si="2"/>
        <v>37811304.696313299</v>
      </c>
      <c r="BL24" s="18">
        <f t="shared" si="2"/>
        <v>12600855.999999987</v>
      </c>
      <c r="BM24" s="18">
        <f t="shared" si="2"/>
        <v>33104904.84153007</v>
      </c>
      <c r="BN24" s="18">
        <f t="shared" si="2"/>
        <v>21694870</v>
      </c>
      <c r="BO24" s="18">
        <f t="shared" si="2"/>
        <v>45422060</v>
      </c>
      <c r="BP24" s="18">
        <f t="shared" ref="BP24:EA24" si="3">BP22*BP20</f>
        <v>111202124</v>
      </c>
      <c r="BQ24" s="18">
        <f t="shared" si="3"/>
        <v>233481780</v>
      </c>
      <c r="BR24" s="18">
        <f t="shared" si="3"/>
        <v>518565</v>
      </c>
      <c r="BS24" s="18">
        <f t="shared" si="3"/>
        <v>202720</v>
      </c>
      <c r="BT24" s="18">
        <f t="shared" si="3"/>
        <v>1187541</v>
      </c>
      <c r="BU24" s="18">
        <f t="shared" si="3"/>
        <v>527160</v>
      </c>
      <c r="BV24" s="18">
        <f t="shared" si="3"/>
        <v>206080</v>
      </c>
      <c r="BW24" s="18">
        <f t="shared" si="3"/>
        <v>1207224</v>
      </c>
      <c r="BX24" s="18">
        <f t="shared" si="3"/>
        <v>365</v>
      </c>
      <c r="BY24" s="18">
        <f t="shared" si="3"/>
        <v>365</v>
      </c>
      <c r="BZ24" s="18">
        <f t="shared" si="3"/>
        <v>146000</v>
      </c>
      <c r="CA24" s="18">
        <f t="shared" si="3"/>
        <v>146000</v>
      </c>
      <c r="CB24" s="18">
        <f t="shared" si="3"/>
        <v>146000</v>
      </c>
      <c r="CC24" s="18">
        <f t="shared" si="3"/>
        <v>146000</v>
      </c>
      <c r="CD24" s="18">
        <f t="shared" si="3"/>
        <v>306600</v>
      </c>
      <c r="CE24" s="18">
        <f t="shared" si="3"/>
        <v>292000</v>
      </c>
      <c r="CF24" s="18">
        <f t="shared" si="3"/>
        <v>5972652.9999999981</v>
      </c>
      <c r="CG24" s="18">
        <f t="shared" si="3"/>
        <v>5651103.5245901663</v>
      </c>
      <c r="CH24" s="18">
        <f t="shared" si="3"/>
        <v>9977856</v>
      </c>
      <c r="CI24" s="18">
        <f t="shared" si="3"/>
        <v>2551662</v>
      </c>
      <c r="CJ24" s="18">
        <f t="shared" si="3"/>
        <v>1718055</v>
      </c>
      <c r="CK24" s="18">
        <f t="shared" si="3"/>
        <v>364635</v>
      </c>
      <c r="CL24" s="18">
        <f t="shared" si="3"/>
        <v>381790</v>
      </c>
      <c r="CM24" s="18">
        <f t="shared" si="3"/>
        <v>56210</v>
      </c>
      <c r="CN24" s="18">
        <f t="shared" si="3"/>
        <v>1095</v>
      </c>
      <c r="CO24" s="18">
        <f t="shared" si="3"/>
        <v>234695</v>
      </c>
      <c r="CP24" s="18">
        <f t="shared" si="3"/>
        <v>98550</v>
      </c>
      <c r="CQ24" s="18">
        <f t="shared" si="3"/>
        <v>98185</v>
      </c>
      <c r="CR24" s="18">
        <f t="shared" si="3"/>
        <v>268275</v>
      </c>
      <c r="CS24" s="18">
        <f t="shared" si="3"/>
        <v>405880</v>
      </c>
      <c r="CT24" s="18">
        <f t="shared" si="3"/>
        <v>1530445</v>
      </c>
      <c r="CU24" s="18">
        <f t="shared" si="3"/>
        <v>33215</v>
      </c>
      <c r="CV24" s="18">
        <f t="shared" si="3"/>
        <v>1420945</v>
      </c>
      <c r="CW24" s="18">
        <f t="shared" si="3"/>
        <v>1946180</v>
      </c>
      <c r="CX24" s="18">
        <f t="shared" si="3"/>
        <v>339273</v>
      </c>
      <c r="CY24" s="18">
        <f t="shared" si="3"/>
        <v>188870</v>
      </c>
      <c r="CZ24" s="18">
        <f t="shared" si="3"/>
        <v>1421200</v>
      </c>
      <c r="DA24" s="18">
        <f t="shared" si="3"/>
        <v>678170</v>
      </c>
      <c r="DB24" s="18">
        <f t="shared" si="3"/>
        <v>678170</v>
      </c>
      <c r="DC24" s="18">
        <f t="shared" si="3"/>
        <v>680028</v>
      </c>
      <c r="DD24" s="18">
        <f t="shared" si="3"/>
        <v>8943</v>
      </c>
      <c r="DE24" s="18">
        <f t="shared" si="3"/>
        <v>245402</v>
      </c>
      <c r="DF24" s="18">
        <f t="shared" si="3"/>
        <v>452691</v>
      </c>
      <c r="DG24" s="18">
        <f t="shared" si="3"/>
        <v>77076</v>
      </c>
      <c r="DH24" s="18">
        <f t="shared" si="3"/>
        <v>249538</v>
      </c>
      <c r="DI24" s="18">
        <f t="shared" si="3"/>
        <v>538193</v>
      </c>
      <c r="DJ24" s="18">
        <f t="shared" si="3"/>
        <v>1</v>
      </c>
      <c r="DK24" s="18">
        <f t="shared" si="3"/>
        <v>9307500</v>
      </c>
      <c r="DL24" s="18">
        <f t="shared" si="3"/>
        <v>365</v>
      </c>
      <c r="DM24" s="18">
        <f t="shared" si="3"/>
        <v>365</v>
      </c>
      <c r="DN24" s="18">
        <f t="shared" si="3"/>
        <v>36683</v>
      </c>
      <c r="DO24" s="18">
        <f t="shared" si="3"/>
        <v>64909</v>
      </c>
      <c r="DP24" s="18">
        <f t="shared" si="3"/>
        <v>2865</v>
      </c>
      <c r="DQ24" s="18">
        <f t="shared" si="3"/>
        <v>240140</v>
      </c>
      <c r="DR24" s="18">
        <f t="shared" si="3"/>
        <v>3782</v>
      </c>
      <c r="DS24" s="18">
        <f t="shared" si="3"/>
        <v>260306</v>
      </c>
      <c r="DT24" s="18">
        <f t="shared" si="3"/>
        <v>285673</v>
      </c>
      <c r="DU24" s="18">
        <f t="shared" si="3"/>
        <v>280320</v>
      </c>
      <c r="DV24" s="18">
        <f t="shared" si="3"/>
        <v>365</v>
      </c>
      <c r="DW24" s="18">
        <f t="shared" si="3"/>
        <v>365</v>
      </c>
      <c r="DX24" s="18">
        <f t="shared" si="3"/>
        <v>365</v>
      </c>
      <c r="DY24" s="18">
        <f t="shared" si="3"/>
        <v>652255</v>
      </c>
      <c r="DZ24" s="18">
        <f t="shared" si="3"/>
        <v>636195</v>
      </c>
      <c r="EA24" s="18">
        <f t="shared" si="3"/>
        <v>636195</v>
      </c>
      <c r="EB24" s="18">
        <f t="shared" ref="EB24:EW24" si="4">EB22*EB20</f>
        <v>28163765</v>
      </c>
      <c r="EC24" s="18">
        <f t="shared" si="4"/>
        <v>212584760</v>
      </c>
      <c r="ED24" s="18">
        <f t="shared" si="4"/>
        <v>19578965</v>
      </c>
      <c r="EE24" s="18">
        <f t="shared" si="4"/>
        <v>2052395</v>
      </c>
      <c r="EF24" s="18">
        <f t="shared" si="4"/>
        <v>365</v>
      </c>
      <c r="EG24" s="18">
        <f t="shared" si="4"/>
        <v>365</v>
      </c>
      <c r="EH24" s="18">
        <f t="shared" si="4"/>
        <v>365</v>
      </c>
      <c r="EI24" s="18">
        <f t="shared" si="4"/>
        <v>170735.50746268657</v>
      </c>
      <c r="EJ24" s="18">
        <f t="shared" si="4"/>
        <v>586364.36906377203</v>
      </c>
      <c r="EK24" s="18">
        <f t="shared" si="4"/>
        <v>441497.87788331066</v>
      </c>
      <c r="EL24" s="18">
        <f t="shared" si="4"/>
        <v>17246.010854816825</v>
      </c>
      <c r="EM24" s="18">
        <f t="shared" si="4"/>
        <v>1</v>
      </c>
      <c r="EN24" s="18">
        <f t="shared" si="4"/>
        <v>377291</v>
      </c>
      <c r="EO24" s="18">
        <f t="shared" si="4"/>
        <v>350932.5</v>
      </c>
      <c r="EP24" s="18">
        <f t="shared" si="4"/>
        <v>3013310</v>
      </c>
      <c r="EQ24" s="18">
        <f t="shared" si="4"/>
        <v>11079280</v>
      </c>
      <c r="ER24" s="18">
        <f t="shared" si="4"/>
        <v>71615.25</v>
      </c>
      <c r="ES24" s="18">
        <f t="shared" si="4"/>
        <v>20805</v>
      </c>
      <c r="ET24" s="18">
        <f t="shared" si="4"/>
        <v>448913.50000000006</v>
      </c>
      <c r="EU24" s="18">
        <f t="shared" si="4"/>
        <v>3059482.56</v>
      </c>
      <c r="EV24" s="18">
        <f t="shared" si="4"/>
        <v>200020</v>
      </c>
      <c r="EW24" s="18">
        <f t="shared" si="4"/>
        <v>236885</v>
      </c>
    </row>
    <row r="25" spans="1:153" ht="14" x14ac:dyDescent="0.2">
      <c r="A25" s="18" t="s">
        <v>12</v>
      </c>
      <c r="B25" s="18" t="s">
        <v>345</v>
      </c>
      <c r="C25" s="18">
        <v>1</v>
      </c>
      <c r="D25" s="18">
        <v>1</v>
      </c>
      <c r="E25" s="18">
        <v>1</v>
      </c>
      <c r="F25" s="18">
        <v>1</v>
      </c>
      <c r="G25" s="18">
        <v>1</v>
      </c>
      <c r="H25" s="18">
        <v>1</v>
      </c>
      <c r="I25" s="18">
        <v>1</v>
      </c>
      <c r="J25" s="18">
        <v>1</v>
      </c>
      <c r="K25" s="18">
        <v>1</v>
      </c>
      <c r="L25" s="18">
        <v>1</v>
      </c>
      <c r="M25" s="18">
        <v>1</v>
      </c>
      <c r="N25" s="18">
        <v>1</v>
      </c>
      <c r="O25" s="18">
        <v>1</v>
      </c>
      <c r="P25" s="18">
        <v>1</v>
      </c>
      <c r="Q25" s="18">
        <v>1</v>
      </c>
      <c r="R25" s="18">
        <v>1</v>
      </c>
      <c r="S25" s="18">
        <v>1</v>
      </c>
      <c r="T25" s="18">
        <v>1</v>
      </c>
      <c r="U25" s="18">
        <v>1</v>
      </c>
      <c r="V25" s="18">
        <v>1</v>
      </c>
      <c r="W25" s="18">
        <v>1</v>
      </c>
      <c r="X25" s="18">
        <v>1</v>
      </c>
      <c r="Y25" s="18">
        <v>1</v>
      </c>
      <c r="Z25" s="18">
        <v>1</v>
      </c>
      <c r="AA25" s="18">
        <v>1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1</v>
      </c>
      <c r="AK25" s="18">
        <v>1</v>
      </c>
      <c r="AL25" s="18">
        <v>1</v>
      </c>
      <c r="AM25" s="18">
        <v>1</v>
      </c>
      <c r="AN25" s="18">
        <v>1</v>
      </c>
      <c r="AO25" s="18">
        <v>1</v>
      </c>
      <c r="AP25" s="18">
        <v>1</v>
      </c>
      <c r="AQ25" s="18">
        <v>1</v>
      </c>
      <c r="AR25" s="18">
        <v>1</v>
      </c>
      <c r="AS25" s="18"/>
      <c r="AT25" s="18"/>
      <c r="AU25" s="18">
        <v>0.49149999999999999</v>
      </c>
      <c r="AV25" s="18">
        <v>1</v>
      </c>
      <c r="AW25" s="18">
        <v>1</v>
      </c>
      <c r="AX25" s="18"/>
      <c r="AY25" s="18"/>
      <c r="AZ25" s="18"/>
      <c r="BA25" s="18">
        <v>0.48099999999999998</v>
      </c>
      <c r="BB25" s="18"/>
      <c r="BC25" s="18">
        <v>1</v>
      </c>
      <c r="BD25" s="18">
        <v>1</v>
      </c>
      <c r="BE25" s="18">
        <v>1</v>
      </c>
      <c r="BF25" s="18">
        <v>1</v>
      </c>
      <c r="BG25" s="18">
        <v>1</v>
      </c>
      <c r="BH25" s="18">
        <v>1</v>
      </c>
      <c r="BI25" s="18">
        <v>1</v>
      </c>
      <c r="BJ25" s="18">
        <v>1</v>
      </c>
      <c r="BK25" s="18">
        <v>1</v>
      </c>
      <c r="BL25" s="18">
        <v>1</v>
      </c>
      <c r="BM25" s="18">
        <v>1</v>
      </c>
      <c r="BN25" s="18">
        <v>1</v>
      </c>
      <c r="BO25" s="18">
        <v>1</v>
      </c>
      <c r="BP25" s="18">
        <v>1</v>
      </c>
      <c r="BQ25" s="18"/>
      <c r="BR25" s="18">
        <v>1</v>
      </c>
      <c r="BS25" s="18">
        <v>1</v>
      </c>
      <c r="BT25" s="18">
        <v>1</v>
      </c>
      <c r="BU25" s="18">
        <v>1</v>
      </c>
      <c r="BV25" s="18">
        <v>1</v>
      </c>
      <c r="BW25" s="18">
        <v>1</v>
      </c>
      <c r="BX25" s="18">
        <v>1</v>
      </c>
      <c r="BY25" s="18">
        <v>1</v>
      </c>
      <c r="BZ25" s="18">
        <v>1</v>
      </c>
      <c r="CA25" s="18">
        <v>1</v>
      </c>
      <c r="CB25" s="18">
        <v>1</v>
      </c>
      <c r="CC25" s="18">
        <v>1</v>
      </c>
      <c r="CD25" s="18">
        <v>1</v>
      </c>
      <c r="CE25" s="18">
        <v>1</v>
      </c>
      <c r="CF25" s="18">
        <v>1</v>
      </c>
      <c r="CG25" s="18">
        <v>1</v>
      </c>
      <c r="CH25" s="18">
        <v>1</v>
      </c>
      <c r="CI25" s="18">
        <v>1</v>
      </c>
      <c r="CJ25" s="18">
        <v>1</v>
      </c>
      <c r="CK25" s="18">
        <v>1</v>
      </c>
      <c r="CL25" s="18">
        <v>1</v>
      </c>
      <c r="CM25" s="18">
        <v>1</v>
      </c>
      <c r="CN25" s="18">
        <v>1</v>
      </c>
      <c r="CO25" s="18">
        <v>1</v>
      </c>
      <c r="CP25" s="18">
        <v>1</v>
      </c>
      <c r="CQ25" s="18">
        <v>1</v>
      </c>
      <c r="CR25" s="18">
        <v>1</v>
      </c>
      <c r="CS25" s="18">
        <v>1</v>
      </c>
      <c r="CT25" s="18">
        <v>1</v>
      </c>
      <c r="CU25" s="18">
        <v>1</v>
      </c>
      <c r="CV25" s="18">
        <v>1</v>
      </c>
      <c r="CW25" s="18">
        <v>1</v>
      </c>
      <c r="CX25" s="18">
        <v>1</v>
      </c>
      <c r="CY25" s="18">
        <v>1</v>
      </c>
      <c r="CZ25" s="18">
        <v>1</v>
      </c>
      <c r="DA25" s="18">
        <v>1</v>
      </c>
      <c r="DB25" s="18">
        <v>1</v>
      </c>
      <c r="DC25" s="18">
        <v>1</v>
      </c>
      <c r="DD25" s="18">
        <v>1</v>
      </c>
      <c r="DE25" s="18">
        <v>1</v>
      </c>
      <c r="DF25" s="18">
        <v>1</v>
      </c>
      <c r="DG25" s="18">
        <v>1</v>
      </c>
      <c r="DH25" s="18">
        <v>1</v>
      </c>
      <c r="DI25" s="18">
        <v>1</v>
      </c>
      <c r="DJ25" s="18">
        <v>1</v>
      </c>
      <c r="DK25" s="18">
        <v>1</v>
      </c>
      <c r="DL25" s="18">
        <v>1</v>
      </c>
      <c r="DM25" s="18">
        <v>1</v>
      </c>
      <c r="DN25" s="18">
        <v>1</v>
      </c>
      <c r="DO25" s="18">
        <v>1</v>
      </c>
      <c r="DP25" s="18">
        <v>1</v>
      </c>
      <c r="DQ25" s="18">
        <v>1</v>
      </c>
      <c r="DR25" s="18">
        <v>1</v>
      </c>
      <c r="DS25" s="18">
        <v>1</v>
      </c>
      <c r="DT25" s="18">
        <v>1</v>
      </c>
      <c r="DU25" s="18">
        <v>1</v>
      </c>
      <c r="DV25" s="18">
        <v>1</v>
      </c>
      <c r="DW25" s="18">
        <v>1</v>
      </c>
      <c r="DX25" s="18">
        <v>1</v>
      </c>
      <c r="DY25" s="18">
        <v>1</v>
      </c>
      <c r="DZ25" s="18">
        <v>1</v>
      </c>
      <c r="EA25" s="18">
        <v>1</v>
      </c>
      <c r="EB25" s="18"/>
      <c r="EC25" s="18"/>
      <c r="ED25" s="18"/>
      <c r="EE25" s="18"/>
      <c r="EF25" s="18"/>
      <c r="EG25" s="18"/>
      <c r="EH25" s="18">
        <v>1</v>
      </c>
      <c r="EI25" s="18">
        <v>1</v>
      </c>
      <c r="EJ25" s="18">
        <v>1</v>
      </c>
      <c r="EK25" s="18">
        <v>1</v>
      </c>
      <c r="EL25" s="18">
        <v>1</v>
      </c>
      <c r="EM25" s="18">
        <v>1</v>
      </c>
      <c r="EN25" s="18">
        <v>1</v>
      </c>
      <c r="EO25" s="18"/>
      <c r="EP25" s="18">
        <v>1</v>
      </c>
      <c r="EQ25" s="18">
        <v>1</v>
      </c>
      <c r="ER25" s="18">
        <v>1</v>
      </c>
      <c r="ES25" s="18">
        <v>1</v>
      </c>
      <c r="ET25" s="18">
        <v>1</v>
      </c>
      <c r="EU25" s="18">
        <v>1</v>
      </c>
      <c r="EV25" s="18">
        <v>1</v>
      </c>
      <c r="EW25" s="18">
        <v>1</v>
      </c>
    </row>
    <row r="26" spans="1:153" ht="14" x14ac:dyDescent="0.2">
      <c r="A26" s="18" t="s">
        <v>13</v>
      </c>
      <c r="B26" s="18" t="s">
        <v>345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>
        <v>1</v>
      </c>
      <c r="AT26" s="18">
        <v>1</v>
      </c>
      <c r="AU26" s="18">
        <v>0.50849999999999995</v>
      </c>
      <c r="AV26" s="18">
        <v>1</v>
      </c>
      <c r="AW26" s="18"/>
      <c r="AX26" s="18">
        <v>1</v>
      </c>
      <c r="AY26" s="18">
        <v>1</v>
      </c>
      <c r="AZ26" s="18">
        <v>1</v>
      </c>
      <c r="BA26" s="18"/>
      <c r="BB26" s="18">
        <v>0.51900000000000002</v>
      </c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>
        <v>1</v>
      </c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>
        <v>1</v>
      </c>
      <c r="DW26" s="18">
        <v>1</v>
      </c>
      <c r="DX26" s="18">
        <v>1</v>
      </c>
      <c r="DY26" s="18"/>
      <c r="DZ26" s="18"/>
      <c r="EA26" s="18"/>
      <c r="EB26" s="18">
        <v>1</v>
      </c>
      <c r="EC26" s="18">
        <v>1</v>
      </c>
      <c r="ED26" s="18">
        <v>1</v>
      </c>
      <c r="EE26" s="18">
        <v>1</v>
      </c>
      <c r="EF26" s="18">
        <v>1</v>
      </c>
      <c r="EG26" s="18">
        <v>1</v>
      </c>
      <c r="EH26" s="18">
        <v>1</v>
      </c>
      <c r="EI26" s="18"/>
      <c r="EJ26" s="18">
        <v>1</v>
      </c>
      <c r="EK26" s="18">
        <v>1</v>
      </c>
      <c r="EL26" s="18"/>
      <c r="EM26" s="18">
        <v>1</v>
      </c>
      <c r="EN26" s="18"/>
      <c r="EO26" s="18">
        <v>1</v>
      </c>
      <c r="EP26" s="18"/>
      <c r="EQ26" s="18"/>
      <c r="ER26" s="18"/>
      <c r="ES26" s="18"/>
      <c r="ET26" s="18"/>
      <c r="EU26" s="18"/>
      <c r="EV26" s="18"/>
      <c r="EW26" s="18"/>
    </row>
    <row r="27" spans="1:153" ht="14" x14ac:dyDescent="0.2">
      <c r="A27" s="18" t="s">
        <v>14</v>
      </c>
      <c r="B27" s="18" t="s">
        <v>345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1</v>
      </c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>
        <v>1</v>
      </c>
      <c r="EN27" s="18"/>
      <c r="EO27" s="18"/>
      <c r="EP27" s="18"/>
      <c r="EQ27" s="18"/>
      <c r="ER27" s="18"/>
      <c r="ES27" s="18"/>
      <c r="ET27" s="18"/>
      <c r="EU27" s="18"/>
      <c r="EV27" s="18"/>
      <c r="EW27" s="18"/>
    </row>
    <row r="28" spans="1:153" ht="14" x14ac:dyDescent="0.2">
      <c r="A28" s="18" t="s">
        <v>15</v>
      </c>
      <c r="B28" s="18" t="s">
        <v>345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>
        <v>1</v>
      </c>
      <c r="EG28" s="18">
        <v>1</v>
      </c>
      <c r="EH28" s="18">
        <v>1</v>
      </c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</row>
    <row r="29" spans="1:153" ht="14" x14ac:dyDescent="0.2">
      <c r="A29" s="18" t="s">
        <v>16</v>
      </c>
      <c r="B29" s="18" t="s">
        <v>345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</row>
    <row r="30" spans="1:153" ht="14" x14ac:dyDescent="0.2">
      <c r="A30" s="18" t="s">
        <v>17</v>
      </c>
      <c r="B30" s="18" t="s">
        <v>345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</row>
    <row r="31" spans="1:153" ht="14" x14ac:dyDescent="0.2">
      <c r="A31" s="18" t="s">
        <v>322</v>
      </c>
      <c r="B31" s="18" t="s">
        <v>345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</row>
    <row r="32" spans="1:153" ht="14" x14ac:dyDescent="0.2">
      <c r="A32" s="18" t="s">
        <v>18</v>
      </c>
      <c r="B32" s="18" t="s">
        <v>345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>
        <v>1</v>
      </c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</row>
    <row r="33" spans="1:153" ht="14" x14ac:dyDescent="0.2">
      <c r="A33" s="18" t="s">
        <v>315</v>
      </c>
      <c r="B33" s="18" t="s">
        <v>345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</row>
    <row r="34" spans="1:153" ht="14" x14ac:dyDescent="0.2">
      <c r="A34" s="18" t="s">
        <v>19</v>
      </c>
      <c r="B34" s="18" t="s">
        <v>345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</row>
    <row r="35" spans="1:153" ht="14" x14ac:dyDescent="0.2">
      <c r="A35" s="18" t="s">
        <v>20</v>
      </c>
      <c r="B35" s="18" t="s">
        <v>345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</row>
    <row r="36" spans="1:153" ht="14" x14ac:dyDescent="0.2">
      <c r="A36" s="18" t="s">
        <v>21</v>
      </c>
      <c r="B36" s="18" t="s">
        <v>345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</row>
    <row r="37" spans="1:153" ht="14" x14ac:dyDescent="0.2">
      <c r="A37" s="18" t="s">
        <v>22</v>
      </c>
      <c r="B37" s="18" t="s">
        <v>345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</row>
    <row r="38" spans="1:153" ht="14" x14ac:dyDescent="0.2">
      <c r="A38" s="18" t="s">
        <v>324</v>
      </c>
      <c r="B38" s="18" t="s">
        <v>345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</row>
    <row r="39" spans="1:153" ht="14" x14ac:dyDescent="0.2">
      <c r="A39" s="18" t="s">
        <v>23</v>
      </c>
      <c r="B39" s="18" t="s">
        <v>349</v>
      </c>
      <c r="C39" s="24">
        <f>1.06/365*1000</f>
        <v>2.904109589041096</v>
      </c>
      <c r="D39" s="24">
        <f>27.47/365*1000</f>
        <v>75.260273972602732</v>
      </c>
      <c r="E39" s="24">
        <f>1.06/365*1000</f>
        <v>2.904109589041096</v>
      </c>
      <c r="F39" s="24">
        <f>27.47/365*1000</f>
        <v>75.260273972602732</v>
      </c>
      <c r="G39" s="18">
        <v>14.63013698630137</v>
      </c>
      <c r="H39" s="18">
        <v>14.63013698630137</v>
      </c>
      <c r="I39" s="18">
        <v>14.63013698630137</v>
      </c>
      <c r="J39" s="18">
        <v>14.63013698630137</v>
      </c>
      <c r="K39" s="18">
        <v>14.63013698630137</v>
      </c>
      <c r="L39" s="18">
        <v>14.63013698630137</v>
      </c>
      <c r="M39" s="18">
        <v>14.63013698630137</v>
      </c>
      <c r="N39" s="18">
        <v>14.63013698630137</v>
      </c>
      <c r="O39" s="18">
        <v>14.63013698630137</v>
      </c>
      <c r="P39" s="18">
        <v>14.63013698630137</v>
      </c>
      <c r="Q39" s="18">
        <v>14.63013698630137</v>
      </c>
      <c r="R39" s="18">
        <v>14.63013698630137</v>
      </c>
      <c r="S39" s="18">
        <v>14.63013698630137</v>
      </c>
      <c r="T39" s="18">
        <v>14.63013698630137</v>
      </c>
      <c r="U39" s="18">
        <v>14.63013698630137</v>
      </c>
      <c r="V39" s="18">
        <v>14.63013698630137</v>
      </c>
      <c r="W39" s="18">
        <v>14.63013698630137</v>
      </c>
      <c r="X39" s="18">
        <v>14.63013698630137</v>
      </c>
      <c r="Y39" s="18">
        <v>14.63013698630137</v>
      </c>
      <c r="Z39" s="18">
        <v>14.63013698630137</v>
      </c>
      <c r="AA39" s="18">
        <v>14.63013698630137</v>
      </c>
      <c r="AB39" s="18">
        <v>14.63013698630137</v>
      </c>
      <c r="AC39" s="18">
        <v>14.63013698630137</v>
      </c>
      <c r="AD39" s="18">
        <v>14.63013698630137</v>
      </c>
      <c r="AE39" s="18">
        <f>5.58*1000/365</f>
        <v>15.287671232876713</v>
      </c>
      <c r="AF39" s="18">
        <f t="shared" ref="AF39:AP39" si="5">5.58*1000/365</f>
        <v>15.287671232876713</v>
      </c>
      <c r="AG39" s="18">
        <f t="shared" si="5"/>
        <v>15.287671232876713</v>
      </c>
      <c r="AH39" s="18">
        <f t="shared" si="5"/>
        <v>15.287671232876713</v>
      </c>
      <c r="AI39" s="18">
        <f t="shared" si="5"/>
        <v>15.287671232876713</v>
      </c>
      <c r="AJ39" s="18">
        <f t="shared" si="5"/>
        <v>15.287671232876713</v>
      </c>
      <c r="AK39" s="18">
        <f t="shared" si="5"/>
        <v>15.287671232876713</v>
      </c>
      <c r="AL39" s="18">
        <f t="shared" si="5"/>
        <v>15.287671232876713</v>
      </c>
      <c r="AM39" s="18">
        <f t="shared" si="5"/>
        <v>15.287671232876713</v>
      </c>
      <c r="AN39" s="18">
        <f t="shared" si="5"/>
        <v>15.287671232876713</v>
      </c>
      <c r="AO39" s="18">
        <f t="shared" si="5"/>
        <v>15.287671232876713</v>
      </c>
      <c r="AP39" s="18">
        <f t="shared" si="5"/>
        <v>15.287671232876713</v>
      </c>
      <c r="AQ39" s="18">
        <f>3.2558*1000/365</f>
        <v>8.92</v>
      </c>
      <c r="AR39" s="18">
        <f>6.2417*1000/365</f>
        <v>17.100547945205481</v>
      </c>
      <c r="AS39" s="18"/>
      <c r="AT39" s="18"/>
      <c r="AU39" s="25">
        <f>0.36195218*AU58/AU55</f>
        <v>1.4920166198473284</v>
      </c>
      <c r="AV39" s="18">
        <f>4.004/365*1000</f>
        <v>10.969863013698628</v>
      </c>
      <c r="AW39" s="18">
        <f>8.27/365*1000</f>
        <v>22.657534246575342</v>
      </c>
      <c r="AX39" s="18"/>
      <c r="AY39" s="18"/>
      <c r="AZ39" s="18"/>
      <c r="BA39" s="18">
        <v>12.24</v>
      </c>
      <c r="BB39" s="18"/>
      <c r="BC39" s="18">
        <f>3.7*1000/365</f>
        <v>10.136986301369863</v>
      </c>
      <c r="BD39" s="18">
        <f>4.23/365*1000</f>
        <v>11.589041095890412</v>
      </c>
      <c r="BE39" s="18">
        <f>4.4/365*1000</f>
        <v>12.054794520547945</v>
      </c>
      <c r="BF39" s="18">
        <v>13.129999999999999</v>
      </c>
      <c r="BG39" s="18">
        <v>13.129999999999999</v>
      </c>
      <c r="BH39" s="18">
        <v>13.129999999999999</v>
      </c>
      <c r="BI39" s="18">
        <v>13.129999999999999</v>
      </c>
      <c r="BJ39" s="18">
        <v>13.129999999999999</v>
      </c>
      <c r="BK39" s="18">
        <v>13.129999999999999</v>
      </c>
      <c r="BL39" s="18">
        <v>2.9173698630136986</v>
      </c>
      <c r="BM39" s="18">
        <v>2.9173698630136986</v>
      </c>
      <c r="BN39" s="18">
        <v>2.9173698630136986</v>
      </c>
      <c r="BO39" s="18">
        <v>2.9173698630136986</v>
      </c>
      <c r="BP39" s="26">
        <f>1.6335*6</f>
        <v>9.8010000000000002</v>
      </c>
      <c r="BQ39" s="18"/>
      <c r="BR39" s="18">
        <f>5.18*1000/365</f>
        <v>14.191780821917808</v>
      </c>
      <c r="BS39" s="18">
        <f>7.77*1000/365</f>
        <v>21.287671232876711</v>
      </c>
      <c r="BT39" s="18">
        <f>3.05*1000/365</f>
        <v>8.3561643835616444</v>
      </c>
      <c r="BU39" s="18">
        <v>14.191780821917808</v>
      </c>
      <c r="BV39" s="18">
        <v>21.287671232876711</v>
      </c>
      <c r="BW39" s="18">
        <v>8.3561643835616444</v>
      </c>
      <c r="BX39" s="18">
        <f>2.9*1000/365</f>
        <v>7.9452054794520546</v>
      </c>
      <c r="BY39" s="18">
        <f>2.9*1000/365</f>
        <v>7.9452054794520546</v>
      </c>
      <c r="BZ39" s="18">
        <v>50.926027397260277</v>
      </c>
      <c r="CA39" s="18">
        <v>50.926027397260277</v>
      </c>
      <c r="CB39" s="18">
        <f t="shared" ref="CB39:CE39" si="6">18.588*1000/365</f>
        <v>50.926027397260277</v>
      </c>
      <c r="CC39" s="18">
        <f t="shared" si="6"/>
        <v>50.926027397260277</v>
      </c>
      <c r="CD39" s="18">
        <f t="shared" si="6"/>
        <v>50.926027397260277</v>
      </c>
      <c r="CE39" s="18">
        <f t="shared" si="6"/>
        <v>50.926027397260277</v>
      </c>
      <c r="CF39" s="18">
        <v>4.9534246575342467</v>
      </c>
      <c r="CG39" s="18">
        <v>4.9534246575342467</v>
      </c>
      <c r="CH39" s="18">
        <f>2.35*1000/365</f>
        <v>6.4383561643835616</v>
      </c>
      <c r="CI39" s="18">
        <v>16.164383561643834</v>
      </c>
      <c r="CJ39" s="18">
        <v>6.8493150684931505</v>
      </c>
      <c r="CK39" s="18">
        <v>9.287671232876713</v>
      </c>
      <c r="CL39" s="18">
        <v>9.287671232876713</v>
      </c>
      <c r="CM39" s="18">
        <v>9.287671232876713</v>
      </c>
      <c r="CN39" s="18">
        <v>9.287671232876713</v>
      </c>
      <c r="CO39" s="18">
        <v>9.287671232876713</v>
      </c>
      <c r="CP39" s="18">
        <v>11.506849315068493</v>
      </c>
      <c r="CQ39" s="18">
        <v>11.506849315068493</v>
      </c>
      <c r="CR39" s="18">
        <v>11.506849315068493</v>
      </c>
      <c r="CS39" s="18">
        <v>11.506849315068493</v>
      </c>
      <c r="CT39" s="18">
        <v>11.506849315068493</v>
      </c>
      <c r="CU39" s="18">
        <v>11.043835616438354</v>
      </c>
      <c r="CV39" s="18">
        <v>11.043835616438354</v>
      </c>
      <c r="CW39" s="18">
        <v>11.043835616438354</v>
      </c>
      <c r="CX39" s="18">
        <f t="shared" ref="CX39:DB39" si="7">4.96984*1000/365</f>
        <v>13.615999999999998</v>
      </c>
      <c r="CY39" s="18">
        <f t="shared" si="7"/>
        <v>13.615999999999998</v>
      </c>
      <c r="CZ39" s="18">
        <f t="shared" si="7"/>
        <v>13.615999999999998</v>
      </c>
      <c r="DA39" s="18">
        <f t="shared" si="7"/>
        <v>13.615999999999998</v>
      </c>
      <c r="DB39" s="18">
        <f t="shared" si="7"/>
        <v>13.615999999999998</v>
      </c>
      <c r="DC39" s="18">
        <f>4.9713*1000/365</f>
        <v>13.620000000000001</v>
      </c>
      <c r="DD39" s="18">
        <f>0.02412*1000</f>
        <v>24.119999999999997</v>
      </c>
      <c r="DE39" s="18">
        <f>0.02412*1000</f>
        <v>24.119999999999997</v>
      </c>
      <c r="DF39" s="18">
        <f>0.02412*1000</f>
        <v>24.119999999999997</v>
      </c>
      <c r="DG39" s="18">
        <v>24.119999999999997</v>
      </c>
      <c r="DH39" s="18">
        <v>24.119999999999997</v>
      </c>
      <c r="DI39" s="18">
        <v>24.119999999999997</v>
      </c>
      <c r="DJ39" s="18">
        <f>5.169/365*1000</f>
        <v>14.161643835616436</v>
      </c>
      <c r="DK39" s="18">
        <f>4.06*1000/365</f>
        <v>11.123287671232875</v>
      </c>
      <c r="DL39" s="18">
        <f>6.136*1000/365</f>
        <v>16.81095890410959</v>
      </c>
      <c r="DM39" s="18">
        <f>4.83*1000/365</f>
        <v>13.232876712328768</v>
      </c>
      <c r="DN39" s="18">
        <f>0.01291*1000</f>
        <v>12.91</v>
      </c>
      <c r="DO39" s="18">
        <f>0.01291*1000</f>
        <v>12.91</v>
      </c>
      <c r="DP39" s="18">
        <f>0.01598*1000</f>
        <v>15.98</v>
      </c>
      <c r="DQ39" s="18">
        <f>0.01598*1000</f>
        <v>15.98</v>
      </c>
      <c r="DR39" s="18">
        <f>0.01585*1000</f>
        <v>15.85</v>
      </c>
      <c r="DS39" s="18">
        <f>0.01585*1000</f>
        <v>15.85</v>
      </c>
      <c r="DT39" s="18">
        <f>0.01585*1000</f>
        <v>15.85</v>
      </c>
      <c r="DU39" s="18">
        <f>0.01585*1000</f>
        <v>15.85</v>
      </c>
      <c r="DV39" s="18">
        <f>0.0011*1000</f>
        <v>1.1000000000000001</v>
      </c>
      <c r="DW39" s="18">
        <f>0.0011*1000</f>
        <v>1.1000000000000001</v>
      </c>
      <c r="DX39" s="18">
        <f>0.0011*1000</f>
        <v>1.1000000000000001</v>
      </c>
      <c r="DY39" s="18">
        <f>4.22*1000/365</f>
        <v>11.561643835616438</v>
      </c>
      <c r="DZ39" s="18">
        <f>4.22*1000/365</f>
        <v>11.561643835616438</v>
      </c>
      <c r="EA39" s="18">
        <f>4.22*1000/365</f>
        <v>11.561643835616438</v>
      </c>
      <c r="EB39" s="18"/>
      <c r="EC39" s="18"/>
      <c r="ED39" s="18"/>
      <c r="EE39" s="18"/>
      <c r="EF39" s="24">
        <v>0</v>
      </c>
      <c r="EG39" s="24">
        <v>0</v>
      </c>
      <c r="EH39" s="18">
        <v>0.57534246575342463</v>
      </c>
      <c r="EI39" s="18">
        <v>6.6569159732923824</v>
      </c>
      <c r="EJ39" s="18">
        <f>9.82*0.224</f>
        <v>2.1996800000000003</v>
      </c>
      <c r="EK39" s="18">
        <f>10.5*0.76</f>
        <v>7.98</v>
      </c>
      <c r="EL39" s="18">
        <v>6.6569159732923824</v>
      </c>
      <c r="EM39" s="18">
        <f>18.9041095890411/10</f>
        <v>1.8904109589041098</v>
      </c>
      <c r="EN39" s="18">
        <v>10.37</v>
      </c>
      <c r="EO39" s="18"/>
      <c r="EP39" s="18">
        <v>19.31232876712329</v>
      </c>
      <c r="EQ39" s="18">
        <v>11.45</v>
      </c>
      <c r="ER39" s="18">
        <v>13.013698630136986</v>
      </c>
      <c r="ES39" s="18">
        <v>15.424383561643838</v>
      </c>
      <c r="ET39" s="18">
        <v>12.749041095890412</v>
      </c>
      <c r="EU39" s="18">
        <v>13.616438356164384</v>
      </c>
      <c r="EV39" s="18">
        <v>10.794520547945206</v>
      </c>
      <c r="EW39" s="18">
        <v>10.794520547945206</v>
      </c>
    </row>
    <row r="40" spans="1:153" ht="14" x14ac:dyDescent="0.2">
      <c r="A40" s="18" t="s">
        <v>24</v>
      </c>
      <c r="B40" s="18" t="s">
        <v>349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>
        <f>1.8994*1000/365</f>
        <v>5.2038356164383561</v>
      </c>
      <c r="AT40" s="18">
        <f>1.8994*1000/365</f>
        <v>5.2038356164383561</v>
      </c>
      <c r="AU40" s="24">
        <f>0.378756134*AU58/AU56</f>
        <v>0.88497827463461554</v>
      </c>
      <c r="AV40" s="18"/>
      <c r="AW40" s="18"/>
      <c r="AX40" s="18">
        <f>0.001094*1000</f>
        <v>1.0939999999999999</v>
      </c>
      <c r="AY40" s="18">
        <f>0.001094*1000</f>
        <v>1.0939999999999999</v>
      </c>
      <c r="AZ40" s="18">
        <f>0.8468*1000/365</f>
        <v>2.3199999999999998</v>
      </c>
      <c r="BA40" s="18"/>
      <c r="BB40" s="18">
        <v>2.54</v>
      </c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>
        <f>BQ181+0.0043*1000</f>
        <v>5.3</v>
      </c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>
        <f>0.00363*1000</f>
        <v>3.63</v>
      </c>
      <c r="DW40" s="18">
        <f>0.00363*1000</f>
        <v>3.63</v>
      </c>
      <c r="DX40" s="18">
        <f>0.00363*1000</f>
        <v>3.63</v>
      </c>
      <c r="DY40" s="18"/>
      <c r="DZ40" s="18"/>
      <c r="EA40" s="18"/>
      <c r="EB40" s="18">
        <v>2.8959999999999999</v>
      </c>
      <c r="EC40" s="18">
        <v>3.25</v>
      </c>
      <c r="ED40" s="18">
        <v>7.42</v>
      </c>
      <c r="EE40" s="18">
        <v>17.86</v>
      </c>
      <c r="EF40" s="24">
        <v>2.1917808219178081</v>
      </c>
      <c r="EG40" s="24">
        <v>1.095890410958904</v>
      </c>
      <c r="EH40" s="18">
        <v>1.452054794520548</v>
      </c>
      <c r="EI40" s="18"/>
      <c r="EJ40" s="18">
        <f>9.82*0.257</f>
        <v>2.5237400000000001</v>
      </c>
      <c r="EK40" s="18">
        <f>10.5*0.003</f>
        <v>3.15E-2</v>
      </c>
      <c r="EL40" s="18"/>
      <c r="EM40" s="18">
        <f>4.65753424657534/10</f>
        <v>0.465753424657534</v>
      </c>
      <c r="EN40" s="18"/>
      <c r="EO40" s="18">
        <v>2.1</v>
      </c>
      <c r="EP40" s="18"/>
      <c r="EQ40" s="18"/>
      <c r="ER40" s="18"/>
      <c r="ES40" s="18"/>
      <c r="ET40" s="18"/>
      <c r="EU40" s="18"/>
      <c r="EV40" s="18"/>
      <c r="EW40" s="18"/>
    </row>
    <row r="41" spans="1:153" ht="14" x14ac:dyDescent="0.2">
      <c r="A41" s="18" t="s">
        <v>25</v>
      </c>
      <c r="B41" s="18" t="s">
        <v>349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>
        <f>0.00292*1000/365</f>
        <v>8.0000000000000002E-3</v>
      </c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24">
        <v>0</v>
      </c>
      <c r="EG41" s="24">
        <v>0</v>
      </c>
      <c r="EH41" s="18">
        <v>0</v>
      </c>
      <c r="EI41" s="18"/>
      <c r="EJ41" s="18"/>
      <c r="EK41" s="18"/>
      <c r="EL41" s="18"/>
      <c r="EM41" s="18">
        <f>1.6986301369863/10</f>
        <v>0.16986301369862999</v>
      </c>
      <c r="EN41" s="18"/>
      <c r="EO41" s="18"/>
      <c r="EP41" s="18"/>
      <c r="EQ41" s="18"/>
      <c r="ER41" s="18"/>
      <c r="ES41" s="18"/>
      <c r="ET41" s="18"/>
      <c r="EU41" s="18"/>
      <c r="EV41" s="18"/>
      <c r="EW41" s="18"/>
    </row>
    <row r="42" spans="1:153" ht="14" x14ac:dyDescent="0.2">
      <c r="A42" s="18" t="s">
        <v>26</v>
      </c>
      <c r="B42" s="18" t="s">
        <v>349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24">
        <v>0.13698630136986301</v>
      </c>
      <c r="EG42" s="24">
        <v>0.27397260273972601</v>
      </c>
      <c r="EH42" s="18">
        <v>0.19753424657534244</v>
      </c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</row>
    <row r="43" spans="1:153" ht="14" x14ac:dyDescent="0.2">
      <c r="A43" s="18" t="s">
        <v>27</v>
      </c>
      <c r="B43" s="18" t="s">
        <v>350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</row>
    <row r="44" spans="1:153" ht="14" x14ac:dyDescent="0.2">
      <c r="A44" s="18" t="s">
        <v>28</v>
      </c>
      <c r="B44" s="18" t="s">
        <v>351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</row>
    <row r="45" spans="1:153" ht="14" x14ac:dyDescent="0.2">
      <c r="A45" s="18" t="s">
        <v>323</v>
      </c>
      <c r="B45" s="18" t="s">
        <v>349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24"/>
      <c r="EG45" s="24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</row>
    <row r="46" spans="1:153" ht="14" x14ac:dyDescent="0.2">
      <c r="A46" s="18" t="s">
        <v>29</v>
      </c>
      <c r="B46" s="18" t="s">
        <v>352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24"/>
      <c r="EG46" s="24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</row>
    <row r="47" spans="1:153" ht="14" x14ac:dyDescent="0.2">
      <c r="A47" s="18" t="s">
        <v>30</v>
      </c>
      <c r="B47" s="18" t="s">
        <v>353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24"/>
      <c r="EG47" s="24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</row>
    <row r="48" spans="1:153" ht="14" x14ac:dyDescent="0.2">
      <c r="A48" s="18" t="s">
        <v>31</v>
      </c>
      <c r="B48" s="18" t="s">
        <v>349</v>
      </c>
      <c r="C48" s="24"/>
      <c r="D48" s="24"/>
      <c r="E48" s="24"/>
      <c r="F48" s="24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24"/>
      <c r="EG48" s="24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</row>
    <row r="49" spans="1:153" ht="14" x14ac:dyDescent="0.2">
      <c r="A49" s="18" t="s">
        <v>32</v>
      </c>
      <c r="B49" s="18" t="s">
        <v>349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</row>
    <row r="50" spans="1:153" ht="14" x14ac:dyDescent="0.2">
      <c r="A50" s="18" t="s">
        <v>33</v>
      </c>
      <c r="B50" s="18" t="s">
        <v>349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</row>
    <row r="51" spans="1:153" ht="14" x14ac:dyDescent="0.2">
      <c r="A51" s="18" t="s">
        <v>34</v>
      </c>
      <c r="B51" s="18" t="s">
        <v>349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</row>
    <row r="52" spans="1:153" ht="14" x14ac:dyDescent="0.2">
      <c r="A52" s="18" t="s">
        <v>35</v>
      </c>
      <c r="B52" s="18" t="s">
        <v>350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</row>
    <row r="53" spans="1:153" ht="14" x14ac:dyDescent="0.2">
      <c r="A53" s="18" t="s">
        <v>36</v>
      </c>
      <c r="B53" s="18" t="s">
        <v>351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</row>
    <row r="54" spans="1:153" ht="14" x14ac:dyDescent="0.2">
      <c r="A54" s="18" t="s">
        <v>325</v>
      </c>
      <c r="B54" s="18" t="s">
        <v>349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</row>
    <row r="55" spans="1:153" ht="14" x14ac:dyDescent="0.2">
      <c r="A55" s="18" t="s">
        <v>37</v>
      </c>
      <c r="B55" s="18" t="s">
        <v>345</v>
      </c>
      <c r="C55" s="18">
        <v>0.1</v>
      </c>
      <c r="D55" s="18">
        <v>0.1</v>
      </c>
      <c r="E55" s="18">
        <v>0.1</v>
      </c>
      <c r="F55" s="18">
        <v>0.1</v>
      </c>
      <c r="G55" s="18">
        <v>0.1</v>
      </c>
      <c r="H55" s="18">
        <v>0.1</v>
      </c>
      <c r="I55" s="18">
        <v>0.1</v>
      </c>
      <c r="J55" s="18">
        <v>0.1</v>
      </c>
      <c r="K55" s="18">
        <v>0.1</v>
      </c>
      <c r="L55" s="18">
        <v>0.1</v>
      </c>
      <c r="M55" s="18">
        <v>0.1</v>
      </c>
      <c r="N55" s="18">
        <v>0.1</v>
      </c>
      <c r="O55" s="18">
        <v>0.1</v>
      </c>
      <c r="P55" s="18">
        <v>0.1</v>
      </c>
      <c r="Q55" s="18">
        <v>0.1</v>
      </c>
      <c r="R55" s="18">
        <v>0.1</v>
      </c>
      <c r="S55" s="18">
        <v>0.1</v>
      </c>
      <c r="T55" s="18">
        <v>0.1</v>
      </c>
      <c r="U55" s="18">
        <v>0.1</v>
      </c>
      <c r="V55" s="18">
        <v>0.1</v>
      </c>
      <c r="W55" s="18">
        <v>0.1</v>
      </c>
      <c r="X55" s="18">
        <v>0.1</v>
      </c>
      <c r="Y55" s="18">
        <v>0.1</v>
      </c>
      <c r="Z55" s="18">
        <v>0.1</v>
      </c>
      <c r="AA55" s="18">
        <v>0.1</v>
      </c>
      <c r="AB55" s="18">
        <v>0.1</v>
      </c>
      <c r="AC55" s="18">
        <v>0.1</v>
      </c>
      <c r="AD55" s="18">
        <v>0.1</v>
      </c>
      <c r="AE55" s="18">
        <v>0.18</v>
      </c>
      <c r="AF55" s="18">
        <v>0.18</v>
      </c>
      <c r="AG55" s="18">
        <v>0.18</v>
      </c>
      <c r="AH55" s="18">
        <v>0.18</v>
      </c>
      <c r="AI55" s="18">
        <v>0.18</v>
      </c>
      <c r="AJ55" s="18">
        <v>0.18</v>
      </c>
      <c r="AK55" s="18">
        <v>0.18</v>
      </c>
      <c r="AL55" s="18">
        <v>0.18</v>
      </c>
      <c r="AM55" s="18">
        <v>0.18</v>
      </c>
      <c r="AN55" s="18">
        <v>0.18</v>
      </c>
      <c r="AO55" s="18">
        <v>0.18</v>
      </c>
      <c r="AP55" s="18">
        <v>0.18</v>
      </c>
      <c r="AQ55" s="18">
        <v>0.1</v>
      </c>
      <c r="AR55" s="18">
        <v>0.1</v>
      </c>
      <c r="AS55" s="18"/>
      <c r="AT55" s="18"/>
      <c r="AU55" s="18">
        <v>0.1179</v>
      </c>
      <c r="AV55" s="18">
        <v>0.12</v>
      </c>
      <c r="AW55" s="18">
        <v>0.12</v>
      </c>
      <c r="AX55" s="18"/>
      <c r="AY55" s="18"/>
      <c r="AZ55" s="18"/>
      <c r="BA55" s="18"/>
      <c r="BB55" s="18"/>
      <c r="BC55" s="18">
        <v>0.1</v>
      </c>
      <c r="BD55" s="18">
        <v>0.1</v>
      </c>
      <c r="BE55" s="18">
        <v>0.1</v>
      </c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>
        <v>6.5600000000000006E-2</v>
      </c>
      <c r="BS55" s="18">
        <v>4.3700000000000003E-2</v>
      </c>
      <c r="BT55" s="18">
        <v>0.1</v>
      </c>
      <c r="BU55" s="18">
        <v>6.5600000000000006E-2</v>
      </c>
      <c r="BV55" s="18">
        <v>4.3700000000000003E-2</v>
      </c>
      <c r="BW55" s="18">
        <v>0.1</v>
      </c>
      <c r="BX55" s="18">
        <v>0.2</v>
      </c>
      <c r="BY55" s="18">
        <v>0.2</v>
      </c>
      <c r="BZ55" s="18">
        <v>0.1</v>
      </c>
      <c r="CA55" s="18">
        <v>0.1</v>
      </c>
      <c r="CB55" s="18">
        <v>0.1</v>
      </c>
      <c r="CC55" s="18">
        <v>0.1</v>
      </c>
      <c r="CD55" s="18">
        <v>0.1</v>
      </c>
      <c r="CE55" s="18">
        <v>0.1</v>
      </c>
      <c r="CF55" s="18">
        <v>0.1</v>
      </c>
      <c r="CG55" s="18">
        <v>0.1</v>
      </c>
      <c r="CH55" s="18">
        <v>0.1</v>
      </c>
      <c r="CI55" s="18">
        <v>0.1</v>
      </c>
      <c r="CJ55" s="18">
        <v>0.1</v>
      </c>
      <c r="CK55" s="18">
        <v>0.1</v>
      </c>
      <c r="CL55" s="18">
        <v>0.1</v>
      </c>
      <c r="CM55" s="18">
        <v>0.1</v>
      </c>
      <c r="CN55" s="18">
        <v>0.1</v>
      </c>
      <c r="CO55" s="18">
        <v>0.1</v>
      </c>
      <c r="CP55" s="18">
        <v>0.1</v>
      </c>
      <c r="CQ55" s="18">
        <v>0.1</v>
      </c>
      <c r="CR55" s="18">
        <v>0.1</v>
      </c>
      <c r="CS55" s="18">
        <v>0.1</v>
      </c>
      <c r="CT55" s="18">
        <v>0.1</v>
      </c>
      <c r="CU55" s="18">
        <v>0.1</v>
      </c>
      <c r="CV55" s="18">
        <v>0.1</v>
      </c>
      <c r="CW55" s="18">
        <v>0.1</v>
      </c>
      <c r="CX55" s="18">
        <v>0.1</v>
      </c>
      <c r="CY55" s="18">
        <v>0.1</v>
      </c>
      <c r="CZ55" s="18">
        <v>0.1</v>
      </c>
      <c r="DA55" s="18">
        <v>0.1</v>
      </c>
      <c r="DB55" s="18">
        <v>0.1</v>
      </c>
      <c r="DC55" s="18">
        <v>0.1</v>
      </c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>
        <v>0.1</v>
      </c>
      <c r="DZ55" s="18">
        <v>0.1</v>
      </c>
      <c r="EA55" s="18">
        <v>0.1</v>
      </c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>
        <v>0.1</v>
      </c>
      <c r="ES55" s="18">
        <v>0.1</v>
      </c>
      <c r="ET55" s="18">
        <v>0.1</v>
      </c>
      <c r="EU55" s="18">
        <v>0.1</v>
      </c>
      <c r="EV55" s="18">
        <v>0.1</v>
      </c>
      <c r="EW55" s="18">
        <v>0.1</v>
      </c>
    </row>
    <row r="56" spans="1:153" ht="14" x14ac:dyDescent="0.2">
      <c r="A56" s="18" t="s">
        <v>38</v>
      </c>
      <c r="B56" s="18" t="s">
        <v>345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>
        <v>0.20799999999999999</v>
      </c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</row>
    <row r="57" spans="1:153" ht="14" x14ac:dyDescent="0.2">
      <c r="A57" s="18" t="s">
        <v>39</v>
      </c>
      <c r="B57" s="18" t="s">
        <v>345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</row>
    <row r="58" spans="1:153" ht="14" x14ac:dyDescent="0.2">
      <c r="A58" s="18" t="s">
        <v>40</v>
      </c>
      <c r="B58" s="18" t="s">
        <v>345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>
        <v>0.48599999999999999</v>
      </c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</row>
    <row r="59" spans="1:153" ht="14" x14ac:dyDescent="0.2">
      <c r="A59" s="18" t="s">
        <v>41</v>
      </c>
      <c r="B59" s="18" t="s">
        <v>345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</row>
    <row r="60" spans="1:153" ht="14" x14ac:dyDescent="0.2">
      <c r="A60" s="18" t="s">
        <v>42</v>
      </c>
      <c r="B60" s="18" t="s">
        <v>345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</row>
    <row r="61" spans="1:153" ht="14" x14ac:dyDescent="0.2">
      <c r="A61" s="18" t="s">
        <v>316</v>
      </c>
      <c r="B61" s="18" t="s">
        <v>345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</row>
    <row r="62" spans="1:153" ht="14" x14ac:dyDescent="0.2">
      <c r="A62" s="18" t="s">
        <v>43</v>
      </c>
      <c r="B62" s="18" t="s">
        <v>345</v>
      </c>
      <c r="C62" s="18">
        <v>0.1</v>
      </c>
      <c r="D62" s="18">
        <v>0.1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>
        <v>0.12</v>
      </c>
      <c r="AW62" s="18">
        <v>0.12</v>
      </c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</row>
    <row r="63" spans="1:153" ht="14" x14ac:dyDescent="0.2">
      <c r="A63" s="18" t="s">
        <v>44</v>
      </c>
      <c r="B63" s="18" t="s">
        <v>345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</row>
    <row r="64" spans="1:153" ht="14" x14ac:dyDescent="0.2">
      <c r="A64" s="18" t="s">
        <v>45</v>
      </c>
      <c r="B64" s="18" t="s">
        <v>345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</row>
    <row r="65" spans="1:153" ht="14" x14ac:dyDescent="0.2">
      <c r="A65" s="18" t="s">
        <v>317</v>
      </c>
      <c r="B65" s="18" t="s">
        <v>345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</row>
    <row r="66" spans="1:153" ht="14" x14ac:dyDescent="0.2">
      <c r="A66" s="18" t="s">
        <v>46</v>
      </c>
      <c r="B66" s="18" t="s">
        <v>345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</row>
    <row r="67" spans="1:153" ht="14" x14ac:dyDescent="0.2">
      <c r="A67" s="18" t="s">
        <v>47</v>
      </c>
      <c r="B67" s="18" t="s">
        <v>345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</row>
    <row r="68" spans="1:153" ht="14" x14ac:dyDescent="0.2">
      <c r="A68" s="18" t="s">
        <v>48</v>
      </c>
      <c r="B68" s="18" t="s">
        <v>345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</row>
    <row r="69" spans="1:153" ht="14" x14ac:dyDescent="0.2">
      <c r="A69" s="18" t="s">
        <v>49</v>
      </c>
      <c r="B69" s="18" t="s">
        <v>354</v>
      </c>
      <c r="C69" s="18">
        <v>1.4999999999999999E-2</v>
      </c>
      <c r="D69" s="18">
        <v>1.4999999999999999E-2</v>
      </c>
      <c r="E69" s="18">
        <v>1.4999999999999999E-2</v>
      </c>
      <c r="F69" s="18">
        <v>1.4999999999999999E-2</v>
      </c>
      <c r="G69" s="18">
        <v>1.4999999999999999E-2</v>
      </c>
      <c r="H69" s="18">
        <v>1.4999999999999999E-2</v>
      </c>
      <c r="I69" s="18">
        <v>1.4999999999999999E-2</v>
      </c>
      <c r="J69" s="18">
        <v>1.4999999999999999E-2</v>
      </c>
      <c r="K69" s="18">
        <v>1.4999999999999999E-2</v>
      </c>
      <c r="L69" s="18">
        <v>1.4999999999999999E-2</v>
      </c>
      <c r="M69" s="18">
        <v>1.4999999999999999E-2</v>
      </c>
      <c r="N69" s="18">
        <v>1.4999999999999999E-2</v>
      </c>
      <c r="O69" s="18">
        <v>1.4999999999999999E-2</v>
      </c>
      <c r="P69" s="18">
        <v>1.4999999999999999E-2</v>
      </c>
      <c r="Q69" s="18">
        <v>1.4999999999999999E-2</v>
      </c>
      <c r="R69" s="18">
        <v>1.4999999999999999E-2</v>
      </c>
      <c r="S69" s="18">
        <v>1.4999999999999999E-2</v>
      </c>
      <c r="T69" s="18">
        <v>1.4999999999999999E-2</v>
      </c>
      <c r="U69" s="18">
        <v>1.4999999999999999E-2</v>
      </c>
      <c r="V69" s="18">
        <v>1.4999999999999999E-2</v>
      </c>
      <c r="W69" s="18">
        <v>1.4999999999999999E-2</v>
      </c>
      <c r="X69" s="18">
        <v>1.4999999999999999E-2</v>
      </c>
      <c r="Y69" s="18">
        <v>1.4999999999999999E-2</v>
      </c>
      <c r="Z69" s="18">
        <v>1.4999999999999999E-2</v>
      </c>
      <c r="AA69" s="18">
        <v>1.4999999999999999E-2</v>
      </c>
      <c r="AB69" s="18">
        <v>1.4999999999999999E-2</v>
      </c>
      <c r="AC69" s="18">
        <v>1.4999999999999999E-2</v>
      </c>
      <c r="AD69" s="18">
        <v>1.4999999999999999E-2</v>
      </c>
      <c r="AE69" s="18">
        <v>1.5599999999999999E-2</v>
      </c>
      <c r="AF69" s="18">
        <v>1.5599999999999999E-2</v>
      </c>
      <c r="AG69" s="18">
        <v>1.5599999999999999E-2</v>
      </c>
      <c r="AH69" s="18">
        <v>1.5599999999999999E-2</v>
      </c>
      <c r="AI69" s="18">
        <v>1.5599999999999999E-2</v>
      </c>
      <c r="AJ69" s="18">
        <v>1.5599999999999999E-2</v>
      </c>
      <c r="AK69" s="18">
        <v>1.5599999999999999E-2</v>
      </c>
      <c r="AL69" s="18">
        <v>1.5599999999999999E-2</v>
      </c>
      <c r="AM69" s="18">
        <v>1.5599999999999999E-2</v>
      </c>
      <c r="AN69" s="18">
        <v>1.5599999999999999E-2</v>
      </c>
      <c r="AO69" s="18">
        <v>1.5599999999999999E-2</v>
      </c>
      <c r="AP69" s="18">
        <v>1.5599999999999999E-2</v>
      </c>
      <c r="AQ69" s="18">
        <v>1.4999999999999999E-2</v>
      </c>
      <c r="AR69" s="18">
        <v>1.4999999999999999E-2</v>
      </c>
      <c r="AS69" s="18"/>
      <c r="AT69" s="18"/>
      <c r="AU69" s="18">
        <v>4.7300000000000002E-2</v>
      </c>
      <c r="AV69" s="18">
        <v>1.5599999999999999E-2</v>
      </c>
      <c r="AW69" s="18">
        <v>1.5599999999999999E-2</v>
      </c>
      <c r="AX69" s="18"/>
      <c r="AY69" s="18"/>
      <c r="AZ69" s="18"/>
      <c r="BA69" s="18">
        <v>1.5599999999999999E-2</v>
      </c>
      <c r="BB69" s="18">
        <v>1.5599999999999999E-2</v>
      </c>
      <c r="BC69" s="18">
        <v>1.4999999999999999E-2</v>
      </c>
      <c r="BD69" s="18">
        <v>1.5599999999999999E-2</v>
      </c>
      <c r="BE69" s="18">
        <v>1.5599999999999999E-2</v>
      </c>
      <c r="BF69" s="18">
        <v>1.8599999999999998E-2</v>
      </c>
      <c r="BG69" s="18">
        <v>1.8599999999999998E-2</v>
      </c>
      <c r="BH69" s="18">
        <v>1.8599999999999998E-2</v>
      </c>
      <c r="BI69" s="18">
        <v>1.8599999999999998E-2</v>
      </c>
      <c r="BJ69" s="18">
        <v>1.8599999999999998E-2</v>
      </c>
      <c r="BK69" s="18">
        <v>1.8599999999999998E-2</v>
      </c>
      <c r="BL69" s="18">
        <v>1.5598214285714286E-2</v>
      </c>
      <c r="BM69" s="18">
        <v>1.5598214285714286E-2</v>
      </c>
      <c r="BN69" s="18">
        <v>1.5598214285714286E-2</v>
      </c>
      <c r="BO69" s="18">
        <v>1.5598214285714286E-2</v>
      </c>
      <c r="BP69" s="18">
        <v>1.4999999999999999E-2</v>
      </c>
      <c r="BQ69" s="18"/>
      <c r="BR69" s="18">
        <v>1.4999999999999999E-2</v>
      </c>
      <c r="BS69" s="18">
        <v>1.4999999999999999E-2</v>
      </c>
      <c r="BT69" s="18">
        <v>1.4999999999999999E-2</v>
      </c>
      <c r="BU69" s="18">
        <v>1.4999999999999999E-2</v>
      </c>
      <c r="BV69" s="18">
        <v>1.4999999999999999E-2</v>
      </c>
      <c r="BW69" s="18">
        <v>1.4999999999999999E-2</v>
      </c>
      <c r="BX69" s="18">
        <v>1.5599999999999999E-2</v>
      </c>
      <c r="BY69" s="18">
        <v>1.5599999999999999E-2</v>
      </c>
      <c r="BZ69" s="18">
        <v>1.4999999999999999E-2</v>
      </c>
      <c r="CA69" s="18">
        <v>1.4999999999999999E-2</v>
      </c>
      <c r="CB69" s="18">
        <v>1.4999999999999999E-2</v>
      </c>
      <c r="CC69" s="18">
        <v>1.4999999999999999E-2</v>
      </c>
      <c r="CD69" s="18">
        <v>1.4999999999999999E-2</v>
      </c>
      <c r="CE69" s="18">
        <v>1.4999999999999999E-2</v>
      </c>
      <c r="CF69" s="18">
        <v>1.4999999999999999E-2</v>
      </c>
      <c r="CG69" s="18">
        <v>1.4999999999999999E-2</v>
      </c>
      <c r="CH69" s="18">
        <v>1.5599999999999999E-2</v>
      </c>
      <c r="CI69" s="18">
        <v>1.5599999999999999E-2</v>
      </c>
      <c r="CJ69" s="18">
        <v>1.5599999999999999E-2</v>
      </c>
      <c r="CK69" s="18">
        <v>1.5599999999999999E-2</v>
      </c>
      <c r="CL69" s="18">
        <v>1.5599999999999999E-2</v>
      </c>
      <c r="CM69" s="18">
        <v>1.5599999999999999E-2</v>
      </c>
      <c r="CN69" s="18">
        <v>1.5599999999999999E-2</v>
      </c>
      <c r="CO69" s="18">
        <v>1.5599999999999999E-2</v>
      </c>
      <c r="CP69" s="18">
        <v>1.5599999999999999E-2</v>
      </c>
      <c r="CQ69" s="18">
        <v>1.5599999999999999E-2</v>
      </c>
      <c r="CR69" s="18">
        <v>1.5599999999999999E-2</v>
      </c>
      <c r="CS69" s="18">
        <v>1.5599999999999999E-2</v>
      </c>
      <c r="CT69" s="18">
        <v>1.5599999999999999E-2</v>
      </c>
      <c r="CU69" s="18">
        <v>1.5599999999999999E-2</v>
      </c>
      <c r="CV69" s="18">
        <v>1.5599999999999999E-2</v>
      </c>
      <c r="CW69" s="18">
        <v>1.5599999999999999E-2</v>
      </c>
      <c r="CX69" s="18">
        <v>1.4999999999999999E-2</v>
      </c>
      <c r="CY69" s="18">
        <v>1.4999999999999999E-2</v>
      </c>
      <c r="CZ69" s="18">
        <v>1.4999999999999999E-2</v>
      </c>
      <c r="DA69" s="18">
        <v>1.4999999999999999E-2</v>
      </c>
      <c r="DB69" s="18">
        <v>1.4999999999999999E-2</v>
      </c>
      <c r="DC69" s="18">
        <v>1.4999999999999999E-2</v>
      </c>
      <c r="DD69" s="18">
        <v>1.4999999999999999E-2</v>
      </c>
      <c r="DE69" s="18">
        <v>1.4999999999999999E-2</v>
      </c>
      <c r="DF69" s="18">
        <v>1.4999999999999999E-2</v>
      </c>
      <c r="DG69" s="18">
        <v>1.4999999999999999E-2</v>
      </c>
      <c r="DH69" s="18">
        <v>1.4999999999999999E-2</v>
      </c>
      <c r="DI69" s="18">
        <v>1.4999999999999999E-2</v>
      </c>
      <c r="DJ69" s="18">
        <v>1.4999999999999999E-2</v>
      </c>
      <c r="DK69" s="18">
        <v>1.4999999999999999E-2</v>
      </c>
      <c r="DL69" s="18">
        <v>1.4999999999999999E-2</v>
      </c>
      <c r="DM69" s="18">
        <v>1.4999999999999999E-2</v>
      </c>
      <c r="DN69" s="18">
        <v>1.5599999999999999E-2</v>
      </c>
      <c r="DO69" s="18">
        <v>1.5599999999999999E-2</v>
      </c>
      <c r="DP69" s="18">
        <v>1.5599999999999999E-2</v>
      </c>
      <c r="DQ69" s="18">
        <v>1.5599999999999999E-2</v>
      </c>
      <c r="DR69" s="18">
        <v>1.5599999999999999E-2</v>
      </c>
      <c r="DS69" s="18">
        <v>1.5599999999999999E-2</v>
      </c>
      <c r="DT69" s="18">
        <v>1.5599999999999999E-2</v>
      </c>
      <c r="DU69" s="18">
        <v>1.5599999999999999E-2</v>
      </c>
      <c r="DV69" s="18">
        <v>1.5599999999999999E-2</v>
      </c>
      <c r="DW69" s="18">
        <v>1.5599999999999999E-2</v>
      </c>
      <c r="DX69" s="18">
        <v>1.5599999999999999E-2</v>
      </c>
      <c r="DY69" s="18">
        <v>1.4999999999999999E-2</v>
      </c>
      <c r="DZ69" s="18">
        <v>1.4999999999999999E-2</v>
      </c>
      <c r="EA69" s="18">
        <v>1.4999999999999999E-2</v>
      </c>
      <c r="EB69" s="18"/>
      <c r="EC69" s="18"/>
      <c r="ED69" s="18"/>
      <c r="EE69" s="18"/>
      <c r="EF69" s="18"/>
      <c r="EG69" s="18"/>
      <c r="EH69" s="18"/>
      <c r="EI69" s="18">
        <v>1.5599999999999999E-2</v>
      </c>
      <c r="EJ69" s="18">
        <v>1.5599999999999999E-2</v>
      </c>
      <c r="EK69" s="18">
        <v>1.5599999999999999E-2</v>
      </c>
      <c r="EL69" s="18">
        <v>1.5599999999999999E-2</v>
      </c>
      <c r="EM69" s="18">
        <v>1.5599999999999999E-2</v>
      </c>
      <c r="EN69" s="18">
        <v>1.5599999999999999E-2</v>
      </c>
      <c r="EO69" s="18"/>
      <c r="EP69" s="18">
        <v>1.4999999999999999E-2</v>
      </c>
      <c r="EQ69" s="18">
        <v>1.4999999999999999E-2</v>
      </c>
      <c r="ER69" s="18">
        <v>1.5599999999999999E-2</v>
      </c>
      <c r="ES69" s="18">
        <v>1.5599999999999999E-2</v>
      </c>
      <c r="ET69" s="18">
        <v>1.5599999999999999E-2</v>
      </c>
      <c r="EU69" s="18">
        <v>1.5599999999999999E-2</v>
      </c>
      <c r="EV69" s="18">
        <v>1.5599999999999999E-2</v>
      </c>
      <c r="EW69" s="18">
        <v>1.5599999999999999E-2</v>
      </c>
    </row>
    <row r="70" spans="1:153" ht="14" x14ac:dyDescent="0.2">
      <c r="A70" s="18" t="s">
        <v>50</v>
      </c>
      <c r="B70" s="18" t="s">
        <v>354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>
        <v>2.9499999999999998E-2</v>
      </c>
      <c r="AT70" s="18">
        <v>2.9499999999999998E-2</v>
      </c>
      <c r="AU70" s="18">
        <v>4.7300000000000002E-2</v>
      </c>
      <c r="AV70" s="18"/>
      <c r="AW70" s="18"/>
      <c r="AX70" s="18">
        <v>2.9499999999999998E-2</v>
      </c>
      <c r="AY70" s="18">
        <v>2.9499999999999998E-2</v>
      </c>
      <c r="AZ70" s="18">
        <v>2.9499999999999998E-2</v>
      </c>
      <c r="BA70" s="18">
        <v>1.5599999999999999E-2</v>
      </c>
      <c r="BB70" s="18">
        <v>1.5599999999999999E-2</v>
      </c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>
        <v>2.9000000000000001E-2</v>
      </c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>
        <f>DV69</f>
        <v>1.5599999999999999E-2</v>
      </c>
      <c r="DW70" s="18">
        <f>DW69</f>
        <v>1.5599999999999999E-2</v>
      </c>
      <c r="DX70" s="18">
        <f>DX69</f>
        <v>1.5599999999999999E-2</v>
      </c>
      <c r="DY70" s="18"/>
      <c r="DZ70" s="18"/>
      <c r="EA70" s="18"/>
      <c r="EB70" s="18">
        <v>2.9499999999999998E-2</v>
      </c>
      <c r="EC70" s="18">
        <v>2.9499999999999998E-2</v>
      </c>
      <c r="ED70" s="18">
        <v>2.9499999999999998E-2</v>
      </c>
      <c r="EE70" s="18">
        <v>2.9499999999999998E-2</v>
      </c>
      <c r="EF70" s="18"/>
      <c r="EG70" s="18"/>
      <c r="EH70" s="18"/>
      <c r="EI70" s="18"/>
      <c r="EJ70" s="18">
        <v>2.9499999999999998E-2</v>
      </c>
      <c r="EK70" s="18">
        <v>2.9499999999999998E-2</v>
      </c>
      <c r="EL70" s="18"/>
      <c r="EM70" s="18">
        <v>2.9499999999999998E-2</v>
      </c>
      <c r="EN70" s="18"/>
      <c r="EO70" s="18">
        <v>2.9499999999999998E-2</v>
      </c>
      <c r="EP70" s="18"/>
      <c r="EQ70" s="18"/>
      <c r="ER70" s="18"/>
      <c r="ES70" s="18"/>
      <c r="ET70" s="18"/>
      <c r="EU70" s="18"/>
      <c r="EV70" s="18"/>
      <c r="EW70" s="18"/>
    </row>
    <row r="71" spans="1:153" ht="14" x14ac:dyDescent="0.2">
      <c r="A71" s="18" t="s">
        <v>51</v>
      </c>
      <c r="B71" s="18" t="s">
        <v>354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4.3799999999999999E-2</v>
      </c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>
        <v>4.3799999999999999E-2</v>
      </c>
      <c r="EN71" s="18"/>
      <c r="EO71" s="18"/>
      <c r="EP71" s="18"/>
      <c r="EQ71" s="18"/>
      <c r="ER71" s="18"/>
      <c r="ES71" s="18"/>
      <c r="ET71" s="18"/>
      <c r="EU71" s="18"/>
      <c r="EV71" s="18"/>
      <c r="EW71" s="18"/>
    </row>
    <row r="72" spans="1:153" ht="14" x14ac:dyDescent="0.2">
      <c r="A72" s="18" t="s">
        <v>52</v>
      </c>
      <c r="B72" s="18" t="s">
        <v>354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4.7300000000000002E-2</v>
      </c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>
        <v>4.7300000000000002E-2</v>
      </c>
      <c r="EJ72" s="18">
        <v>4.7300000000000002E-2</v>
      </c>
      <c r="EK72" s="18">
        <v>4.7300000000000002E-2</v>
      </c>
      <c r="EL72" s="18">
        <v>4.7300000000000002E-2</v>
      </c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</row>
    <row r="73" spans="1:153" ht="14" x14ac:dyDescent="0.2">
      <c r="A73" s="18" t="s">
        <v>318</v>
      </c>
      <c r="B73" s="18" t="s">
        <v>354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</row>
    <row r="74" spans="1:153" ht="14" x14ac:dyDescent="0.2">
      <c r="A74" s="18" t="s">
        <v>53</v>
      </c>
      <c r="B74" s="18" t="s">
        <v>354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>
        <v>1.7000000000000001E-2</v>
      </c>
      <c r="EG74" s="18">
        <v>1.7000000000000001E-2</v>
      </c>
      <c r="EH74" s="18">
        <v>1.7000000000000001E-2</v>
      </c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</row>
    <row r="75" spans="1:153" ht="14" x14ac:dyDescent="0.2">
      <c r="A75" s="18" t="s">
        <v>2</v>
      </c>
      <c r="B75" s="18" t="s">
        <v>355</v>
      </c>
      <c r="C75" s="18">
        <v>81.599999999999994</v>
      </c>
      <c r="D75" s="18">
        <v>81.599999999999994</v>
      </c>
      <c r="E75" s="18">
        <v>81.599999999999994</v>
      </c>
      <c r="F75" s="18">
        <v>81.599999999999994</v>
      </c>
      <c r="G75" s="18">
        <v>81.599999999999994</v>
      </c>
      <c r="H75" s="18">
        <v>81.599999999999994</v>
      </c>
      <c r="I75" s="18">
        <v>81.599999999999994</v>
      </c>
      <c r="J75" s="18">
        <v>81.599999999999994</v>
      </c>
      <c r="K75" s="18">
        <v>81.599999999999994</v>
      </c>
      <c r="L75" s="18">
        <v>81.599999999999994</v>
      </c>
      <c r="M75" s="18">
        <v>81.599999999999994</v>
      </c>
      <c r="N75" s="18">
        <v>81.599999999999994</v>
      </c>
      <c r="O75" s="18">
        <v>81.599999999999994</v>
      </c>
      <c r="P75" s="18">
        <v>81.599999999999994</v>
      </c>
      <c r="Q75" s="18">
        <v>81.599999999999994</v>
      </c>
      <c r="R75" s="18">
        <v>81.599999999999994</v>
      </c>
      <c r="S75" s="18">
        <v>81.599999999999994</v>
      </c>
      <c r="T75" s="18">
        <v>81.599999999999994</v>
      </c>
      <c r="U75" s="18">
        <v>81.599999999999994</v>
      </c>
      <c r="V75" s="18">
        <v>81.599999999999994</v>
      </c>
      <c r="W75" s="18">
        <v>81.599999999999994</v>
      </c>
      <c r="X75" s="18">
        <v>81.599999999999994</v>
      </c>
      <c r="Y75" s="18">
        <v>81.599999999999994</v>
      </c>
      <c r="Z75" s="18">
        <v>81.599999999999994</v>
      </c>
      <c r="AA75" s="18">
        <v>81.599999999999994</v>
      </c>
      <c r="AB75" s="18">
        <v>81.599999999999994</v>
      </c>
      <c r="AC75" s="18">
        <v>81.599999999999994</v>
      </c>
      <c r="AD75" s="18">
        <v>81.599999999999994</v>
      </c>
      <c r="AE75" s="18">
        <v>73.2</v>
      </c>
      <c r="AF75" s="18">
        <v>73.2</v>
      </c>
      <c r="AG75" s="18">
        <v>73.2</v>
      </c>
      <c r="AH75" s="18">
        <v>73.2</v>
      </c>
      <c r="AI75" s="18">
        <v>73.2</v>
      </c>
      <c r="AJ75" s="18">
        <v>73.2</v>
      </c>
      <c r="AK75" s="18">
        <v>73.2</v>
      </c>
      <c r="AL75" s="18">
        <v>73.2</v>
      </c>
      <c r="AM75" s="18">
        <v>73.2</v>
      </c>
      <c r="AN75" s="18">
        <v>73.2</v>
      </c>
      <c r="AO75" s="18">
        <v>73.2</v>
      </c>
      <c r="AP75" s="18">
        <v>73.2</v>
      </c>
      <c r="AQ75" s="18">
        <v>81.599999999999994</v>
      </c>
      <c r="AR75" s="18">
        <v>81.599999999999994</v>
      </c>
      <c r="AS75" s="18"/>
      <c r="AT75" s="18"/>
      <c r="AU75" s="18">
        <v>112</v>
      </c>
      <c r="AV75" s="18">
        <v>63.7</v>
      </c>
      <c r="AW75" s="18">
        <v>63.7</v>
      </c>
      <c r="AX75" s="18"/>
      <c r="AY75" s="18"/>
      <c r="AZ75" s="18"/>
      <c r="BA75" s="18">
        <v>112</v>
      </c>
      <c r="BB75" s="18">
        <v>112</v>
      </c>
      <c r="BC75" s="18">
        <v>81.599999999999994</v>
      </c>
      <c r="BD75" s="18">
        <v>63.7</v>
      </c>
      <c r="BE75" s="18">
        <v>64.400000000000006</v>
      </c>
      <c r="BF75" s="18">
        <v>112</v>
      </c>
      <c r="BG75" s="18">
        <v>112</v>
      </c>
      <c r="BH75" s="18">
        <v>112</v>
      </c>
      <c r="BI75" s="18">
        <v>112</v>
      </c>
      <c r="BJ75" s="18">
        <v>112</v>
      </c>
      <c r="BK75" s="18">
        <v>112</v>
      </c>
      <c r="BL75" s="18">
        <v>112</v>
      </c>
      <c r="BM75" s="18">
        <v>112</v>
      </c>
      <c r="BN75" s="18">
        <v>112</v>
      </c>
      <c r="BO75" s="18">
        <v>112</v>
      </c>
      <c r="BP75" s="18">
        <v>112</v>
      </c>
      <c r="BQ75" s="18"/>
      <c r="BR75" s="18">
        <v>81.599999999999994</v>
      </c>
      <c r="BS75" s="18">
        <v>81.599999999999994</v>
      </c>
      <c r="BT75" s="18">
        <v>81.599999999999994</v>
      </c>
      <c r="BU75" s="18">
        <v>81.599999999999994</v>
      </c>
      <c r="BV75" s="18">
        <v>81.599999999999994</v>
      </c>
      <c r="BW75" s="18">
        <v>81.599999999999994</v>
      </c>
      <c r="BX75" s="18">
        <v>73.2</v>
      </c>
      <c r="BY75" s="18">
        <v>73.2</v>
      </c>
      <c r="BZ75" s="18">
        <v>81.599999999999994</v>
      </c>
      <c r="CA75" s="18">
        <v>81.599999999999994</v>
      </c>
      <c r="CB75" s="18">
        <v>81.599999999999994</v>
      </c>
      <c r="CC75" s="18">
        <v>81.599999999999994</v>
      </c>
      <c r="CD75" s="18">
        <v>81.599999999999994</v>
      </c>
      <c r="CE75" s="18">
        <v>81.599999999999994</v>
      </c>
      <c r="CF75" s="18">
        <v>81.599999999999994</v>
      </c>
      <c r="CG75" s="18">
        <v>81.599999999999994</v>
      </c>
      <c r="CH75" s="18">
        <v>63.7</v>
      </c>
      <c r="CI75" s="18">
        <v>112</v>
      </c>
      <c r="CJ75" s="18">
        <v>112</v>
      </c>
      <c r="CK75" s="18">
        <v>112</v>
      </c>
      <c r="CL75" s="18">
        <v>112</v>
      </c>
      <c r="CM75" s="18">
        <v>112</v>
      </c>
      <c r="CN75" s="18">
        <v>112</v>
      </c>
      <c r="CO75" s="18">
        <v>112</v>
      </c>
      <c r="CP75" s="18">
        <v>112</v>
      </c>
      <c r="CQ75" s="18">
        <v>112</v>
      </c>
      <c r="CR75" s="18">
        <v>112</v>
      </c>
      <c r="CS75" s="18">
        <v>112</v>
      </c>
      <c r="CT75" s="18">
        <v>112</v>
      </c>
      <c r="CU75" s="18">
        <v>112</v>
      </c>
      <c r="CV75" s="18">
        <v>112</v>
      </c>
      <c r="CW75" s="18">
        <v>112</v>
      </c>
      <c r="CX75" s="18">
        <v>112</v>
      </c>
      <c r="CY75" s="18">
        <v>112</v>
      </c>
      <c r="CZ75" s="18">
        <v>112</v>
      </c>
      <c r="DA75" s="18">
        <v>112</v>
      </c>
      <c r="DB75" s="18">
        <v>112</v>
      </c>
      <c r="DC75" s="18">
        <v>112</v>
      </c>
      <c r="DD75" s="18">
        <v>112</v>
      </c>
      <c r="DE75" s="18">
        <v>112</v>
      </c>
      <c r="DF75" s="18">
        <v>112</v>
      </c>
      <c r="DG75" s="18">
        <v>112</v>
      </c>
      <c r="DH75" s="18">
        <v>112</v>
      </c>
      <c r="DI75" s="18">
        <v>112</v>
      </c>
      <c r="DJ75" s="18">
        <v>112</v>
      </c>
      <c r="DK75" s="18">
        <v>73.2</v>
      </c>
      <c r="DL75" s="18">
        <v>81.599999999999994</v>
      </c>
      <c r="DM75" s="18">
        <v>81.599999999999994</v>
      </c>
      <c r="DN75" s="18">
        <v>112</v>
      </c>
      <c r="DO75" s="18">
        <v>112</v>
      </c>
      <c r="DP75" s="18">
        <v>112</v>
      </c>
      <c r="DQ75" s="18">
        <v>112</v>
      </c>
      <c r="DR75" s="18">
        <v>112</v>
      </c>
      <c r="DS75" s="18">
        <v>112</v>
      </c>
      <c r="DT75" s="18">
        <v>112</v>
      </c>
      <c r="DU75" s="18">
        <v>112</v>
      </c>
      <c r="DV75" s="18">
        <v>112</v>
      </c>
      <c r="DW75" s="18">
        <v>112</v>
      </c>
      <c r="DX75" s="18">
        <v>112</v>
      </c>
      <c r="DY75" s="18">
        <v>116.46</v>
      </c>
      <c r="DZ75" s="18">
        <v>112</v>
      </c>
      <c r="EA75" s="18">
        <v>112</v>
      </c>
      <c r="EB75" s="18"/>
      <c r="EC75" s="18"/>
      <c r="ED75" s="18"/>
      <c r="EE75" s="18"/>
      <c r="EF75" s="18"/>
      <c r="EG75" s="18"/>
      <c r="EH75" s="18"/>
      <c r="EI75" s="18">
        <v>112</v>
      </c>
      <c r="EJ75" s="18">
        <v>112</v>
      </c>
      <c r="EK75" s="18">
        <v>112</v>
      </c>
      <c r="EL75" s="18">
        <v>112</v>
      </c>
      <c r="EM75" s="18">
        <v>112</v>
      </c>
      <c r="EN75" s="18">
        <v>112</v>
      </c>
      <c r="EO75" s="18"/>
      <c r="EP75" s="18">
        <v>116.48</v>
      </c>
      <c r="EQ75" s="18">
        <v>112</v>
      </c>
      <c r="ER75" s="18">
        <v>81.599999999999994</v>
      </c>
      <c r="ES75" s="18">
        <v>68.599999999999994</v>
      </c>
      <c r="ET75" s="18">
        <v>71.5</v>
      </c>
      <c r="EU75" s="18">
        <v>81.599999999999994</v>
      </c>
      <c r="EV75" s="18">
        <v>112</v>
      </c>
      <c r="EW75" s="18">
        <v>112</v>
      </c>
    </row>
    <row r="76" spans="1:153" ht="14" x14ac:dyDescent="0.2">
      <c r="A76" s="18" t="s">
        <v>54</v>
      </c>
      <c r="B76" s="18" t="s">
        <v>355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>
        <v>112</v>
      </c>
      <c r="AT76" s="18">
        <v>112</v>
      </c>
      <c r="AU76" s="18">
        <v>112</v>
      </c>
      <c r="AV76" s="18"/>
      <c r="AW76" s="18"/>
      <c r="AX76" s="18">
        <v>112</v>
      </c>
      <c r="AY76" s="18">
        <v>112</v>
      </c>
      <c r="AZ76" s="18">
        <v>747.04</v>
      </c>
      <c r="BA76" s="18">
        <v>896</v>
      </c>
      <c r="BB76" s="18">
        <v>896</v>
      </c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>
        <v>112</v>
      </c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>
        <f>DV75*6</f>
        <v>672</v>
      </c>
      <c r="DW76" s="18">
        <f>DW75*6</f>
        <v>672</v>
      </c>
      <c r="DX76" s="18">
        <f>DX75*6</f>
        <v>672</v>
      </c>
      <c r="DY76" s="18"/>
      <c r="DZ76" s="18"/>
      <c r="EA76" s="18"/>
      <c r="EB76" s="18">
        <v>112</v>
      </c>
      <c r="EC76" s="18">
        <v>112</v>
      </c>
      <c r="ED76" s="18">
        <v>112</v>
      </c>
      <c r="EE76" s="18">
        <v>112</v>
      </c>
      <c r="EF76" s="18"/>
      <c r="EG76" s="18"/>
      <c r="EH76" s="18"/>
      <c r="EI76" s="18"/>
      <c r="EJ76" s="18">
        <v>487.2</v>
      </c>
      <c r="EK76" s="18">
        <v>487.2</v>
      </c>
      <c r="EL76" s="18"/>
      <c r="EM76" s="18">
        <v>197.15</v>
      </c>
      <c r="EN76" s="18"/>
      <c r="EO76" s="18">
        <v>672</v>
      </c>
      <c r="EP76" s="18"/>
      <c r="EQ76" s="18"/>
      <c r="ER76" s="18"/>
      <c r="ES76" s="18"/>
      <c r="ET76" s="18"/>
      <c r="EU76" s="18"/>
      <c r="EV76" s="18"/>
      <c r="EW76" s="18"/>
    </row>
    <row r="77" spans="1:153" ht="14" x14ac:dyDescent="0.2">
      <c r="A77" s="18" t="s">
        <v>55</v>
      </c>
      <c r="B77" s="18" t="s">
        <v>355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>
        <v>71.900000000000006</v>
      </c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>
        <v>71.900000000000006</v>
      </c>
      <c r="EN77" s="18"/>
      <c r="EO77" s="18"/>
      <c r="EP77" s="18"/>
      <c r="EQ77" s="18"/>
      <c r="ER77" s="18"/>
      <c r="ES77" s="18"/>
      <c r="ET77" s="18"/>
      <c r="EU77" s="18"/>
      <c r="EV77" s="18"/>
      <c r="EW77" s="18"/>
    </row>
    <row r="78" spans="1:153" ht="14" x14ac:dyDescent="0.2">
      <c r="A78" s="18" t="s">
        <v>56</v>
      </c>
      <c r="B78" s="18" t="s">
        <v>355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>
        <v>63.1</v>
      </c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>
        <v>112</v>
      </c>
      <c r="EJ78" s="18">
        <v>487.2</v>
      </c>
      <c r="EK78" s="18">
        <v>112</v>
      </c>
      <c r="EL78" s="18">
        <v>112</v>
      </c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</row>
    <row r="79" spans="1:153" ht="14" x14ac:dyDescent="0.2">
      <c r="A79" s="18" t="s">
        <v>57</v>
      </c>
      <c r="B79" s="18" t="s">
        <v>355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</row>
    <row r="80" spans="1:153" ht="14" x14ac:dyDescent="0.2">
      <c r="A80" s="18" t="s">
        <v>58</v>
      </c>
      <c r="B80" s="18" t="s">
        <v>355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</row>
    <row r="81" spans="1:153" ht="14" x14ac:dyDescent="0.2">
      <c r="A81" s="18" t="s">
        <v>59</v>
      </c>
      <c r="B81" s="18" t="s">
        <v>355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</row>
    <row r="82" spans="1:153" ht="14" x14ac:dyDescent="0.2">
      <c r="A82" s="18" t="s">
        <v>60</v>
      </c>
      <c r="B82" s="18" t="s">
        <v>356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25">
        <v>33.878</v>
      </c>
      <c r="AV82" s="18"/>
      <c r="AW82" s="18"/>
      <c r="AX82" s="18"/>
      <c r="AY82" s="18"/>
      <c r="AZ82" s="18"/>
      <c r="BA82" s="18">
        <v>33.950000000000003</v>
      </c>
      <c r="BB82" s="18">
        <v>33.950000000000003</v>
      </c>
      <c r="BC82" s="18"/>
      <c r="BD82" s="18"/>
      <c r="BE82" s="18"/>
      <c r="BF82" s="18">
        <v>8.6920000000000002</v>
      </c>
      <c r="BG82" s="18">
        <v>8.6920000000000002</v>
      </c>
      <c r="BH82" s="18">
        <v>8.6920000000000002</v>
      </c>
      <c r="BI82" s="18">
        <v>8.6920000000000002</v>
      </c>
      <c r="BJ82" s="18">
        <v>8.6920000000000002</v>
      </c>
      <c r="BK82" s="18">
        <v>8.6920000000000002</v>
      </c>
      <c r="BL82" s="18">
        <v>34</v>
      </c>
      <c r="BM82" s="18">
        <v>34</v>
      </c>
      <c r="BN82" s="18">
        <v>34</v>
      </c>
      <c r="BO82" s="18">
        <v>34</v>
      </c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>
        <v>29.17</v>
      </c>
      <c r="CJ82" s="18">
        <v>29.17</v>
      </c>
      <c r="CK82" s="18">
        <v>33.97</v>
      </c>
      <c r="CL82" s="18">
        <v>33.97</v>
      </c>
      <c r="CM82" s="18">
        <v>33.97</v>
      </c>
      <c r="CN82" s="18">
        <v>33.97</v>
      </c>
      <c r="CO82" s="18">
        <v>33.97</v>
      </c>
      <c r="CP82" s="18">
        <v>33.97</v>
      </c>
      <c r="CQ82" s="18">
        <v>33.97</v>
      </c>
      <c r="CR82" s="18">
        <v>33.97</v>
      </c>
      <c r="CS82" s="18">
        <v>33.97</v>
      </c>
      <c r="CT82" s="18">
        <v>33.97</v>
      </c>
      <c r="CU82" s="18">
        <v>29.17</v>
      </c>
      <c r="CV82" s="18">
        <v>29.17</v>
      </c>
      <c r="CW82" s="18">
        <v>29.17</v>
      </c>
      <c r="CX82" s="18">
        <v>8.6920000000000002</v>
      </c>
      <c r="CY82" s="18">
        <v>8.6920000000000002</v>
      </c>
      <c r="CZ82" s="18">
        <v>8.6920000000000002</v>
      </c>
      <c r="DA82" s="18">
        <v>8.6920000000000002</v>
      </c>
      <c r="DB82" s="18">
        <v>8.6920000000000002</v>
      </c>
      <c r="DC82" s="18">
        <v>8.6920000000000002</v>
      </c>
      <c r="DD82" s="18">
        <v>8.6920000000000002</v>
      </c>
      <c r="DE82" s="18">
        <v>8.6920000000000002</v>
      </c>
      <c r="DF82" s="18">
        <v>8.6920000000000002</v>
      </c>
      <c r="DG82" s="18">
        <v>8.6920000000000002</v>
      </c>
      <c r="DH82" s="18">
        <v>8.6920000000000002</v>
      </c>
      <c r="DI82" s="18">
        <v>8.6920000000000002</v>
      </c>
      <c r="DJ82" s="18">
        <v>34</v>
      </c>
      <c r="DK82" s="18"/>
      <c r="DL82" s="18"/>
      <c r="DM82" s="18"/>
      <c r="DN82" s="18">
        <v>8.6920000000000002</v>
      </c>
      <c r="DO82" s="18">
        <v>8.6920000000000002</v>
      </c>
      <c r="DP82" s="18">
        <v>8.6920000000000002</v>
      </c>
      <c r="DQ82" s="18">
        <v>8.6920000000000002</v>
      </c>
      <c r="DR82" s="18">
        <v>8.6920000000000002</v>
      </c>
      <c r="DS82" s="18">
        <v>8.6920000000000002</v>
      </c>
      <c r="DT82" s="18">
        <v>8.6920000000000002</v>
      </c>
      <c r="DU82" s="18">
        <v>8.6920000000000002</v>
      </c>
      <c r="DV82" s="18">
        <v>33.951999999999998</v>
      </c>
      <c r="DW82" s="18">
        <v>33.951999999999998</v>
      </c>
      <c r="DX82" s="18">
        <v>33.951999999999998</v>
      </c>
      <c r="DY82" s="18">
        <v>30.33</v>
      </c>
      <c r="DZ82" s="18">
        <v>29.166666666666668</v>
      </c>
      <c r="EA82" s="18">
        <v>29.166666666666668</v>
      </c>
      <c r="EB82" s="18"/>
      <c r="EC82" s="18"/>
      <c r="ED82" s="18"/>
      <c r="EE82" s="18"/>
      <c r="EF82" s="18"/>
      <c r="EG82" s="18"/>
      <c r="EH82" s="18"/>
      <c r="EI82" s="18">
        <f>34.27+2.98</f>
        <v>37.25</v>
      </c>
      <c r="EJ82" s="18">
        <f t="shared" ref="EJ82:EK82" si="8">34.27+2.98</f>
        <v>37.25</v>
      </c>
      <c r="EK82" s="18">
        <f t="shared" si="8"/>
        <v>37.25</v>
      </c>
      <c r="EL82" s="18">
        <f>34.27+2.98</f>
        <v>37.25</v>
      </c>
      <c r="EM82" s="18">
        <v>9.4600000000000009</v>
      </c>
      <c r="EN82" s="18">
        <v>8.6920000000000002</v>
      </c>
      <c r="EO82" s="18"/>
      <c r="EP82" s="18">
        <v>35.33</v>
      </c>
      <c r="EQ82" s="18">
        <v>8.6920000000000002</v>
      </c>
      <c r="ER82" s="18"/>
      <c r="ES82" s="18"/>
      <c r="ET82" s="18"/>
      <c r="EU82" s="18"/>
      <c r="EV82" s="18">
        <v>37.179487000000002</v>
      </c>
      <c r="EW82" s="18">
        <v>29.166699999999999</v>
      </c>
    </row>
    <row r="83" spans="1:153" ht="14" x14ac:dyDescent="0.2">
      <c r="A83" s="18" t="s">
        <v>61</v>
      </c>
      <c r="B83" s="18" t="s">
        <v>356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25">
        <v>9.7650000000000006</v>
      </c>
      <c r="AV83" s="18"/>
      <c r="AW83" s="18"/>
      <c r="AX83" s="18">
        <f>9880/1000</f>
        <v>9.8800000000000008</v>
      </c>
      <c r="AY83" s="18">
        <f>9880/1000</f>
        <v>9.8800000000000008</v>
      </c>
      <c r="AZ83" s="18">
        <v>226.45</v>
      </c>
      <c r="BA83" s="18">
        <v>271.60000000000002</v>
      </c>
      <c r="BB83" s="18">
        <v>271.60000000000002</v>
      </c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>
        <f>DV82*6</f>
        <v>203.71199999999999</v>
      </c>
      <c r="DW83" s="18">
        <f>DW82*6</f>
        <v>203.71199999999999</v>
      </c>
      <c r="DX83" s="18">
        <f>DX82*6</f>
        <v>203.71199999999999</v>
      </c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>
        <v>162.05000000000001</v>
      </c>
      <c r="EK83" s="18">
        <v>162.05000000000001</v>
      </c>
      <c r="EL83" s="18"/>
      <c r="EM83" s="18">
        <v>44.83</v>
      </c>
      <c r="EN83" s="18"/>
      <c r="EO83" s="18">
        <v>29.988</v>
      </c>
      <c r="EP83" s="18"/>
      <c r="EQ83" s="18"/>
      <c r="ER83" s="18"/>
      <c r="ES83" s="18"/>
      <c r="ET83" s="18"/>
      <c r="EU83" s="18"/>
      <c r="EV83" s="18"/>
      <c r="EW83" s="18"/>
    </row>
    <row r="84" spans="1:153" ht="14" x14ac:dyDescent="0.2">
      <c r="A84" s="18" t="s">
        <v>62</v>
      </c>
      <c r="B84" s="18" t="s">
        <v>356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>
        <v>0</v>
      </c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>
        <v>0.76</v>
      </c>
      <c r="EN84" s="18"/>
      <c r="EO84" s="18"/>
      <c r="EP84" s="18"/>
      <c r="EQ84" s="18"/>
      <c r="ER84" s="18"/>
      <c r="ES84" s="18"/>
      <c r="ET84" s="18"/>
      <c r="EU84" s="18"/>
      <c r="EV84" s="18"/>
      <c r="EW84" s="18"/>
    </row>
    <row r="85" spans="1:153" ht="14" x14ac:dyDescent="0.2">
      <c r="A85" s="18" t="s">
        <v>319</v>
      </c>
      <c r="B85" s="18" t="s">
        <v>356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>
        <v>0</v>
      </c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</row>
    <row r="86" spans="1:153" ht="14" x14ac:dyDescent="0.2">
      <c r="A86" s="18" t="s">
        <v>63</v>
      </c>
      <c r="B86" s="18" t="s">
        <v>356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</row>
    <row r="87" spans="1:153" ht="14" x14ac:dyDescent="0.2">
      <c r="A87" s="18" t="s">
        <v>64</v>
      </c>
      <c r="B87" s="18" t="s">
        <v>356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</row>
    <row r="88" spans="1:153" ht="14" x14ac:dyDescent="0.2">
      <c r="A88" s="18" t="s">
        <v>65</v>
      </c>
      <c r="B88" s="18" t="s">
        <v>356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</row>
    <row r="89" spans="1:153" ht="14" x14ac:dyDescent="0.2">
      <c r="A89" s="18" t="s">
        <v>66</v>
      </c>
      <c r="B89" s="18" t="s">
        <v>355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</row>
    <row r="90" spans="1:153" ht="14" x14ac:dyDescent="0.2">
      <c r="A90" s="18" t="s">
        <v>67</v>
      </c>
      <c r="B90" s="18" t="s">
        <v>357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</row>
    <row r="91" spans="1:153" ht="14" x14ac:dyDescent="0.2">
      <c r="A91" s="18" t="s">
        <v>68</v>
      </c>
      <c r="B91" s="18" t="s">
        <v>358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</row>
    <row r="92" spans="1:153" ht="14" x14ac:dyDescent="0.2">
      <c r="A92" s="18" t="s">
        <v>69</v>
      </c>
      <c r="B92" s="18" t="s">
        <v>355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</row>
    <row r="93" spans="1:153" ht="14" x14ac:dyDescent="0.2">
      <c r="A93" s="18" t="s">
        <v>70</v>
      </c>
      <c r="B93" s="18" t="s">
        <v>357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</row>
    <row r="94" spans="1:153" ht="14" x14ac:dyDescent="0.2">
      <c r="A94" s="18" t="s">
        <v>71</v>
      </c>
      <c r="B94" s="18" t="s">
        <v>358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</row>
    <row r="95" spans="1:153" ht="14" x14ac:dyDescent="0.2">
      <c r="A95" s="18" t="s">
        <v>72</v>
      </c>
      <c r="B95" s="18" t="s">
        <v>355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</row>
    <row r="96" spans="1:153" ht="14" x14ac:dyDescent="0.2">
      <c r="A96" s="18" t="s">
        <v>73</v>
      </c>
      <c r="B96" s="18" t="s">
        <v>357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</row>
    <row r="97" spans="1:153" ht="14" x14ac:dyDescent="0.2">
      <c r="A97" s="18" t="s">
        <v>74</v>
      </c>
      <c r="B97" s="18" t="s">
        <v>358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</row>
    <row r="98" spans="1:153" ht="14" x14ac:dyDescent="0.2">
      <c r="A98" s="18" t="s">
        <v>75</v>
      </c>
      <c r="B98" s="18" t="s">
        <v>355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</row>
    <row r="99" spans="1:153" ht="14" x14ac:dyDescent="0.2">
      <c r="A99" s="18" t="s">
        <v>76</v>
      </c>
      <c r="B99" s="18" t="s">
        <v>357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</row>
    <row r="100" spans="1:153" ht="14" x14ac:dyDescent="0.2">
      <c r="A100" s="18" t="s">
        <v>77</v>
      </c>
      <c r="B100" s="18" t="s">
        <v>358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</row>
    <row r="101" spans="1:153" ht="14" x14ac:dyDescent="0.2">
      <c r="A101" s="18" t="s">
        <v>78</v>
      </c>
      <c r="B101" s="18" t="s">
        <v>355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</row>
    <row r="102" spans="1:153" ht="14" x14ac:dyDescent="0.2">
      <c r="A102" s="18" t="s">
        <v>79</v>
      </c>
      <c r="B102" s="18" t="s">
        <v>357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</row>
    <row r="103" spans="1:153" ht="14" x14ac:dyDescent="0.2">
      <c r="A103" s="18" t="s">
        <v>80</v>
      </c>
      <c r="B103" s="18" t="s">
        <v>358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</row>
    <row r="104" spans="1:153" ht="14" x14ac:dyDescent="0.2">
      <c r="A104" s="18" t="s">
        <v>81</v>
      </c>
      <c r="B104" s="18" t="s">
        <v>355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</row>
    <row r="105" spans="1:153" ht="14" x14ac:dyDescent="0.2">
      <c r="A105" s="18" t="s">
        <v>82</v>
      </c>
      <c r="B105" s="18" t="s">
        <v>357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</row>
    <row r="106" spans="1:153" ht="14" x14ac:dyDescent="0.2">
      <c r="A106" s="18" t="s">
        <v>83</v>
      </c>
      <c r="B106" s="18" t="s">
        <v>358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</row>
    <row r="107" spans="1:153" ht="14" x14ac:dyDescent="0.2">
      <c r="A107" s="18" t="s">
        <v>84</v>
      </c>
      <c r="B107" s="18" t="s">
        <v>355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</row>
    <row r="108" spans="1:153" ht="14" x14ac:dyDescent="0.2">
      <c r="A108" s="18" t="s">
        <v>85</v>
      </c>
      <c r="B108" s="18" t="s">
        <v>357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</row>
    <row r="109" spans="1:153" ht="14" x14ac:dyDescent="0.2">
      <c r="A109" s="18" t="s">
        <v>86</v>
      </c>
      <c r="B109" s="18" t="s">
        <v>358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</row>
    <row r="110" spans="1:153" ht="14" x14ac:dyDescent="0.2">
      <c r="A110" s="18" t="s">
        <v>87</v>
      </c>
      <c r="B110" s="18" t="s">
        <v>355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</row>
    <row r="111" spans="1:153" ht="14" x14ac:dyDescent="0.2">
      <c r="A111" s="18" t="s">
        <v>88</v>
      </c>
      <c r="B111" s="18" t="s">
        <v>357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</row>
    <row r="112" spans="1:153" ht="14" x14ac:dyDescent="0.2">
      <c r="A112" s="18" t="s">
        <v>89</v>
      </c>
      <c r="B112" s="18" t="s">
        <v>358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</row>
    <row r="113" spans="1:153" ht="14" x14ac:dyDescent="0.2">
      <c r="A113" s="18" t="s">
        <v>90</v>
      </c>
      <c r="B113" s="18" t="s">
        <v>355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>
        <v>61.08</v>
      </c>
      <c r="AT113" s="18">
        <v>61.08</v>
      </c>
      <c r="AU113" s="25">
        <f>28809.6/(AU39*AU70*0.0156/0.0296/1000*AU22*AU20)/AU17/0.15*0.208</f>
        <v>305.54875747030849</v>
      </c>
      <c r="AV113" s="18"/>
      <c r="AW113" s="18"/>
      <c r="AX113" s="18">
        <v>61.08</v>
      </c>
      <c r="AY113" s="18">
        <v>61.08</v>
      </c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</row>
    <row r="114" spans="1:153" ht="14" x14ac:dyDescent="0.2">
      <c r="A114" s="18" t="s">
        <v>91</v>
      </c>
      <c r="B114" s="18" t="s">
        <v>357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</row>
    <row r="115" spans="1:153" ht="14" x14ac:dyDescent="0.2">
      <c r="A115" s="18" t="s">
        <v>92</v>
      </c>
      <c r="B115" s="18" t="s">
        <v>358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</row>
    <row r="116" spans="1:153" ht="14" x14ac:dyDescent="0.2">
      <c r="A116" s="18" t="s">
        <v>93</v>
      </c>
      <c r="B116" s="18" t="s">
        <v>355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</row>
    <row r="117" spans="1:153" ht="14" x14ac:dyDescent="0.2">
      <c r="A117" s="18" t="s">
        <v>94</v>
      </c>
      <c r="B117" s="18" t="s">
        <v>357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</row>
    <row r="118" spans="1:153" ht="14" x14ac:dyDescent="0.2">
      <c r="A118" s="18" t="s">
        <v>95</v>
      </c>
      <c r="B118" s="18" t="s">
        <v>358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</row>
    <row r="119" spans="1:153" ht="14" x14ac:dyDescent="0.2">
      <c r="A119" s="18" t="s">
        <v>96</v>
      </c>
      <c r="B119" s="18" t="s">
        <v>355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</row>
    <row r="120" spans="1:153" ht="14" x14ac:dyDescent="0.2">
      <c r="A120" s="18" t="s">
        <v>97</v>
      </c>
      <c r="B120" s="18" t="s">
        <v>357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</row>
    <row r="121" spans="1:153" ht="14" x14ac:dyDescent="0.2">
      <c r="A121" s="18" t="s">
        <v>98</v>
      </c>
      <c r="B121" s="18" t="s">
        <v>358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</row>
    <row r="122" spans="1:153" ht="14" x14ac:dyDescent="0.2">
      <c r="A122" s="18" t="s">
        <v>99</v>
      </c>
      <c r="B122" s="18" t="s">
        <v>355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</row>
    <row r="123" spans="1:153" ht="14" x14ac:dyDescent="0.2">
      <c r="A123" s="18" t="s">
        <v>100</v>
      </c>
      <c r="B123" s="18" t="s">
        <v>357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</row>
    <row r="124" spans="1:153" ht="14" x14ac:dyDescent="0.2">
      <c r="A124" s="18" t="s">
        <v>101</v>
      </c>
      <c r="B124" s="18" t="s">
        <v>358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</row>
    <row r="125" spans="1:153" ht="14" x14ac:dyDescent="0.2">
      <c r="A125" s="18" t="s">
        <v>102</v>
      </c>
      <c r="B125" s="18" t="s">
        <v>355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</row>
    <row r="126" spans="1:153" ht="14" x14ac:dyDescent="0.2">
      <c r="A126" s="18" t="s">
        <v>103</v>
      </c>
      <c r="B126" s="18" t="s">
        <v>357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</row>
    <row r="127" spans="1:153" ht="14" x14ac:dyDescent="0.2">
      <c r="A127" s="18" t="s">
        <v>104</v>
      </c>
      <c r="B127" s="18" t="s">
        <v>358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</row>
    <row r="128" spans="1:153" ht="14" x14ac:dyDescent="0.2">
      <c r="A128" s="18" t="s">
        <v>105</v>
      </c>
      <c r="B128" s="18" t="s">
        <v>355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</row>
    <row r="129" spans="1:153" ht="14" x14ac:dyDescent="0.2">
      <c r="A129" s="18" t="s">
        <v>106</v>
      </c>
      <c r="B129" s="18" t="s">
        <v>357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8"/>
    </row>
    <row r="130" spans="1:153" ht="14" x14ac:dyDescent="0.2">
      <c r="A130" s="18" t="s">
        <v>107</v>
      </c>
      <c r="B130" s="18" t="s">
        <v>358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</row>
    <row r="131" spans="1:153" ht="14" x14ac:dyDescent="0.2">
      <c r="A131" s="18" t="s">
        <v>108</v>
      </c>
      <c r="B131" s="18" t="s">
        <v>355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</row>
    <row r="132" spans="1:153" ht="14" x14ac:dyDescent="0.2">
      <c r="A132" s="18" t="s">
        <v>109</v>
      </c>
      <c r="B132" s="18" t="s">
        <v>357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</row>
    <row r="133" spans="1:153" ht="14" x14ac:dyDescent="0.2">
      <c r="A133" s="18" t="s">
        <v>110</v>
      </c>
      <c r="B133" s="18" t="s">
        <v>358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</row>
    <row r="134" spans="1:153" ht="14" x14ac:dyDescent="0.2">
      <c r="A134" s="18" t="s">
        <v>111</v>
      </c>
      <c r="B134" s="18" t="s">
        <v>355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</row>
    <row r="135" spans="1:153" ht="14" x14ac:dyDescent="0.2">
      <c r="A135" s="18" t="s">
        <v>112</v>
      </c>
      <c r="B135" s="18" t="s">
        <v>357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</row>
    <row r="136" spans="1:153" ht="14" x14ac:dyDescent="0.2">
      <c r="A136" s="18" t="s">
        <v>113</v>
      </c>
      <c r="B136" s="18" t="s">
        <v>358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18"/>
      <c r="EU136" s="18"/>
      <c r="EV136" s="18"/>
      <c r="EW136" s="18"/>
    </row>
    <row r="137" spans="1:153" ht="14" x14ac:dyDescent="0.2">
      <c r="A137" s="18" t="s">
        <v>114</v>
      </c>
      <c r="B137" s="18" t="s">
        <v>355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  <c r="EJ137" s="18"/>
      <c r="EK137" s="18"/>
      <c r="EL137" s="18"/>
      <c r="EM137" s="18"/>
      <c r="EN137" s="18"/>
      <c r="EO137" s="18"/>
      <c r="EP137" s="18"/>
      <c r="EQ137" s="18"/>
      <c r="ER137" s="18"/>
      <c r="ES137" s="18"/>
      <c r="ET137" s="18"/>
      <c r="EU137" s="18"/>
      <c r="EV137" s="18"/>
      <c r="EW137" s="18"/>
    </row>
    <row r="138" spans="1:153" ht="14" x14ac:dyDescent="0.2">
      <c r="A138" s="18" t="s">
        <v>115</v>
      </c>
      <c r="B138" s="18" t="s">
        <v>357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</row>
    <row r="139" spans="1:153" ht="14" x14ac:dyDescent="0.2">
      <c r="A139" s="18" t="s">
        <v>116</v>
      </c>
      <c r="B139" s="18" t="s">
        <v>358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</row>
    <row r="140" spans="1:153" ht="14" x14ac:dyDescent="0.2">
      <c r="A140" s="18" t="s">
        <v>117</v>
      </c>
      <c r="B140" s="18" t="s">
        <v>355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</row>
    <row r="141" spans="1:153" ht="14" x14ac:dyDescent="0.2">
      <c r="A141" s="18" t="s">
        <v>118</v>
      </c>
      <c r="B141" s="18" t="s">
        <v>357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</row>
    <row r="142" spans="1:153" ht="14" x14ac:dyDescent="0.2">
      <c r="A142" s="18" t="s">
        <v>119</v>
      </c>
      <c r="B142" s="18" t="s">
        <v>358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</row>
    <row r="143" spans="1:153" ht="14" x14ac:dyDescent="0.2">
      <c r="A143" s="18" t="s">
        <v>120</v>
      </c>
      <c r="B143" s="18" t="s">
        <v>355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  <c r="EJ143" s="18"/>
      <c r="EK143" s="18"/>
      <c r="EL143" s="18"/>
      <c r="EM143" s="18"/>
      <c r="EN143" s="18"/>
      <c r="EO143" s="18"/>
      <c r="EP143" s="18"/>
      <c r="EQ143" s="18"/>
      <c r="ER143" s="18"/>
      <c r="ES143" s="18"/>
      <c r="ET143" s="18"/>
      <c r="EU143" s="18"/>
      <c r="EV143" s="18"/>
      <c r="EW143" s="18"/>
    </row>
    <row r="144" spans="1:153" ht="14" x14ac:dyDescent="0.2">
      <c r="A144" s="18" t="s">
        <v>121</v>
      </c>
      <c r="B144" s="18" t="s">
        <v>357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</row>
    <row r="145" spans="1:153" ht="14" x14ac:dyDescent="0.2">
      <c r="A145" s="18" t="s">
        <v>122</v>
      </c>
      <c r="B145" s="18" t="s">
        <v>358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</row>
    <row r="146" spans="1:153" ht="14" x14ac:dyDescent="0.2">
      <c r="A146" s="18" t="s">
        <v>123</v>
      </c>
      <c r="B146" s="18" t="s">
        <v>355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  <c r="ER146" s="18"/>
      <c r="ES146" s="18"/>
      <c r="ET146" s="18"/>
      <c r="EU146" s="18"/>
      <c r="EV146" s="18"/>
      <c r="EW146" s="18"/>
    </row>
    <row r="147" spans="1:153" ht="14" x14ac:dyDescent="0.2">
      <c r="A147" s="18" t="s">
        <v>124</v>
      </c>
      <c r="B147" s="18" t="s">
        <v>357</v>
      </c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</row>
    <row r="148" spans="1:153" ht="14" x14ac:dyDescent="0.2">
      <c r="A148" s="18" t="s">
        <v>125</v>
      </c>
      <c r="B148" s="18" t="s">
        <v>358</v>
      </c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</row>
    <row r="149" spans="1:153" ht="14" x14ac:dyDescent="0.2">
      <c r="A149" s="18" t="s">
        <v>126</v>
      </c>
      <c r="B149" s="18" t="s">
        <v>355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</row>
    <row r="150" spans="1:153" ht="14" x14ac:dyDescent="0.2">
      <c r="A150" s="18" t="s">
        <v>127</v>
      </c>
      <c r="B150" s="18" t="s">
        <v>357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</row>
    <row r="151" spans="1:153" ht="14" x14ac:dyDescent="0.2">
      <c r="A151" s="18" t="s">
        <v>128</v>
      </c>
      <c r="B151" s="18" t="s">
        <v>358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</row>
    <row r="152" spans="1:153" ht="14" x14ac:dyDescent="0.2">
      <c r="A152" s="18" t="s">
        <v>129</v>
      </c>
      <c r="B152" s="18" t="s">
        <v>355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</row>
    <row r="153" spans="1:153" ht="14" x14ac:dyDescent="0.2">
      <c r="A153" s="18" t="s">
        <v>130</v>
      </c>
      <c r="B153" s="18" t="s">
        <v>357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</row>
    <row r="154" spans="1:153" ht="14" x14ac:dyDescent="0.2">
      <c r="A154" s="18" t="s">
        <v>131</v>
      </c>
      <c r="B154" s="18" t="s">
        <v>358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</row>
    <row r="155" spans="1:153" ht="14" x14ac:dyDescent="0.2">
      <c r="A155" s="18" t="s">
        <v>132</v>
      </c>
      <c r="B155" s="18" t="s">
        <v>355</v>
      </c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</row>
    <row r="156" spans="1:153" ht="14" x14ac:dyDescent="0.2">
      <c r="A156" s="18" t="s">
        <v>133</v>
      </c>
      <c r="B156" s="18" t="s">
        <v>357</v>
      </c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</row>
    <row r="157" spans="1:153" ht="14" x14ac:dyDescent="0.2">
      <c r="A157" s="18" t="s">
        <v>134</v>
      </c>
      <c r="B157" s="18" t="s">
        <v>358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</row>
    <row r="158" spans="1:153" ht="14" x14ac:dyDescent="0.2">
      <c r="A158" s="18" t="s">
        <v>135</v>
      </c>
      <c r="B158" s="18" t="s">
        <v>355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8"/>
      <c r="EK158" s="18"/>
      <c r="EL158" s="18"/>
      <c r="EM158" s="18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</row>
    <row r="159" spans="1:153" ht="14" x14ac:dyDescent="0.2">
      <c r="A159" s="18" t="s">
        <v>136</v>
      </c>
      <c r="B159" s="18" t="s">
        <v>357</v>
      </c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</row>
    <row r="160" spans="1:153" ht="14" x14ac:dyDescent="0.2">
      <c r="A160" s="18" t="s">
        <v>137</v>
      </c>
      <c r="B160" s="18" t="s">
        <v>358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</row>
    <row r="161" spans="1:153" ht="14" x14ac:dyDescent="0.2">
      <c r="A161" s="18" t="s">
        <v>138</v>
      </c>
      <c r="B161" s="18" t="s">
        <v>355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</row>
    <row r="162" spans="1:153" ht="14" x14ac:dyDescent="0.2">
      <c r="A162" s="18" t="s">
        <v>139</v>
      </c>
      <c r="B162" s="18" t="s">
        <v>357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</row>
    <row r="163" spans="1:153" ht="14" x14ac:dyDescent="0.2">
      <c r="A163" s="18" t="s">
        <v>140</v>
      </c>
      <c r="B163" s="18" t="s">
        <v>358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</row>
    <row r="164" spans="1:153" ht="14" x14ac:dyDescent="0.2">
      <c r="A164" s="18" t="s">
        <v>141</v>
      </c>
      <c r="B164" s="18" t="s">
        <v>355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</row>
    <row r="165" spans="1:153" ht="14" x14ac:dyDescent="0.2">
      <c r="A165" s="18" t="s">
        <v>142</v>
      </c>
      <c r="B165" s="18" t="s">
        <v>357</v>
      </c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  <c r="EJ165" s="18"/>
      <c r="EK165" s="18"/>
      <c r="EL165" s="18"/>
      <c r="EM165" s="18"/>
      <c r="EN165" s="18"/>
      <c r="EO165" s="18"/>
      <c r="EP165" s="18"/>
      <c r="EQ165" s="18"/>
      <c r="ER165" s="18"/>
      <c r="ES165" s="18"/>
      <c r="ET165" s="18"/>
      <c r="EU165" s="18"/>
      <c r="EV165" s="18"/>
      <c r="EW165" s="18"/>
    </row>
    <row r="166" spans="1:153" ht="14" x14ac:dyDescent="0.2">
      <c r="A166" s="18" t="s">
        <v>143</v>
      </c>
      <c r="B166" s="18" t="s">
        <v>358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</row>
    <row r="167" spans="1:153" ht="14" x14ac:dyDescent="0.2">
      <c r="A167" s="18" t="s">
        <v>144</v>
      </c>
      <c r="B167" s="18" t="s">
        <v>355</v>
      </c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  <c r="EJ167" s="18"/>
      <c r="EK167" s="18"/>
      <c r="EL167" s="18"/>
      <c r="EM167" s="18"/>
      <c r="EN167" s="18"/>
      <c r="EO167" s="18"/>
      <c r="EP167" s="18"/>
      <c r="EQ167" s="18"/>
      <c r="ER167" s="18"/>
      <c r="ES167" s="18"/>
      <c r="ET167" s="18"/>
      <c r="EU167" s="18"/>
      <c r="EV167" s="18"/>
      <c r="EW167" s="18"/>
    </row>
    <row r="168" spans="1:153" ht="14" x14ac:dyDescent="0.2">
      <c r="A168" s="18" t="s">
        <v>145</v>
      </c>
      <c r="B168" s="18" t="s">
        <v>357</v>
      </c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</row>
    <row r="169" spans="1:153" ht="14" x14ac:dyDescent="0.2">
      <c r="A169" s="18" t="s">
        <v>146</v>
      </c>
      <c r="B169" s="18" t="s">
        <v>358</v>
      </c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  <c r="EJ169" s="18"/>
      <c r="EK169" s="18"/>
      <c r="EL169" s="18"/>
      <c r="EM169" s="18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</row>
    <row r="170" spans="1:153" ht="14" x14ac:dyDescent="0.2">
      <c r="A170" s="18" t="s">
        <v>147</v>
      </c>
      <c r="B170" s="18" t="s">
        <v>355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</row>
    <row r="171" spans="1:153" ht="14" x14ac:dyDescent="0.2">
      <c r="A171" s="18" t="s">
        <v>148</v>
      </c>
      <c r="B171" s="18" t="s">
        <v>357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  <c r="ER171" s="18"/>
      <c r="ES171" s="18"/>
      <c r="ET171" s="18"/>
      <c r="EU171" s="18"/>
      <c r="EV171" s="18"/>
      <c r="EW171" s="18"/>
    </row>
    <row r="172" spans="1:153" ht="14" x14ac:dyDescent="0.2">
      <c r="A172" s="18" t="s">
        <v>149</v>
      </c>
      <c r="B172" s="18" t="s">
        <v>358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</row>
    <row r="173" spans="1:153" ht="14" x14ac:dyDescent="0.2">
      <c r="A173" s="18" t="s">
        <v>328</v>
      </c>
      <c r="B173" s="18" t="s">
        <v>345</v>
      </c>
      <c r="C173" s="18">
        <v>1</v>
      </c>
      <c r="D173" s="18">
        <v>1</v>
      </c>
      <c r="E173" s="18">
        <v>1</v>
      </c>
      <c r="F173" s="18">
        <v>1</v>
      </c>
      <c r="G173" s="18">
        <v>1</v>
      </c>
      <c r="H173" s="18">
        <v>1</v>
      </c>
      <c r="I173" s="18">
        <v>1</v>
      </c>
      <c r="J173" s="18">
        <v>1</v>
      </c>
      <c r="K173" s="18">
        <v>1</v>
      </c>
      <c r="L173" s="18">
        <v>1</v>
      </c>
      <c r="M173" s="18">
        <v>1</v>
      </c>
      <c r="N173" s="18">
        <v>1</v>
      </c>
      <c r="O173" s="18">
        <v>1</v>
      </c>
      <c r="P173" s="18">
        <v>1</v>
      </c>
      <c r="Q173" s="18">
        <v>1</v>
      </c>
      <c r="R173" s="18">
        <v>1</v>
      </c>
      <c r="S173" s="18">
        <v>1</v>
      </c>
      <c r="T173" s="18">
        <v>1</v>
      </c>
      <c r="U173" s="18">
        <v>1</v>
      </c>
      <c r="V173" s="18">
        <v>1</v>
      </c>
      <c r="W173" s="18">
        <v>1</v>
      </c>
      <c r="X173" s="18">
        <v>1</v>
      </c>
      <c r="Y173" s="18">
        <v>1</v>
      </c>
      <c r="Z173" s="18">
        <v>1</v>
      </c>
      <c r="AA173" s="18">
        <v>1</v>
      </c>
      <c r="AB173" s="18">
        <v>1</v>
      </c>
      <c r="AC173" s="18">
        <v>1</v>
      </c>
      <c r="AD173" s="18">
        <v>1</v>
      </c>
      <c r="AE173" s="18">
        <v>1</v>
      </c>
      <c r="AF173" s="18">
        <v>1</v>
      </c>
      <c r="AG173" s="18">
        <v>1</v>
      </c>
      <c r="AH173" s="18">
        <v>1</v>
      </c>
      <c r="AI173" s="18">
        <v>1</v>
      </c>
      <c r="AJ173" s="18">
        <v>1</v>
      </c>
      <c r="AK173" s="18">
        <v>1</v>
      </c>
      <c r="AL173" s="18">
        <v>1</v>
      </c>
      <c r="AM173" s="18">
        <v>1</v>
      </c>
      <c r="AN173" s="18">
        <v>1</v>
      </c>
      <c r="AO173" s="18">
        <v>1</v>
      </c>
      <c r="AP173" s="18">
        <v>1</v>
      </c>
      <c r="AQ173" s="18">
        <v>1</v>
      </c>
      <c r="AR173" s="18">
        <v>1</v>
      </c>
      <c r="AS173" s="18"/>
      <c r="AT173" s="18"/>
      <c r="AU173" s="18"/>
      <c r="AV173" s="18"/>
      <c r="AW173" s="18"/>
      <c r="AX173" s="18"/>
      <c r="AY173" s="18"/>
      <c r="AZ173" s="18"/>
      <c r="BA173" s="18">
        <v>0.48099999999999998</v>
      </c>
      <c r="BB173" s="18"/>
      <c r="BC173" s="18">
        <v>1</v>
      </c>
      <c r="BD173" s="18">
        <v>1</v>
      </c>
      <c r="BE173" s="18">
        <v>1</v>
      </c>
      <c r="BF173" s="18">
        <v>1</v>
      </c>
      <c r="BG173" s="18">
        <v>1</v>
      </c>
      <c r="BH173" s="18">
        <v>1</v>
      </c>
      <c r="BI173" s="18">
        <v>1</v>
      </c>
      <c r="BJ173" s="18">
        <v>1</v>
      </c>
      <c r="BK173" s="18">
        <v>1</v>
      </c>
      <c r="BL173" s="18">
        <v>1</v>
      </c>
      <c r="BM173" s="18">
        <v>1</v>
      </c>
      <c r="BN173" s="18">
        <v>1</v>
      </c>
      <c r="BO173" s="18">
        <v>1</v>
      </c>
      <c r="BP173" s="18">
        <v>1</v>
      </c>
      <c r="BQ173" s="18">
        <v>1</v>
      </c>
      <c r="BR173" s="18">
        <v>1</v>
      </c>
      <c r="BS173" s="18">
        <v>1</v>
      </c>
      <c r="BT173" s="18">
        <v>1</v>
      </c>
      <c r="BU173" s="18">
        <v>1</v>
      </c>
      <c r="BV173" s="18">
        <v>1</v>
      </c>
      <c r="BW173" s="18">
        <v>1</v>
      </c>
      <c r="BX173" s="18">
        <v>1</v>
      </c>
      <c r="BY173" s="18">
        <v>1</v>
      </c>
      <c r="BZ173" s="18">
        <v>1</v>
      </c>
      <c r="CA173" s="18">
        <v>1</v>
      </c>
      <c r="CB173" s="18">
        <v>1</v>
      </c>
      <c r="CC173" s="18">
        <v>1</v>
      </c>
      <c r="CD173" s="18">
        <v>1</v>
      </c>
      <c r="CE173" s="18">
        <v>1</v>
      </c>
      <c r="CF173" s="18">
        <v>1</v>
      </c>
      <c r="CG173" s="18">
        <v>1</v>
      </c>
      <c r="CH173" s="18">
        <v>1</v>
      </c>
      <c r="CI173" s="18">
        <v>1</v>
      </c>
      <c r="CJ173" s="18">
        <v>1</v>
      </c>
      <c r="CK173" s="18">
        <v>1</v>
      </c>
      <c r="CL173" s="18">
        <v>1</v>
      </c>
      <c r="CM173" s="18">
        <v>1</v>
      </c>
      <c r="CN173" s="18">
        <v>1</v>
      </c>
      <c r="CO173" s="18">
        <v>1</v>
      </c>
      <c r="CP173" s="18">
        <v>1</v>
      </c>
      <c r="CQ173" s="18">
        <v>1</v>
      </c>
      <c r="CR173" s="18">
        <v>1</v>
      </c>
      <c r="CS173" s="18">
        <v>1</v>
      </c>
      <c r="CT173" s="18">
        <v>1</v>
      </c>
      <c r="CU173" s="18">
        <v>1</v>
      </c>
      <c r="CV173" s="18">
        <v>1</v>
      </c>
      <c r="CW173" s="18">
        <v>1</v>
      </c>
      <c r="CX173" s="18">
        <v>1</v>
      </c>
      <c r="CY173" s="18">
        <v>1</v>
      </c>
      <c r="CZ173" s="18">
        <v>1</v>
      </c>
      <c r="DA173" s="18">
        <v>1</v>
      </c>
      <c r="DB173" s="18">
        <v>1</v>
      </c>
      <c r="DC173" s="18">
        <v>1</v>
      </c>
      <c r="DD173" s="18">
        <v>1</v>
      </c>
      <c r="DE173" s="18">
        <v>1</v>
      </c>
      <c r="DF173" s="18">
        <v>1</v>
      </c>
      <c r="DG173" s="18">
        <v>1</v>
      </c>
      <c r="DH173" s="18">
        <v>1</v>
      </c>
      <c r="DI173" s="18">
        <v>1</v>
      </c>
      <c r="DJ173" s="18">
        <v>1</v>
      </c>
      <c r="DK173" s="18">
        <v>0</v>
      </c>
      <c r="DL173" s="18">
        <v>0</v>
      </c>
      <c r="DM173" s="18">
        <v>0</v>
      </c>
      <c r="DN173" s="18">
        <v>1</v>
      </c>
      <c r="DO173" s="18">
        <v>1</v>
      </c>
      <c r="DP173" s="18">
        <v>1</v>
      </c>
      <c r="DQ173" s="18">
        <v>1</v>
      </c>
      <c r="DR173" s="18">
        <v>1</v>
      </c>
      <c r="DS173" s="18">
        <v>1</v>
      </c>
      <c r="DT173" s="18">
        <v>1</v>
      </c>
      <c r="DU173" s="18">
        <v>1</v>
      </c>
      <c r="DV173" s="18">
        <v>1</v>
      </c>
      <c r="DW173" s="18">
        <v>1</v>
      </c>
      <c r="DX173" s="18">
        <v>1</v>
      </c>
      <c r="DY173" s="18">
        <v>1</v>
      </c>
      <c r="DZ173" s="18">
        <v>1</v>
      </c>
      <c r="EA173" s="18">
        <v>1</v>
      </c>
      <c r="EB173" s="18"/>
      <c r="EC173" s="18"/>
      <c r="ED173" s="18"/>
      <c r="EE173" s="18"/>
      <c r="EF173" s="18"/>
      <c r="EG173" s="18"/>
      <c r="EH173" s="18"/>
      <c r="EI173" s="18">
        <v>1</v>
      </c>
      <c r="EJ173" s="18">
        <v>1</v>
      </c>
      <c r="EK173" s="18"/>
      <c r="EL173" s="18">
        <v>1</v>
      </c>
      <c r="EM173" s="18"/>
      <c r="EN173" s="18">
        <v>1</v>
      </c>
      <c r="EO173" s="18"/>
      <c r="EP173" s="18">
        <v>1</v>
      </c>
      <c r="EQ173" s="18">
        <v>1</v>
      </c>
      <c r="ER173" s="18">
        <v>1</v>
      </c>
      <c r="ES173" s="18">
        <v>1</v>
      </c>
      <c r="ET173" s="18">
        <v>1</v>
      </c>
      <c r="EU173" s="18">
        <v>1</v>
      </c>
      <c r="EV173" s="18">
        <v>1</v>
      </c>
      <c r="EW173" s="18">
        <v>1</v>
      </c>
    </row>
    <row r="174" spans="1:153" ht="14" x14ac:dyDescent="0.2">
      <c r="A174" s="18" t="s">
        <v>329</v>
      </c>
      <c r="B174" s="18" t="s">
        <v>345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>
        <v>1</v>
      </c>
      <c r="AT174" s="18">
        <v>1</v>
      </c>
      <c r="AU174" s="18"/>
      <c r="AV174" s="18"/>
      <c r="AW174" s="18"/>
      <c r="AX174" s="18">
        <v>1</v>
      </c>
      <c r="AY174" s="18">
        <v>1</v>
      </c>
      <c r="AZ174" s="18">
        <v>1</v>
      </c>
      <c r="BA174" s="18"/>
      <c r="BB174" s="18">
        <v>0.51900000000000002</v>
      </c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>
        <v>1</v>
      </c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>
        <v>1</v>
      </c>
      <c r="DW174" s="18">
        <v>1</v>
      </c>
      <c r="DX174" s="18">
        <v>1</v>
      </c>
      <c r="DY174" s="18"/>
      <c r="DZ174" s="18"/>
      <c r="EA174" s="18"/>
      <c r="EB174" s="18">
        <v>1</v>
      </c>
      <c r="EC174" s="18">
        <v>1</v>
      </c>
      <c r="ED174" s="18">
        <v>1</v>
      </c>
      <c r="EE174" s="18">
        <v>1</v>
      </c>
      <c r="EF174" s="18"/>
      <c r="EG174" s="18"/>
      <c r="EH174" s="18"/>
      <c r="EI174" s="18"/>
      <c r="EJ174" s="18">
        <v>1</v>
      </c>
      <c r="EK174" s="18"/>
      <c r="EL174" s="18"/>
      <c r="EM174" s="18"/>
      <c r="EN174" s="18"/>
      <c r="EO174" s="18">
        <v>1</v>
      </c>
      <c r="EP174" s="18"/>
      <c r="EQ174" s="18"/>
      <c r="ER174" s="18"/>
      <c r="ES174" s="18"/>
      <c r="ET174" s="18"/>
      <c r="EU174" s="18"/>
      <c r="EV174" s="18"/>
      <c r="EW174" s="18"/>
    </row>
    <row r="175" spans="1:153" ht="14" x14ac:dyDescent="0.2">
      <c r="A175" s="18" t="s">
        <v>330</v>
      </c>
      <c r="B175" s="18" t="s">
        <v>345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1</v>
      </c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  <c r="EJ175" s="18"/>
      <c r="EK175" s="18"/>
      <c r="EL175" s="18"/>
      <c r="EM175" s="18"/>
      <c r="EN175" s="18"/>
      <c r="EO175" s="18"/>
      <c r="EP175" s="18"/>
      <c r="EQ175" s="18"/>
      <c r="ER175" s="18"/>
      <c r="ES175" s="18"/>
      <c r="ET175" s="18"/>
      <c r="EU175" s="18"/>
      <c r="EV175" s="18"/>
      <c r="EW175" s="18"/>
    </row>
    <row r="176" spans="1:153" ht="14" x14ac:dyDescent="0.2">
      <c r="A176" s="18" t="s">
        <v>331</v>
      </c>
      <c r="B176" s="18" t="s">
        <v>345</v>
      </c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>
        <v>1</v>
      </c>
      <c r="AV176" s="18"/>
      <c r="AW176" s="18"/>
      <c r="AX176" s="18"/>
      <c r="AY176" s="18"/>
      <c r="AZ176" s="18">
        <v>1</v>
      </c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>
        <v>1</v>
      </c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>
        <v>1</v>
      </c>
      <c r="EJ176" s="18">
        <v>1</v>
      </c>
      <c r="EK176" s="18">
        <v>1</v>
      </c>
      <c r="EL176" s="18">
        <v>1</v>
      </c>
      <c r="EM176" s="18">
        <v>1</v>
      </c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</row>
    <row r="177" spans="1:153" ht="14" x14ac:dyDescent="0.2">
      <c r="A177" s="18" t="s">
        <v>332</v>
      </c>
      <c r="B177" s="18" t="s">
        <v>345</v>
      </c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>
        <v>1</v>
      </c>
      <c r="AW177" s="18">
        <v>1</v>
      </c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>
        <v>1</v>
      </c>
      <c r="DL177" s="18">
        <v>1</v>
      </c>
      <c r="DM177" s="18">
        <v>1</v>
      </c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</row>
    <row r="178" spans="1:153" ht="14" x14ac:dyDescent="0.2">
      <c r="A178" s="18" t="s">
        <v>333</v>
      </c>
      <c r="B178" s="18" t="s">
        <v>345</v>
      </c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</row>
    <row r="179" spans="1:153" ht="14" x14ac:dyDescent="0.2">
      <c r="A179" s="18" t="s">
        <v>334</v>
      </c>
      <c r="B179" s="18" t="s">
        <v>345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>
        <v>1</v>
      </c>
      <c r="EG179" s="18">
        <v>1</v>
      </c>
      <c r="EH179" s="18">
        <v>1</v>
      </c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</row>
    <row r="180" spans="1:153" ht="14" x14ac:dyDescent="0.2">
      <c r="A180" s="18" t="s">
        <v>150</v>
      </c>
      <c r="B180" s="18" t="s">
        <v>349</v>
      </c>
      <c r="C180" s="24">
        <f t="shared" ref="C180:F180" si="9">C39-C39*(1-C55/C202)</f>
        <v>1.1084387744431663</v>
      </c>
      <c r="D180" s="24">
        <f t="shared" si="9"/>
        <v>33.598336594911935</v>
      </c>
      <c r="E180" s="24">
        <f t="shared" si="9"/>
        <v>1.1300037311443951</v>
      </c>
      <c r="F180" s="24">
        <f t="shared" si="9"/>
        <v>34.054422612037435</v>
      </c>
      <c r="G180" s="18">
        <f t="shared" ref="G180:AQ180" si="10">G39-G39*(1-G55/G202)</f>
        <v>6.1861044339540694</v>
      </c>
      <c r="H180" s="18">
        <f t="shared" si="10"/>
        <v>6.1861044339540694</v>
      </c>
      <c r="I180" s="18">
        <f t="shared" si="10"/>
        <v>6.1497002884831318</v>
      </c>
      <c r="J180" s="18">
        <f t="shared" si="10"/>
        <v>6.1497002884831318</v>
      </c>
      <c r="K180" s="18">
        <f t="shared" si="10"/>
        <v>6.2123723933339168</v>
      </c>
      <c r="L180" s="18">
        <f t="shared" si="10"/>
        <v>6.2123723933339168</v>
      </c>
      <c r="M180" s="18">
        <f t="shared" si="10"/>
        <v>6.1111683317883738</v>
      </c>
      <c r="N180" s="18">
        <f t="shared" si="10"/>
        <v>6.1111683317883738</v>
      </c>
      <c r="O180" s="18">
        <f t="shared" si="10"/>
        <v>6.1678486451523487</v>
      </c>
      <c r="P180" s="18">
        <f t="shared" si="10"/>
        <v>6.1678486451523487</v>
      </c>
      <c r="Q180" s="18">
        <f t="shared" si="10"/>
        <v>6.2415260180466596</v>
      </c>
      <c r="R180" s="18">
        <f t="shared" si="10"/>
        <v>6.2415260180466596</v>
      </c>
      <c r="S180" s="18">
        <f t="shared" si="10"/>
        <v>6.8110507385015699</v>
      </c>
      <c r="T180" s="18">
        <f t="shared" si="10"/>
        <v>6.8110507385015699</v>
      </c>
      <c r="U180" s="18">
        <f t="shared" si="10"/>
        <v>6.9042647410577498</v>
      </c>
      <c r="V180" s="18">
        <f t="shared" si="10"/>
        <v>6.9042647410577498</v>
      </c>
      <c r="W180" s="18">
        <f t="shared" si="10"/>
        <v>6.766945877105166</v>
      </c>
      <c r="X180" s="18">
        <f t="shared" si="10"/>
        <v>6.766945877105166</v>
      </c>
      <c r="Y180" s="18">
        <f t="shared" si="10"/>
        <v>6.7513322502544399</v>
      </c>
      <c r="Z180" s="18">
        <f t="shared" si="10"/>
        <v>6.7513322502544399</v>
      </c>
      <c r="AA180" s="18">
        <f t="shared" si="10"/>
        <v>6.7513322502544399</v>
      </c>
      <c r="AB180" s="18">
        <f t="shared" si="10"/>
        <v>6.7513322502544399</v>
      </c>
      <c r="AC180" s="18">
        <f t="shared" si="10"/>
        <v>6.5080680544045233</v>
      </c>
      <c r="AD180" s="18">
        <f t="shared" si="10"/>
        <v>6.5080680544045233</v>
      </c>
      <c r="AE180" s="18">
        <f t="shared" si="10"/>
        <v>8.2191780821917817</v>
      </c>
      <c r="AF180" s="18">
        <f t="shared" si="10"/>
        <v>8.2191780821917817</v>
      </c>
      <c r="AG180" s="18">
        <f t="shared" si="10"/>
        <v>8.3539187064900062</v>
      </c>
      <c r="AH180" s="18">
        <f t="shared" si="10"/>
        <v>8.3539187064900062</v>
      </c>
      <c r="AI180" s="18">
        <f t="shared" si="10"/>
        <v>8.4436355382565456</v>
      </c>
      <c r="AJ180" s="18">
        <f t="shared" si="10"/>
        <v>8.4436355382565456</v>
      </c>
      <c r="AK180" s="18">
        <f t="shared" si="10"/>
        <v>8.7330397395043118</v>
      </c>
      <c r="AL180" s="18">
        <f t="shared" si="10"/>
        <v>8.7330397395043118</v>
      </c>
      <c r="AM180" s="18">
        <f t="shared" si="10"/>
        <v>9.016319862116017</v>
      </c>
      <c r="AN180" s="18">
        <f t="shared" si="10"/>
        <v>9.016319862116017</v>
      </c>
      <c r="AO180" s="18">
        <f t="shared" si="10"/>
        <v>9.5349300828752881</v>
      </c>
      <c r="AP180" s="18">
        <f t="shared" si="10"/>
        <v>9.5349300828752881</v>
      </c>
      <c r="AQ180" s="18">
        <f t="shared" si="10"/>
        <v>3.2697947214076253</v>
      </c>
      <c r="AR180" s="18">
        <f>AR39-AR39*(1-AR55/AR202)</f>
        <v>6.3879521648134041</v>
      </c>
      <c r="AS180" s="18"/>
      <c r="AT180" s="18"/>
      <c r="AU180" s="18"/>
      <c r="AV180" s="18"/>
      <c r="AW180" s="18"/>
      <c r="AX180" s="18"/>
      <c r="AY180" s="18"/>
      <c r="AZ180" s="18"/>
      <c r="BA180" s="18">
        <v>4.03</v>
      </c>
      <c r="BB180" s="18"/>
      <c r="BC180" s="18">
        <f>BC39-BC39*(1-BC55/BC202)</f>
        <v>2.3038605230386056</v>
      </c>
      <c r="BD180" s="18">
        <f>BD39-BD39*(1-BD55/BD202)</f>
        <v>4.1567579253552402</v>
      </c>
      <c r="BE180" s="18">
        <f>BE39-BE39*(1-BE55/BE202)</f>
        <v>4.3238143904404387</v>
      </c>
      <c r="BF180" s="18">
        <v>7.6449999999999987</v>
      </c>
      <c r="BG180" s="18">
        <v>7.6449999999999987</v>
      </c>
      <c r="BH180" s="18">
        <v>8.0839999999999996</v>
      </c>
      <c r="BI180" s="18">
        <v>8.5223999999999993</v>
      </c>
      <c r="BJ180" s="18">
        <v>8.5223999999999993</v>
      </c>
      <c r="BK180" s="18">
        <v>8.5223999999999993</v>
      </c>
      <c r="BL180" s="18">
        <v>1.4909999999999999</v>
      </c>
      <c r="BM180" s="18">
        <v>1.478</v>
      </c>
      <c r="BN180" s="18">
        <v>1.478</v>
      </c>
      <c r="BO180" s="18">
        <v>1.4649999999999999</v>
      </c>
      <c r="BP180" s="18">
        <f>1.0679*6</f>
        <v>6.4074000000000009</v>
      </c>
      <c r="BQ180" s="18">
        <f>0.0022*1000</f>
        <v>2.2000000000000002</v>
      </c>
      <c r="BR180" s="18">
        <f t="shared" ref="BR180:CE180" si="11">BR39-BR39*(1-BR55/BR202)</f>
        <v>2.0925619732924439</v>
      </c>
      <c r="BS180" s="18">
        <f t="shared" si="11"/>
        <v>2.09096703276402</v>
      </c>
      <c r="BT180" s="18">
        <f t="shared" si="11"/>
        <v>1.8782118191867037</v>
      </c>
      <c r="BU180" s="18">
        <f t="shared" si="11"/>
        <v>2.0925619732924439</v>
      </c>
      <c r="BV180" s="18">
        <f t="shared" si="11"/>
        <v>2.09096703276402</v>
      </c>
      <c r="BW180" s="18">
        <f t="shared" si="11"/>
        <v>1.8782118191867037</v>
      </c>
      <c r="BX180" s="18">
        <f t="shared" si="11"/>
        <v>6.2193389271640349</v>
      </c>
      <c r="BY180" s="18">
        <f t="shared" si="11"/>
        <v>6.0419813531954798</v>
      </c>
      <c r="BZ180" s="18">
        <v>20.097090527727023</v>
      </c>
      <c r="CA180" s="18">
        <v>19.685360416412937</v>
      </c>
      <c r="CB180" s="18">
        <f t="shared" si="11"/>
        <v>19.955339889208574</v>
      </c>
      <c r="CC180" s="18">
        <f t="shared" si="11"/>
        <v>21.56968547109711</v>
      </c>
      <c r="CD180" s="18">
        <f t="shared" si="11"/>
        <v>23.8529402329088</v>
      </c>
      <c r="CE180" s="18">
        <f t="shared" si="11"/>
        <v>23.148194271481945</v>
      </c>
      <c r="CF180" s="18">
        <v>2.221266662571411</v>
      </c>
      <c r="CG180" s="18">
        <v>2.221266662571411</v>
      </c>
      <c r="CH180" s="18">
        <f>CH39-CH39*(1-CH55/CH202)</f>
        <v>2.0971844183659814</v>
      </c>
      <c r="CI180" s="18">
        <v>5.814526461022961</v>
      </c>
      <c r="CJ180" s="18">
        <v>2.8378004095513552</v>
      </c>
      <c r="CK180" s="18">
        <v>4.42270058708415</v>
      </c>
      <c r="CL180" s="18">
        <v>4.3604090295195848</v>
      </c>
      <c r="CM180" s="18">
        <v>4.2998477929984791</v>
      </c>
      <c r="CN180" s="18">
        <v>4.0084899580823112</v>
      </c>
      <c r="CO180" s="18">
        <v>4.2216687422166883</v>
      </c>
      <c r="CP180" s="18">
        <v>6.2199185486856718</v>
      </c>
      <c r="CQ180" s="18">
        <v>6.2878958005838763</v>
      </c>
      <c r="CR180" s="18">
        <v>6.3573753121925378</v>
      </c>
      <c r="CS180" s="18">
        <v>6.4284074385857508</v>
      </c>
      <c r="CT180" s="18">
        <v>6.4645220871171309</v>
      </c>
      <c r="CU180" s="18">
        <v>4.9747007281253852</v>
      </c>
      <c r="CV180" s="18">
        <v>5.019925280199252</v>
      </c>
      <c r="CW180" s="18">
        <v>5.0659796405680524</v>
      </c>
      <c r="CX180" s="18">
        <f>1.1763*1000/365</f>
        <v>3.2227397260273971</v>
      </c>
      <c r="CY180" s="18">
        <v>3.51</v>
      </c>
      <c r="CZ180" s="18">
        <f>1.21034*1000/365</f>
        <v>3.3159999999999998</v>
      </c>
      <c r="DA180" s="18">
        <f>1.21034*1000/365</f>
        <v>3.3159999999999998</v>
      </c>
      <c r="DB180" s="18">
        <f>1.41255*1000/365</f>
        <v>3.8699999999999997</v>
      </c>
      <c r="DC180" s="18">
        <f>1.806*1000/365</f>
        <v>4.9479452054794519</v>
      </c>
      <c r="DD180" s="18">
        <f>0.00746*1000</f>
        <v>7.46</v>
      </c>
      <c r="DE180" s="18">
        <f>0.007322*1000</f>
        <v>7.3220000000000001</v>
      </c>
      <c r="DF180" s="18">
        <f>0.007322*1000</f>
        <v>7.3220000000000001</v>
      </c>
      <c r="DG180" s="18">
        <v>6.569</v>
      </c>
      <c r="DH180" s="18">
        <v>6.3070000000000004</v>
      </c>
      <c r="DI180" s="18">
        <v>6.7910000000000004</v>
      </c>
      <c r="DJ180" s="18">
        <f>2.107/365*1000</f>
        <v>5.772602739726028</v>
      </c>
      <c r="DK180" s="24">
        <v>0</v>
      </c>
      <c r="DL180" s="24">
        <v>0</v>
      </c>
      <c r="DM180" s="24">
        <v>0</v>
      </c>
      <c r="DN180" s="18">
        <f>0.00586*1000</f>
        <v>5.8599999999999994</v>
      </c>
      <c r="DO180" s="18">
        <f>0.00586*1000</f>
        <v>5.8599999999999994</v>
      </c>
      <c r="DP180" s="18">
        <f>0.00954*1000</f>
        <v>9.5399999999999991</v>
      </c>
      <c r="DQ180" s="18">
        <f>0.00954*1000</f>
        <v>9.5399999999999991</v>
      </c>
      <c r="DR180" s="18">
        <f>0.00756*1000</f>
        <v>7.56</v>
      </c>
      <c r="DS180" s="18">
        <f>0.00756*1000</f>
        <v>7.56</v>
      </c>
      <c r="DT180" s="18">
        <f>0.00756*1000</f>
        <v>7.56</v>
      </c>
      <c r="DU180" s="18">
        <f>0.00756*1000</f>
        <v>7.56</v>
      </c>
      <c r="DV180" s="18">
        <f>0.000016*1000</f>
        <v>1.6E-2</v>
      </c>
      <c r="DW180" s="18">
        <f>0.00054*1000</f>
        <v>0.54</v>
      </c>
      <c r="DX180" s="18">
        <f>0.00058*1000</f>
        <v>0.57999999999999996</v>
      </c>
      <c r="DY180" s="18">
        <f>DY39-2.799124579*1000/365</f>
        <v>3.8928093726027404</v>
      </c>
      <c r="DZ180" s="18">
        <f>1.544429805*1000/365</f>
        <v>4.2313145342465752</v>
      </c>
      <c r="EA180" s="18">
        <f>EA39-2.675*1000/365</f>
        <v>4.2328767123287667</v>
      </c>
      <c r="EB180" s="18"/>
      <c r="EC180" s="18"/>
      <c r="ED180" s="18"/>
      <c r="EE180" s="18"/>
      <c r="EF180" s="18"/>
      <c r="EG180" s="18"/>
      <c r="EH180" s="18"/>
      <c r="EI180" s="18">
        <v>3.431259555717455</v>
      </c>
      <c r="EJ180" s="18">
        <f>0.028*9.82</f>
        <v>0.27496000000000004</v>
      </c>
      <c r="EK180" s="18"/>
      <c r="EL180" s="18">
        <v>3.431259555717455</v>
      </c>
      <c r="EM180" s="18"/>
      <c r="EN180" s="18">
        <v>6.07</v>
      </c>
      <c r="EO180" s="18"/>
      <c r="EP180" s="18">
        <v>5.6848999999999998</v>
      </c>
      <c r="EQ180" s="18">
        <v>7.23</v>
      </c>
      <c r="ER180" s="27">
        <v>3.2340205343282769</v>
      </c>
      <c r="ES180" s="27">
        <v>6.4268264840182674</v>
      </c>
      <c r="ET180" s="27">
        <v>3.7607790843334534</v>
      </c>
      <c r="EU180" s="27">
        <v>4.2724939931485366</v>
      </c>
      <c r="EV180" s="27">
        <v>4.9066002490660034</v>
      </c>
      <c r="EW180" s="27">
        <v>3.8662322879459898</v>
      </c>
    </row>
    <row r="181" spans="1:153" ht="14" x14ac:dyDescent="0.2">
      <c r="A181" s="18" t="s">
        <v>151</v>
      </c>
      <c r="B181" s="18" t="s">
        <v>349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>
        <f>0.57335297*1000/365</f>
        <v>1.5708300547945202</v>
      </c>
      <c r="AT181" s="18">
        <f>0.57335297*1000/365</f>
        <v>1.5708300547945202</v>
      </c>
      <c r="AU181" s="18"/>
      <c r="AV181" s="18"/>
      <c r="AW181" s="18"/>
      <c r="AX181" s="18">
        <v>0</v>
      </c>
      <c r="AY181" s="18">
        <v>0</v>
      </c>
      <c r="AZ181" s="18">
        <f>0.1095*1000/365</f>
        <v>0.3</v>
      </c>
      <c r="BA181" s="18"/>
      <c r="BB181" s="18">
        <v>0.5</v>
      </c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>
        <v>1</v>
      </c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24">
        <v>0</v>
      </c>
      <c r="DL181" s="24">
        <v>0</v>
      </c>
      <c r="DM181" s="24">
        <v>0</v>
      </c>
      <c r="DN181" s="18"/>
      <c r="DO181" s="18"/>
      <c r="DP181" s="18"/>
      <c r="DQ181" s="18"/>
      <c r="DR181" s="18"/>
      <c r="DS181" s="18"/>
      <c r="DT181" s="18"/>
      <c r="DU181" s="18"/>
      <c r="DV181" s="18">
        <f>0.00218*1000</f>
        <v>2.1800000000000002</v>
      </c>
      <c r="DW181" s="18">
        <f>0.00271*1000</f>
        <v>2.71</v>
      </c>
      <c r="DX181" s="18">
        <f>0.00296*1000</f>
        <v>2.96</v>
      </c>
      <c r="DY181" s="18"/>
      <c r="DZ181" s="18"/>
      <c r="EA181" s="18"/>
      <c r="EB181" s="18">
        <v>1.7629999999999999</v>
      </c>
      <c r="EC181" s="18">
        <v>1.9259999999999999</v>
      </c>
      <c r="ED181" s="18">
        <v>5.3840000000000003</v>
      </c>
      <c r="EE181" s="18">
        <v>12.196999999999999</v>
      </c>
      <c r="EF181" s="18"/>
      <c r="EG181" s="18"/>
      <c r="EH181" s="18"/>
      <c r="EI181" s="18"/>
      <c r="EJ181" s="18">
        <f>9.82*0.101</f>
        <v>0.99182000000000015</v>
      </c>
      <c r="EK181" s="18"/>
      <c r="EL181" s="18"/>
      <c r="EM181" s="18"/>
      <c r="EN181" s="18"/>
      <c r="EO181" s="18">
        <v>1.21</v>
      </c>
      <c r="EP181" s="18"/>
      <c r="EQ181" s="18"/>
      <c r="ER181" s="18"/>
      <c r="ES181" s="18"/>
      <c r="ET181" s="18"/>
      <c r="EU181" s="18"/>
      <c r="EV181" s="18"/>
      <c r="EW181" s="18"/>
    </row>
    <row r="182" spans="1:153" ht="14" x14ac:dyDescent="0.2">
      <c r="A182" s="18" t="s">
        <v>152</v>
      </c>
      <c r="B182" s="18" t="s">
        <v>349</v>
      </c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f>0.00365*1000/365</f>
        <v>0.01</v>
      </c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24">
        <v>0</v>
      </c>
      <c r="DL182" s="24">
        <v>0</v>
      </c>
      <c r="DM182" s="24">
        <v>0</v>
      </c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  <c r="ER182" s="18"/>
      <c r="ES182" s="18"/>
      <c r="ET182" s="18"/>
      <c r="EU182" s="18"/>
      <c r="EV182" s="18"/>
      <c r="EW182" s="18"/>
    </row>
    <row r="183" spans="1:153" ht="14" x14ac:dyDescent="0.2">
      <c r="A183" s="18" t="s">
        <v>153</v>
      </c>
      <c r="B183" s="18" t="s">
        <v>349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24">
        <f>0.36195218</f>
        <v>0.36195218000000001</v>
      </c>
      <c r="AV183" s="18"/>
      <c r="AW183" s="18"/>
      <c r="AX183" s="18"/>
      <c r="AY183" s="18"/>
      <c r="AZ183" s="18">
        <f>0.292*1000/365</f>
        <v>0.8</v>
      </c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>
        <f>0.0002*1000</f>
        <v>0.2</v>
      </c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24">
        <v>0</v>
      </c>
      <c r="DL183" s="24">
        <v>0</v>
      </c>
      <c r="DM183" s="24">
        <v>0</v>
      </c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>
        <f>0.033*8.75</f>
        <v>0.28875000000000001</v>
      </c>
      <c r="EJ183" s="18">
        <f>9.82*0.055</f>
        <v>0.54010000000000002</v>
      </c>
      <c r="EK183" s="18">
        <f>0.057*8.1</f>
        <v>0.4617</v>
      </c>
      <c r="EL183" s="18">
        <f>0.033*8.75</f>
        <v>0.28875000000000001</v>
      </c>
      <c r="EM183" s="18">
        <f>0.000136*1000/365*100</f>
        <v>3.7260273972602745E-2</v>
      </c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</row>
    <row r="184" spans="1:153" ht="14" x14ac:dyDescent="0.2">
      <c r="A184" s="18" t="s">
        <v>154</v>
      </c>
      <c r="B184" s="18" t="s">
        <v>350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>
        <f>0.58</f>
        <v>0.57999999999999996</v>
      </c>
      <c r="AW184" s="18">
        <f>0.58</f>
        <v>0.57999999999999996</v>
      </c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24">
        <v>0.5</v>
      </c>
      <c r="DL184" s="24">
        <v>0.48</v>
      </c>
      <c r="DM184" s="24">
        <f>6.137/4.83*0.48</f>
        <v>0.6098881987577639</v>
      </c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</row>
    <row r="185" spans="1:153" ht="14" x14ac:dyDescent="0.2">
      <c r="A185" s="18" t="s">
        <v>283</v>
      </c>
      <c r="B185" s="18" t="s">
        <v>353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>
        <v>0.79</v>
      </c>
      <c r="AW185" s="18">
        <v>0.79</v>
      </c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  <c r="EJ185" s="18"/>
      <c r="EK185" s="18"/>
      <c r="EL185" s="18"/>
      <c r="EM185" s="18"/>
      <c r="EN185" s="18"/>
      <c r="EO185" s="18"/>
      <c r="EP185" s="18"/>
      <c r="EQ185" s="18"/>
      <c r="ER185" s="18"/>
      <c r="ES185" s="18"/>
      <c r="ET185" s="18"/>
      <c r="EU185" s="18"/>
      <c r="EV185" s="18"/>
      <c r="EW185" s="18"/>
    </row>
    <row r="186" spans="1:153" ht="14" x14ac:dyDescent="0.2">
      <c r="A186" s="18" t="s">
        <v>155</v>
      </c>
      <c r="B186" s="18" t="s">
        <v>351</v>
      </c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E186" s="18"/>
      <c r="EF186" s="18"/>
      <c r="EG186" s="18"/>
      <c r="EH186" s="18"/>
      <c r="EI186" s="18"/>
      <c r="EJ186" s="18"/>
      <c r="EK186" s="18"/>
      <c r="EL186" s="18"/>
      <c r="EM186" s="18"/>
      <c r="EN186" s="18"/>
      <c r="EO186" s="18"/>
      <c r="EP186" s="18"/>
      <c r="EQ186" s="18"/>
      <c r="ER186" s="18"/>
      <c r="ES186" s="18"/>
      <c r="ET186" s="18"/>
      <c r="EU186" s="18"/>
      <c r="EV186" s="18"/>
      <c r="EW186" s="18"/>
    </row>
    <row r="187" spans="1:153" ht="14" x14ac:dyDescent="0.2">
      <c r="A187" s="18" t="s">
        <v>156</v>
      </c>
      <c r="B187" s="18" t="s">
        <v>349</v>
      </c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>
        <v>1.1999999999999997</v>
      </c>
      <c r="EG187" s="18">
        <v>0.84705882352941164</v>
      </c>
      <c r="EH187" s="18">
        <v>0.82191780821917804</v>
      </c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8"/>
    </row>
    <row r="188" spans="1:153" ht="14" x14ac:dyDescent="0.2">
      <c r="A188" s="18" t="s">
        <v>335</v>
      </c>
      <c r="B188" s="18" t="s">
        <v>345</v>
      </c>
      <c r="C188" s="18">
        <v>1</v>
      </c>
      <c r="D188" s="18">
        <v>1</v>
      </c>
      <c r="E188" s="18">
        <v>1</v>
      </c>
      <c r="F188" s="18">
        <v>1</v>
      </c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</row>
    <row r="189" spans="1:153" ht="14" x14ac:dyDescent="0.2">
      <c r="A189" s="18" t="s">
        <v>336</v>
      </c>
      <c r="B189" s="18" t="s">
        <v>345</v>
      </c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</row>
    <row r="190" spans="1:153" ht="14" x14ac:dyDescent="0.2">
      <c r="A190" s="18" t="s">
        <v>337</v>
      </c>
      <c r="B190" s="18" t="s">
        <v>345</v>
      </c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</row>
    <row r="191" spans="1:153" ht="14" x14ac:dyDescent="0.2">
      <c r="A191" s="18" t="s">
        <v>338</v>
      </c>
      <c r="B191" s="18" t="s">
        <v>345</v>
      </c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</row>
    <row r="192" spans="1:153" ht="14" x14ac:dyDescent="0.2">
      <c r="A192" s="18" t="s">
        <v>339</v>
      </c>
      <c r="B192" s="18" t="s">
        <v>345</v>
      </c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</row>
    <row r="193" spans="1:153" ht="14" x14ac:dyDescent="0.2">
      <c r="A193" s="18" t="s">
        <v>340</v>
      </c>
      <c r="B193" s="18" t="s">
        <v>345</v>
      </c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</row>
    <row r="194" spans="1:153" ht="14" x14ac:dyDescent="0.2">
      <c r="A194" s="18" t="s">
        <v>341</v>
      </c>
      <c r="B194" s="18" t="s">
        <v>345</v>
      </c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</row>
    <row r="195" spans="1:153" ht="15" customHeight="1" x14ac:dyDescent="0.2">
      <c r="A195" s="18" t="s">
        <v>157</v>
      </c>
      <c r="B195" s="18" t="s">
        <v>349</v>
      </c>
      <c r="C195" s="24"/>
      <c r="D195" s="24"/>
      <c r="E195" s="24"/>
      <c r="F195" s="24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</row>
    <row r="196" spans="1:153" ht="14" x14ac:dyDescent="0.2">
      <c r="A196" s="18" t="s">
        <v>320</v>
      </c>
      <c r="B196" s="18" t="s">
        <v>349</v>
      </c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</row>
    <row r="197" spans="1:153" ht="14" x14ac:dyDescent="0.2">
      <c r="A197" s="18" t="s">
        <v>158</v>
      </c>
      <c r="B197" s="18" t="s">
        <v>349</v>
      </c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  <c r="EJ197" s="18"/>
      <c r="EK197" s="18"/>
      <c r="EL197" s="18"/>
      <c r="EM197" s="18"/>
      <c r="EN197" s="18"/>
      <c r="EO197" s="18"/>
      <c r="EP197" s="18"/>
      <c r="EQ197" s="18"/>
      <c r="ER197" s="18"/>
      <c r="ES197" s="18"/>
      <c r="ET197" s="18"/>
      <c r="EU197" s="18"/>
      <c r="EV197" s="18"/>
      <c r="EW197" s="18"/>
    </row>
    <row r="198" spans="1:153" ht="14" x14ac:dyDescent="0.2">
      <c r="A198" s="18" t="s">
        <v>159</v>
      </c>
      <c r="B198" s="18" t="s">
        <v>349</v>
      </c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</row>
    <row r="199" spans="1:153" ht="14" x14ac:dyDescent="0.2">
      <c r="A199" s="18" t="s">
        <v>160</v>
      </c>
      <c r="B199" s="18" t="s">
        <v>350</v>
      </c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  <c r="ER199" s="18"/>
      <c r="ES199" s="18"/>
      <c r="ET199" s="18"/>
      <c r="EU199" s="18"/>
      <c r="EV199" s="18"/>
      <c r="EW199" s="18"/>
    </row>
    <row r="200" spans="1:153" ht="14" x14ac:dyDescent="0.2">
      <c r="A200" s="18" t="s">
        <v>161</v>
      </c>
      <c r="B200" s="18" t="s">
        <v>351</v>
      </c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  <c r="EJ200" s="18"/>
      <c r="EK200" s="18"/>
      <c r="EL200" s="18"/>
      <c r="EM200" s="18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</row>
    <row r="201" spans="1:153" ht="14" x14ac:dyDescent="0.2">
      <c r="A201" s="18" t="s">
        <v>162</v>
      </c>
      <c r="B201" s="18" t="s">
        <v>349</v>
      </c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  <c r="DW201" s="18"/>
      <c r="DX201" s="18"/>
      <c r="DY201" s="18"/>
      <c r="DZ201" s="18"/>
      <c r="EA201" s="18"/>
      <c r="EB201" s="18"/>
      <c r="EC201" s="18"/>
      <c r="ED201" s="18"/>
      <c r="EE201" s="18"/>
      <c r="EF201" s="18"/>
      <c r="EG201" s="18"/>
      <c r="EH201" s="18"/>
      <c r="EI201" s="18"/>
      <c r="EJ201" s="18"/>
      <c r="EK201" s="18"/>
      <c r="EL201" s="18"/>
      <c r="EM201" s="18"/>
      <c r="EN201" s="18"/>
      <c r="EO201" s="18"/>
      <c r="EP201" s="18"/>
      <c r="EQ201" s="18"/>
      <c r="ER201" s="18"/>
      <c r="ES201" s="18"/>
      <c r="ET201" s="18"/>
      <c r="EU201" s="18"/>
      <c r="EV201" s="18"/>
      <c r="EW201" s="18"/>
    </row>
    <row r="202" spans="1:153" ht="14" x14ac:dyDescent="0.2">
      <c r="A202" s="18" t="s">
        <v>163</v>
      </c>
      <c r="B202" s="18" t="s">
        <v>345</v>
      </c>
      <c r="C202" s="18">
        <v>0.26200000000000001</v>
      </c>
      <c r="D202" s="18">
        <v>0.224</v>
      </c>
      <c r="E202" s="18">
        <v>0.25700000000000001</v>
      </c>
      <c r="F202" s="18">
        <v>0.221</v>
      </c>
      <c r="G202" s="18">
        <v>0.23649999999999999</v>
      </c>
      <c r="H202" s="18">
        <v>0.23649999999999999</v>
      </c>
      <c r="I202" s="18">
        <v>0.2379</v>
      </c>
      <c r="J202" s="18">
        <v>0.2379</v>
      </c>
      <c r="K202" s="18">
        <v>0.23549999999999999</v>
      </c>
      <c r="L202" s="18">
        <v>0.23549999999999999</v>
      </c>
      <c r="M202" s="18">
        <v>0.2394</v>
      </c>
      <c r="N202" s="18">
        <v>0.2394</v>
      </c>
      <c r="O202" s="18">
        <v>0.23719999999999999</v>
      </c>
      <c r="P202" s="18">
        <v>0.23719999999999999</v>
      </c>
      <c r="Q202" s="18">
        <v>0.2344</v>
      </c>
      <c r="R202" s="18">
        <v>0.2344</v>
      </c>
      <c r="S202" s="18">
        <v>0.21479999999999999</v>
      </c>
      <c r="T202" s="18">
        <v>0.21479999999999999</v>
      </c>
      <c r="U202" s="18">
        <v>0.21190000000000001</v>
      </c>
      <c r="V202" s="18">
        <v>0.21190000000000001</v>
      </c>
      <c r="W202" s="18">
        <v>0.2162</v>
      </c>
      <c r="X202" s="18">
        <v>0.2162</v>
      </c>
      <c r="Y202" s="18">
        <v>0.2167</v>
      </c>
      <c r="Z202" s="18">
        <v>0.2167</v>
      </c>
      <c r="AA202" s="18">
        <v>0.2167</v>
      </c>
      <c r="AB202" s="18">
        <v>0.2167</v>
      </c>
      <c r="AC202" s="18">
        <v>0.2248</v>
      </c>
      <c r="AD202" s="18">
        <v>0.2248</v>
      </c>
      <c r="AE202" s="18">
        <v>0.33479999999999999</v>
      </c>
      <c r="AF202" s="18">
        <v>0.33479999999999999</v>
      </c>
      <c r="AG202" s="18">
        <v>0.32940000000000003</v>
      </c>
      <c r="AH202" s="18">
        <v>0.32940000000000003</v>
      </c>
      <c r="AI202" s="18">
        <v>0.32590000000000002</v>
      </c>
      <c r="AJ202" s="18">
        <v>0.32590000000000002</v>
      </c>
      <c r="AK202" s="18">
        <v>0.31509999999999999</v>
      </c>
      <c r="AL202" s="18">
        <v>0.31509999999999999</v>
      </c>
      <c r="AM202" s="18">
        <v>0.30520000000000003</v>
      </c>
      <c r="AN202" s="18">
        <v>0.30520000000000003</v>
      </c>
      <c r="AO202" s="18">
        <v>0.28860000000000002</v>
      </c>
      <c r="AP202" s="18">
        <v>0.28860000000000002</v>
      </c>
      <c r="AQ202" s="18">
        <v>0.27279999999999999</v>
      </c>
      <c r="AR202" s="18">
        <v>0.26769999999999999</v>
      </c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>
        <v>0.44</v>
      </c>
      <c r="BD202" s="18">
        <v>0.27879999999999999</v>
      </c>
      <c r="BE202" s="18">
        <v>0.27879999999999999</v>
      </c>
      <c r="BF202" s="18"/>
      <c r="BG202" s="18"/>
      <c r="BH202" s="18"/>
      <c r="BI202" s="18"/>
      <c r="BJ202" s="18"/>
      <c r="BK202" s="18"/>
      <c r="BL202" s="18">
        <v>0.2165</v>
      </c>
      <c r="BM202" s="18">
        <v>0.21429999999999999</v>
      </c>
      <c r="BN202" s="18">
        <v>0.21429999999999999</v>
      </c>
      <c r="BO202" s="18">
        <v>0.2122</v>
      </c>
      <c r="BP202" s="18"/>
      <c r="BQ202" s="18">
        <v>0.44900000000000001</v>
      </c>
      <c r="BR202" s="18">
        <v>0.44490000000000002</v>
      </c>
      <c r="BS202" s="18">
        <v>0.44490000000000002</v>
      </c>
      <c r="BT202" s="18">
        <v>0.44490000000000002</v>
      </c>
      <c r="BU202" s="18">
        <v>0.44490000000000002</v>
      </c>
      <c r="BV202" s="18">
        <v>0.44490000000000002</v>
      </c>
      <c r="BW202" s="18">
        <v>0.44490000000000002</v>
      </c>
      <c r="BX202" s="18">
        <v>0.2555</v>
      </c>
      <c r="BY202" s="18">
        <v>0.26300000000000001</v>
      </c>
      <c r="BZ202" s="18">
        <v>0.25340000000000001</v>
      </c>
      <c r="CA202" s="18">
        <v>0.25869999999999999</v>
      </c>
      <c r="CB202" s="18">
        <v>0.25519999999999998</v>
      </c>
      <c r="CC202" s="18">
        <v>0.2361</v>
      </c>
      <c r="CD202" s="18">
        <v>0.2135</v>
      </c>
      <c r="CE202" s="18">
        <v>0.22</v>
      </c>
      <c r="CF202" s="18">
        <v>0.223</v>
      </c>
      <c r="CG202" s="18">
        <v>0.223</v>
      </c>
      <c r="CH202" s="18">
        <v>0.307</v>
      </c>
      <c r="CI202" s="18">
        <v>0.27800000000000002</v>
      </c>
      <c r="CJ202" s="18">
        <v>0.24135999999999999</v>
      </c>
      <c r="CK202" s="18">
        <v>0.21</v>
      </c>
      <c r="CL202" s="18">
        <v>0.21299999999999999</v>
      </c>
      <c r="CM202" s="18">
        <v>0.216</v>
      </c>
      <c r="CN202" s="18">
        <v>0.23169999999999999</v>
      </c>
      <c r="CO202" s="18">
        <v>0.22</v>
      </c>
      <c r="CP202" s="18">
        <v>0.185</v>
      </c>
      <c r="CQ202" s="18">
        <v>0.183</v>
      </c>
      <c r="CR202" s="18">
        <v>0.18099999999999999</v>
      </c>
      <c r="CS202" s="18">
        <v>0.17899999999999999</v>
      </c>
      <c r="CT202" s="18">
        <v>0.17799999999999999</v>
      </c>
      <c r="CU202" s="18">
        <v>0.222</v>
      </c>
      <c r="CV202" s="18">
        <v>0.22</v>
      </c>
      <c r="CW202" s="18">
        <v>0.218</v>
      </c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>
        <v>0.29699999999999999</v>
      </c>
      <c r="DZ202" s="18">
        <f>0.297*0.92</f>
        <v>0.27323999999999998</v>
      </c>
      <c r="EA202" s="18">
        <f>0.297*0.92</f>
        <v>0.27323999999999998</v>
      </c>
      <c r="EB202" s="18"/>
      <c r="EC202" s="18"/>
      <c r="ED202" s="18"/>
      <c r="EE202" s="18"/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>
        <v>0.40239999999999998</v>
      </c>
      <c r="ES202" s="18">
        <v>0.24</v>
      </c>
      <c r="ET202" s="18">
        <v>0.33900000000000002</v>
      </c>
      <c r="EU202" s="18">
        <v>0.31869999999999998</v>
      </c>
      <c r="EV202" s="18">
        <v>0.22</v>
      </c>
      <c r="EW202" s="18">
        <v>0.2792</v>
      </c>
    </row>
    <row r="203" spans="1:153" ht="14" x14ac:dyDescent="0.2">
      <c r="A203" s="18" t="s">
        <v>164</v>
      </c>
      <c r="B203" s="18" t="s">
        <v>345</v>
      </c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</row>
    <row r="204" spans="1:153" ht="14" x14ac:dyDescent="0.2">
      <c r="A204" s="18" t="s">
        <v>165</v>
      </c>
      <c r="B204" s="18" t="s">
        <v>345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  <c r="EJ204" s="18"/>
      <c r="EK204" s="18"/>
      <c r="EL204" s="18"/>
      <c r="EM204" s="18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</row>
    <row r="205" spans="1:153" ht="14" x14ac:dyDescent="0.2">
      <c r="A205" s="18" t="s">
        <v>3</v>
      </c>
      <c r="B205" s="18" t="s">
        <v>345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>
        <v>4.8599999999999997E-2</v>
      </c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</row>
    <row r="206" spans="1:153" ht="14" x14ac:dyDescent="0.2">
      <c r="A206" s="18" t="s">
        <v>166</v>
      </c>
      <c r="B206" s="18" t="s">
        <v>345</v>
      </c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  <c r="EJ206" s="18"/>
      <c r="EK206" s="18"/>
      <c r="EL206" s="18"/>
      <c r="EM206" s="18"/>
      <c r="EN206" s="18"/>
      <c r="EO206" s="18"/>
      <c r="EP206" s="18"/>
      <c r="EQ206" s="18"/>
      <c r="ER206" s="18"/>
      <c r="ES206" s="18"/>
      <c r="ET206" s="18"/>
      <c r="EU206" s="18"/>
      <c r="EV206" s="18"/>
      <c r="EW206" s="18"/>
    </row>
    <row r="207" spans="1:153" ht="14" x14ac:dyDescent="0.2">
      <c r="A207" s="18" t="s">
        <v>167</v>
      </c>
      <c r="B207" s="18" t="s">
        <v>345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E207" s="18"/>
      <c r="EF207" s="18"/>
      <c r="EG207" s="18"/>
      <c r="EH207" s="18"/>
      <c r="EI207" s="18"/>
      <c r="EJ207" s="18"/>
      <c r="EK207" s="18"/>
      <c r="EL207" s="18"/>
      <c r="EM207" s="18"/>
      <c r="EN207" s="18"/>
      <c r="EO207" s="18"/>
      <c r="EP207" s="18"/>
      <c r="EQ207" s="18"/>
      <c r="ER207" s="18"/>
      <c r="ES207" s="18"/>
      <c r="ET207" s="18"/>
      <c r="EU207" s="18"/>
      <c r="EV207" s="18"/>
      <c r="EW207" s="18"/>
    </row>
    <row r="208" spans="1:153" ht="14" x14ac:dyDescent="0.2">
      <c r="A208" s="18" t="s">
        <v>4</v>
      </c>
      <c r="B208" s="18" t="s">
        <v>345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  <c r="DW208" s="18"/>
      <c r="DX208" s="18"/>
      <c r="DY208" s="18"/>
      <c r="DZ208" s="18"/>
      <c r="EA208" s="18"/>
      <c r="EB208" s="18"/>
      <c r="EC208" s="18"/>
      <c r="ED208" s="18"/>
      <c r="EE208" s="18"/>
      <c r="EF208" s="18"/>
      <c r="EG208" s="18"/>
      <c r="EH208" s="18"/>
      <c r="EI208" s="18"/>
      <c r="EJ208" s="18"/>
      <c r="EK208" s="18"/>
      <c r="EL208" s="18"/>
      <c r="EM208" s="18"/>
      <c r="EN208" s="18"/>
      <c r="EO208" s="18"/>
      <c r="EP208" s="18"/>
      <c r="EQ208" s="18"/>
      <c r="ER208" s="18"/>
      <c r="ES208" s="18"/>
      <c r="ET208" s="18"/>
      <c r="EU208" s="18"/>
      <c r="EV208" s="18"/>
      <c r="EW208" s="18"/>
    </row>
    <row r="209" spans="1:153" ht="14" x14ac:dyDescent="0.2">
      <c r="A209" s="18" t="s">
        <v>168</v>
      </c>
      <c r="B209" s="18" t="s">
        <v>345</v>
      </c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18"/>
      <c r="DV209" s="18"/>
      <c r="DW209" s="18"/>
      <c r="DX209" s="18"/>
      <c r="DY209" s="18"/>
      <c r="DZ209" s="18"/>
      <c r="EA209" s="18"/>
      <c r="EB209" s="18"/>
      <c r="EC209" s="18"/>
      <c r="ED209" s="18"/>
      <c r="EE209" s="18"/>
      <c r="EF209" s="18"/>
      <c r="EG209" s="18"/>
      <c r="EH209" s="18"/>
      <c r="EI209" s="18"/>
      <c r="EJ209" s="18"/>
      <c r="EK209" s="18"/>
      <c r="EL209" s="18"/>
      <c r="EM209" s="18"/>
      <c r="EN209" s="18"/>
      <c r="EO209" s="18"/>
      <c r="EP209" s="18"/>
      <c r="EQ209" s="18"/>
      <c r="ER209" s="18"/>
      <c r="ES209" s="18"/>
      <c r="ET209" s="18"/>
      <c r="EU209" s="18"/>
      <c r="EV209" s="18"/>
      <c r="EW209" s="18"/>
    </row>
    <row r="210" spans="1:153" ht="14" x14ac:dyDescent="0.2">
      <c r="A210" s="18" t="s">
        <v>169</v>
      </c>
      <c r="B210" s="18" t="s">
        <v>345</v>
      </c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  <c r="DW210" s="18"/>
      <c r="DX210" s="18"/>
      <c r="DY210" s="18"/>
      <c r="DZ210" s="18"/>
      <c r="EA210" s="18"/>
      <c r="EB210" s="18"/>
      <c r="EC210" s="18"/>
      <c r="ED210" s="18"/>
      <c r="EE210" s="18"/>
      <c r="EF210" s="18"/>
      <c r="EG210" s="18"/>
      <c r="EH210" s="18"/>
      <c r="EI210" s="18"/>
      <c r="EJ210" s="18"/>
      <c r="EK210" s="18"/>
      <c r="EL210" s="18"/>
      <c r="EM210" s="18"/>
      <c r="EN210" s="18"/>
      <c r="EO210" s="18"/>
      <c r="EP210" s="18"/>
      <c r="EQ210" s="18"/>
      <c r="ER210" s="18"/>
      <c r="ES210" s="18"/>
      <c r="ET210" s="18"/>
      <c r="EU210" s="18"/>
      <c r="EV210" s="18"/>
      <c r="EW210" s="18"/>
    </row>
    <row r="211" spans="1:153" ht="14" x14ac:dyDescent="0.2">
      <c r="A211" s="18" t="s">
        <v>170</v>
      </c>
      <c r="B211" s="18" t="s">
        <v>345</v>
      </c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  <c r="EJ211" s="18"/>
      <c r="EK211" s="18"/>
      <c r="EL211" s="18"/>
      <c r="EM211" s="18"/>
      <c r="EN211" s="18"/>
      <c r="EO211" s="18"/>
      <c r="EP211" s="18"/>
      <c r="EQ211" s="18"/>
      <c r="ER211" s="18"/>
      <c r="ES211" s="18"/>
      <c r="ET211" s="18"/>
      <c r="EU211" s="18"/>
      <c r="EV211" s="18"/>
      <c r="EW211" s="18"/>
    </row>
    <row r="212" spans="1:153" ht="14" x14ac:dyDescent="0.2">
      <c r="A212" s="18" t="s">
        <v>171</v>
      </c>
      <c r="B212" s="18" t="s">
        <v>345</v>
      </c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E212" s="18"/>
      <c r="EF212" s="18"/>
      <c r="EG212" s="18"/>
      <c r="EH212" s="18"/>
      <c r="EI212" s="18"/>
      <c r="EJ212" s="18"/>
      <c r="EK212" s="18"/>
      <c r="EL212" s="18"/>
      <c r="EM212" s="18"/>
      <c r="EN212" s="18"/>
      <c r="EO212" s="18"/>
      <c r="EP212" s="18"/>
      <c r="EQ212" s="18"/>
      <c r="ER212" s="18"/>
      <c r="ES212" s="18"/>
      <c r="ET212" s="18"/>
      <c r="EU212" s="18"/>
      <c r="EV212" s="18"/>
      <c r="EW212" s="18"/>
    </row>
    <row r="213" spans="1:153" ht="14" x14ac:dyDescent="0.2">
      <c r="A213" s="18" t="s">
        <v>172</v>
      </c>
      <c r="B213" s="18" t="s">
        <v>345</v>
      </c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  <c r="EJ213" s="18"/>
      <c r="EK213" s="18"/>
      <c r="EL213" s="18"/>
      <c r="EM213" s="18"/>
      <c r="EN213" s="18"/>
      <c r="EO213" s="18"/>
      <c r="EP213" s="18"/>
      <c r="EQ213" s="18"/>
      <c r="ER213" s="18"/>
      <c r="ES213" s="18"/>
      <c r="ET213" s="18"/>
      <c r="EU213" s="18"/>
      <c r="EV213" s="18"/>
      <c r="EW213" s="18"/>
    </row>
    <row r="214" spans="1:153" ht="14" x14ac:dyDescent="0.2">
      <c r="A214" s="18" t="s">
        <v>173</v>
      </c>
      <c r="B214" s="18" t="s">
        <v>345</v>
      </c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8"/>
    </row>
    <row r="215" spans="1:153" ht="14" x14ac:dyDescent="0.2">
      <c r="A215" s="18" t="s">
        <v>174</v>
      </c>
      <c r="B215" s="18" t="s">
        <v>345</v>
      </c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  <c r="DW215" s="18"/>
      <c r="DX215" s="18"/>
      <c r="DY215" s="18"/>
      <c r="DZ215" s="18"/>
      <c r="EA215" s="18"/>
      <c r="EB215" s="18"/>
      <c r="EC215" s="18"/>
      <c r="ED215" s="18"/>
      <c r="EE215" s="18"/>
      <c r="EF215" s="18"/>
      <c r="EG215" s="18"/>
      <c r="EH215" s="18"/>
      <c r="EI215" s="18"/>
      <c r="EJ215" s="18"/>
      <c r="EK215" s="18"/>
      <c r="EL215" s="18"/>
      <c r="EM215" s="18"/>
      <c r="EN215" s="18"/>
      <c r="EO215" s="18"/>
      <c r="EP215" s="18"/>
      <c r="EQ215" s="18"/>
      <c r="ER215" s="18"/>
      <c r="ES215" s="18"/>
      <c r="ET215" s="18"/>
      <c r="EU215" s="18"/>
      <c r="EV215" s="18"/>
      <c r="EW215" s="18"/>
    </row>
    <row r="216" spans="1:153" ht="14" x14ac:dyDescent="0.2">
      <c r="A216" s="18" t="s">
        <v>175</v>
      </c>
      <c r="B216" s="18" t="s">
        <v>354</v>
      </c>
      <c r="C216" s="18">
        <v>1.4999999999999999E-2</v>
      </c>
      <c r="D216" s="18">
        <v>1.4999999999999999E-2</v>
      </c>
      <c r="E216" s="18">
        <v>1.4999999999999999E-2</v>
      </c>
      <c r="F216" s="18">
        <v>1.4999999999999999E-2</v>
      </c>
      <c r="G216" s="18">
        <v>1.4999999999999999E-2</v>
      </c>
      <c r="H216" s="18">
        <v>1.4999999999999999E-2</v>
      </c>
      <c r="I216" s="18">
        <v>1.4999999999999999E-2</v>
      </c>
      <c r="J216" s="18">
        <v>1.4999999999999999E-2</v>
      </c>
      <c r="K216" s="18">
        <v>1.4999999999999999E-2</v>
      </c>
      <c r="L216" s="18">
        <v>1.4999999999999999E-2</v>
      </c>
      <c r="M216" s="18">
        <v>1.4999999999999999E-2</v>
      </c>
      <c r="N216" s="18">
        <v>1.4999999999999999E-2</v>
      </c>
      <c r="O216" s="18">
        <v>1.4999999999999999E-2</v>
      </c>
      <c r="P216" s="18">
        <v>1.4999999999999999E-2</v>
      </c>
      <c r="Q216" s="18">
        <v>1.4999999999999999E-2</v>
      </c>
      <c r="R216" s="18">
        <v>1.4999999999999999E-2</v>
      </c>
      <c r="S216" s="18">
        <v>1.4999999999999999E-2</v>
      </c>
      <c r="T216" s="18">
        <v>1.4999999999999999E-2</v>
      </c>
      <c r="U216" s="18">
        <v>1.4999999999999999E-2</v>
      </c>
      <c r="V216" s="18">
        <v>1.4999999999999999E-2</v>
      </c>
      <c r="W216" s="18">
        <v>1.4999999999999999E-2</v>
      </c>
      <c r="X216" s="18">
        <v>1.4999999999999999E-2</v>
      </c>
      <c r="Y216" s="18">
        <v>1.4999999999999999E-2</v>
      </c>
      <c r="Z216" s="18">
        <v>1.4999999999999999E-2</v>
      </c>
      <c r="AA216" s="18">
        <v>1.4999999999999999E-2</v>
      </c>
      <c r="AB216" s="18">
        <v>1.4999999999999999E-2</v>
      </c>
      <c r="AC216" s="18">
        <v>1.4999999999999999E-2</v>
      </c>
      <c r="AD216" s="18">
        <v>1.4999999999999999E-2</v>
      </c>
      <c r="AE216" s="18">
        <v>1.5599999999999999E-2</v>
      </c>
      <c r="AF216" s="18">
        <v>1.5599999999999999E-2</v>
      </c>
      <c r="AG216" s="18">
        <v>1.5599999999999999E-2</v>
      </c>
      <c r="AH216" s="18">
        <v>1.5599999999999999E-2</v>
      </c>
      <c r="AI216" s="18">
        <v>1.5599999999999999E-2</v>
      </c>
      <c r="AJ216" s="18">
        <v>1.5599999999999999E-2</v>
      </c>
      <c r="AK216" s="18">
        <v>1.5599999999999999E-2</v>
      </c>
      <c r="AL216" s="18">
        <v>1.5599999999999999E-2</v>
      </c>
      <c r="AM216" s="18">
        <v>1.5599999999999999E-2</v>
      </c>
      <c r="AN216" s="18">
        <v>1.5599999999999999E-2</v>
      </c>
      <c r="AO216" s="18">
        <v>1.5599999999999999E-2</v>
      </c>
      <c r="AP216" s="18">
        <v>1.5599999999999999E-2</v>
      </c>
      <c r="AQ216" s="18">
        <v>1.4999999999999999E-2</v>
      </c>
      <c r="AR216" s="18">
        <v>1.4999999999999999E-2</v>
      </c>
      <c r="AS216" s="18"/>
      <c r="AT216" s="18"/>
      <c r="AU216" s="18"/>
      <c r="AV216" s="18"/>
      <c r="AW216" s="18"/>
      <c r="AX216" s="18"/>
      <c r="AY216" s="18"/>
      <c r="AZ216" s="18"/>
      <c r="BA216" s="18">
        <v>1.5599999999999999E-2</v>
      </c>
      <c r="BB216" s="18">
        <v>1.5599999999999999E-2</v>
      </c>
      <c r="BC216" s="18">
        <v>1.4999999999999999E-2</v>
      </c>
      <c r="BD216" s="18">
        <v>1.4999999999999999E-2</v>
      </c>
      <c r="BE216" s="18">
        <v>1.4999999999999999E-2</v>
      </c>
      <c r="BF216" s="18">
        <v>1.8599999999999998E-2</v>
      </c>
      <c r="BG216" s="18">
        <v>1.8599999999999998E-2</v>
      </c>
      <c r="BH216" s="18">
        <v>1.8599999999999998E-2</v>
      </c>
      <c r="BI216" s="18">
        <v>1.8599999999999998E-2</v>
      </c>
      <c r="BJ216" s="18">
        <v>1.8599999999999998E-2</v>
      </c>
      <c r="BK216" s="18">
        <v>1.8599999999999998E-2</v>
      </c>
      <c r="BL216" s="18">
        <v>1.5598214285714286E-2</v>
      </c>
      <c r="BM216" s="18">
        <v>1.5598214285714286E-2</v>
      </c>
      <c r="BN216" s="18">
        <v>1.5598214285714286E-2</v>
      </c>
      <c r="BO216" s="18">
        <v>1.5598214285714286E-2</v>
      </c>
      <c r="BP216" s="18">
        <v>1.4999999999999999E-2</v>
      </c>
      <c r="BQ216" s="18">
        <v>1.4999999999999999E-2</v>
      </c>
      <c r="BR216" s="18">
        <v>1.4999999999999999E-2</v>
      </c>
      <c r="BS216" s="18">
        <v>1.4999999999999999E-2</v>
      </c>
      <c r="BT216" s="18">
        <v>1.4999999999999999E-2</v>
      </c>
      <c r="BU216" s="18">
        <v>1.4999999999999999E-2</v>
      </c>
      <c r="BV216" s="18">
        <v>1.4999999999999999E-2</v>
      </c>
      <c r="BW216" s="18">
        <v>1.4999999999999999E-2</v>
      </c>
      <c r="BX216" s="18">
        <v>1.5599999999999999E-2</v>
      </c>
      <c r="BY216" s="18">
        <v>1.5599999999999999E-2</v>
      </c>
      <c r="BZ216" s="18">
        <v>1.4999999999999999E-2</v>
      </c>
      <c r="CA216" s="18">
        <v>1.4999999999999999E-2</v>
      </c>
      <c r="CB216" s="18">
        <v>1.4999999999999999E-2</v>
      </c>
      <c r="CC216" s="18">
        <v>1.4999999999999999E-2</v>
      </c>
      <c r="CD216" s="18">
        <v>1.4999999999999999E-2</v>
      </c>
      <c r="CE216" s="18">
        <v>1.4999999999999999E-2</v>
      </c>
      <c r="CF216" s="18">
        <v>1.4999999999999999E-2</v>
      </c>
      <c r="CG216" s="18">
        <v>1.4999999999999999E-2</v>
      </c>
      <c r="CH216" s="18">
        <v>1.5599999999999999E-2</v>
      </c>
      <c r="CI216" s="18">
        <v>1.5599999999999999E-2</v>
      </c>
      <c r="CJ216" s="18">
        <v>1.5599999999999999E-2</v>
      </c>
      <c r="CK216" s="18">
        <v>1.5599999999999999E-2</v>
      </c>
      <c r="CL216" s="18">
        <v>1.5599999999999999E-2</v>
      </c>
      <c r="CM216" s="18">
        <v>1.5599999999999999E-2</v>
      </c>
      <c r="CN216" s="18">
        <v>1.5599999999999999E-2</v>
      </c>
      <c r="CO216" s="18">
        <v>1.5599999999999999E-2</v>
      </c>
      <c r="CP216" s="18">
        <v>1.5599999999999999E-2</v>
      </c>
      <c r="CQ216" s="18">
        <v>1.5599999999999999E-2</v>
      </c>
      <c r="CR216" s="18">
        <v>1.5599999999999999E-2</v>
      </c>
      <c r="CS216" s="18">
        <v>1.5599999999999999E-2</v>
      </c>
      <c r="CT216" s="18">
        <v>1.5599999999999999E-2</v>
      </c>
      <c r="CU216" s="18">
        <v>1.5599999999999999E-2</v>
      </c>
      <c r="CV216" s="18">
        <v>1.5599999999999999E-2</v>
      </c>
      <c r="CW216" s="18">
        <v>1.5599999999999999E-2</v>
      </c>
      <c r="CX216" s="18">
        <v>1.4999999999999999E-2</v>
      </c>
      <c r="CY216" s="18">
        <v>1.4999999999999999E-2</v>
      </c>
      <c r="CZ216" s="18">
        <v>1.4999999999999999E-2</v>
      </c>
      <c r="DA216" s="18">
        <v>1.4999999999999999E-2</v>
      </c>
      <c r="DB216" s="18">
        <v>1.4999999999999999E-2</v>
      </c>
      <c r="DC216" s="18">
        <v>1.4999999999999999E-2</v>
      </c>
      <c r="DD216" s="18">
        <v>1.4999999999999999E-2</v>
      </c>
      <c r="DE216" s="18">
        <v>1.4999999999999999E-2</v>
      </c>
      <c r="DF216" s="18">
        <v>1.4999999999999999E-2</v>
      </c>
      <c r="DG216" s="18">
        <v>1.4999999999999999E-2</v>
      </c>
      <c r="DH216" s="18">
        <v>1.4999999999999999E-2</v>
      </c>
      <c r="DI216" s="18">
        <v>1.4999999999999999E-2</v>
      </c>
      <c r="DJ216" s="18">
        <v>1.4999999999999999E-2</v>
      </c>
      <c r="DK216" s="18"/>
      <c r="DL216" s="18"/>
      <c r="DM216" s="18"/>
      <c r="DN216" s="18">
        <v>1.5599999999999999E-2</v>
      </c>
      <c r="DO216" s="18">
        <v>1.5599999999999999E-2</v>
      </c>
      <c r="DP216" s="18">
        <v>1.5599999999999999E-2</v>
      </c>
      <c r="DQ216" s="18">
        <v>1.5599999999999999E-2</v>
      </c>
      <c r="DR216" s="18">
        <v>1.5599999999999999E-2</v>
      </c>
      <c r="DS216" s="18">
        <v>1.5599999999999999E-2</v>
      </c>
      <c r="DT216" s="18">
        <v>1.5599999999999999E-2</v>
      </c>
      <c r="DU216" s="18">
        <v>1.5599999999999999E-2</v>
      </c>
      <c r="DV216" s="18">
        <v>1.5599999999999999E-2</v>
      </c>
      <c r="DW216" s="18">
        <v>1.5599999999999999E-2</v>
      </c>
      <c r="DX216" s="18">
        <v>1.5599999999999999E-2</v>
      </c>
      <c r="DY216" s="18">
        <v>1.5599999999999999E-2</v>
      </c>
      <c r="DZ216" s="18">
        <v>1.5599999999999999E-2</v>
      </c>
      <c r="EA216" s="18">
        <v>1.5599999999999999E-2</v>
      </c>
      <c r="EB216" s="18"/>
      <c r="EC216" s="18"/>
      <c r="ED216" s="18"/>
      <c r="EE216" s="18"/>
      <c r="EF216" s="18"/>
      <c r="EG216" s="18"/>
      <c r="EH216" s="18"/>
      <c r="EI216" s="18">
        <v>1.5599999999999999E-2</v>
      </c>
      <c r="EJ216" s="18">
        <v>1.5599999999999999E-2</v>
      </c>
      <c r="EK216" s="18">
        <v>1.5599999999999999E-2</v>
      </c>
      <c r="EL216" s="18">
        <v>1.5599999999999999E-2</v>
      </c>
      <c r="EM216" s="18"/>
      <c r="EN216" s="18">
        <v>1.5599999999999999E-2</v>
      </c>
      <c r="EO216" s="18"/>
      <c r="EP216" s="18">
        <v>1.4999999999999999E-2</v>
      </c>
      <c r="EQ216" s="18">
        <v>1.4999999999999999E-2</v>
      </c>
      <c r="ER216" s="18">
        <v>1.5599999999999999E-2</v>
      </c>
      <c r="ES216" s="18">
        <v>1.5599999999999999E-2</v>
      </c>
      <c r="ET216" s="18">
        <v>1.5599999999999999E-2</v>
      </c>
      <c r="EU216" s="18">
        <v>1.5599999999999999E-2</v>
      </c>
      <c r="EV216" s="18">
        <v>1.5599999999999999E-2</v>
      </c>
      <c r="EW216" s="18">
        <v>1.5599999999999999E-2</v>
      </c>
    </row>
    <row r="217" spans="1:153" ht="14" x14ac:dyDescent="0.2">
      <c r="A217" s="18" t="s">
        <v>321</v>
      </c>
      <c r="B217" s="18" t="s">
        <v>354</v>
      </c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>
        <v>2.9499999999999998E-2</v>
      </c>
      <c r="AT217" s="18">
        <v>2.9499999999999998E-2</v>
      </c>
      <c r="AU217" s="18"/>
      <c r="AV217" s="18"/>
      <c r="AW217" s="18"/>
      <c r="AX217" s="18">
        <v>2.9499999999999998E-2</v>
      </c>
      <c r="AY217" s="18">
        <v>2.9499999999999998E-2</v>
      </c>
      <c r="AZ217" s="18">
        <v>2.9499999999999998E-2</v>
      </c>
      <c r="BA217" s="18">
        <v>1.5599999999999999E-2</v>
      </c>
      <c r="BB217" s="18">
        <v>1.5599999999999999E-2</v>
      </c>
      <c r="BC217" s="18">
        <v>1.4999999999999999E-2</v>
      </c>
      <c r="BD217" s="18">
        <v>1.5599999999999999E-2</v>
      </c>
      <c r="BE217" s="18">
        <v>1.5599999999999999E-2</v>
      </c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>
        <v>2.9000000000000001E-2</v>
      </c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>
        <v>1.5599999999999999E-2</v>
      </c>
      <c r="DW217" s="18">
        <v>1.5599999999999999E-2</v>
      </c>
      <c r="DX217" s="18">
        <v>1.5599999999999999E-2</v>
      </c>
      <c r="DY217" s="18"/>
      <c r="DZ217" s="18"/>
      <c r="EA217" s="18"/>
      <c r="EB217" s="18">
        <v>2.9499999999999998E-2</v>
      </c>
      <c r="EC217" s="18">
        <v>2.9499999999999998E-2</v>
      </c>
      <c r="ED217" s="18">
        <v>2.9499999999999998E-2</v>
      </c>
      <c r="EE217" s="18">
        <v>2.9499999999999998E-2</v>
      </c>
      <c r="EF217" s="18"/>
      <c r="EG217" s="18"/>
      <c r="EH217" s="18"/>
      <c r="EI217" s="18"/>
      <c r="EJ217" s="18">
        <v>2.9499999999999998E-2</v>
      </c>
      <c r="EK217" s="18">
        <v>2.9499999999999998E-2</v>
      </c>
      <c r="EL217" s="18"/>
      <c r="EM217" s="18"/>
      <c r="EN217" s="18"/>
      <c r="EO217" s="18">
        <v>2.9499999999999998E-2</v>
      </c>
      <c r="EP217" s="18"/>
      <c r="EQ217" s="18"/>
      <c r="ER217" s="18"/>
      <c r="ES217" s="18"/>
      <c r="ET217" s="18"/>
      <c r="EU217" s="18"/>
      <c r="EV217" s="18"/>
      <c r="EW217" s="18"/>
    </row>
    <row r="218" spans="1:153" ht="14" x14ac:dyDescent="0.2">
      <c r="A218" s="18" t="s">
        <v>176</v>
      </c>
      <c r="B218" s="18" t="s">
        <v>354</v>
      </c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>
        <v>4.3799999999999999E-2</v>
      </c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18"/>
      <c r="DV218" s="18"/>
      <c r="DW218" s="18"/>
      <c r="DX218" s="18"/>
      <c r="DY218" s="18"/>
      <c r="DZ218" s="18"/>
      <c r="EA218" s="18"/>
      <c r="EB218" s="18"/>
      <c r="EC218" s="18"/>
      <c r="ED218" s="18"/>
      <c r="EE218" s="18"/>
      <c r="EF218" s="18"/>
      <c r="EG218" s="18"/>
      <c r="EH218" s="18"/>
      <c r="EI218" s="18"/>
      <c r="EJ218" s="18"/>
      <c r="EK218" s="18"/>
      <c r="EL218" s="18"/>
      <c r="EM218" s="18"/>
      <c r="EN218" s="18"/>
      <c r="EO218" s="18"/>
      <c r="EP218" s="18"/>
      <c r="EQ218" s="18"/>
      <c r="ER218" s="18"/>
      <c r="ES218" s="18"/>
      <c r="ET218" s="18"/>
      <c r="EU218" s="18"/>
      <c r="EV218" s="18"/>
      <c r="EW218" s="18"/>
    </row>
    <row r="219" spans="1:153" ht="14" x14ac:dyDescent="0.2">
      <c r="A219" s="18" t="s">
        <v>177</v>
      </c>
      <c r="B219" s="18" t="s">
        <v>354</v>
      </c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>
        <v>4.7300000000000002E-2</v>
      </c>
      <c r="AV219" s="18"/>
      <c r="AW219" s="18"/>
      <c r="AX219" s="18"/>
      <c r="AY219" s="18"/>
      <c r="AZ219" s="18">
        <v>4.7300000000000002E-2</v>
      </c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>
        <v>4.7300000000000002E-2</v>
      </c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E219" s="18"/>
      <c r="EF219" s="18"/>
      <c r="EG219" s="18"/>
      <c r="EH219" s="18"/>
      <c r="EI219" s="18">
        <v>4.7300000000000002E-2</v>
      </c>
      <c r="EJ219" s="18">
        <v>4.7300000000000002E-2</v>
      </c>
      <c r="EK219" s="18">
        <v>4.7300000000000002E-2</v>
      </c>
      <c r="EL219" s="18">
        <v>4.7300000000000002E-2</v>
      </c>
      <c r="EM219" s="18">
        <v>4.7300000000000002E-2</v>
      </c>
      <c r="EN219" s="18"/>
      <c r="EO219" s="18"/>
      <c r="EP219" s="18"/>
      <c r="EQ219" s="18"/>
      <c r="ER219" s="18"/>
      <c r="ES219" s="18"/>
      <c r="ET219" s="18"/>
      <c r="EU219" s="18"/>
      <c r="EV219" s="18"/>
      <c r="EW219" s="18"/>
    </row>
    <row r="220" spans="1:153" ht="14" x14ac:dyDescent="0.2">
      <c r="A220" s="18" t="s">
        <v>178</v>
      </c>
      <c r="B220" s="18" t="s">
        <v>354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>
        <v>2.7E-2</v>
      </c>
      <c r="AW220" s="18">
        <v>2.7E-2</v>
      </c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</row>
    <row r="221" spans="1:153" ht="14" x14ac:dyDescent="0.2">
      <c r="A221" s="18" t="s">
        <v>179</v>
      </c>
      <c r="B221" s="18" t="s">
        <v>354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>
        <v>1.7000000000000001E-2</v>
      </c>
      <c r="EG221" s="18"/>
      <c r="EH221" s="18">
        <v>1.7000000000000001E-2</v>
      </c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</row>
    <row r="222" spans="1:153" ht="14" x14ac:dyDescent="0.2">
      <c r="A222" s="18" t="s">
        <v>180</v>
      </c>
      <c r="B222" s="18" t="s">
        <v>355</v>
      </c>
      <c r="C222" s="18">
        <v>81.599999999999994</v>
      </c>
      <c r="D222" s="18">
        <v>81.599999999999994</v>
      </c>
      <c r="E222" s="18">
        <v>81.599999999999994</v>
      </c>
      <c r="F222" s="18">
        <v>81.599999999999994</v>
      </c>
      <c r="G222" s="18">
        <v>81.599999999999994</v>
      </c>
      <c r="H222" s="18">
        <v>81.599999999999994</v>
      </c>
      <c r="I222" s="18">
        <v>81.599999999999994</v>
      </c>
      <c r="J222" s="18">
        <v>81.599999999999994</v>
      </c>
      <c r="K222" s="18">
        <v>81.599999999999994</v>
      </c>
      <c r="L222" s="18">
        <v>81.599999999999994</v>
      </c>
      <c r="M222" s="18">
        <v>81.599999999999994</v>
      </c>
      <c r="N222" s="18">
        <v>81.599999999999994</v>
      </c>
      <c r="O222" s="18">
        <v>81.599999999999994</v>
      </c>
      <c r="P222" s="18">
        <v>81.599999999999994</v>
      </c>
      <c r="Q222" s="18">
        <v>81.599999999999994</v>
      </c>
      <c r="R222" s="18">
        <v>81.599999999999994</v>
      </c>
      <c r="S222" s="18">
        <v>81.599999999999994</v>
      </c>
      <c r="T222" s="18">
        <v>81.599999999999994</v>
      </c>
      <c r="U222" s="18">
        <v>81.599999999999994</v>
      </c>
      <c r="V222" s="18">
        <v>81.599999999999994</v>
      </c>
      <c r="W222" s="18">
        <v>81.599999999999994</v>
      </c>
      <c r="X222" s="18">
        <v>81.599999999999994</v>
      </c>
      <c r="Y222" s="18">
        <v>81.599999999999994</v>
      </c>
      <c r="Z222" s="18">
        <v>81.599999999999994</v>
      </c>
      <c r="AA222" s="18">
        <v>81.599999999999994</v>
      </c>
      <c r="AB222" s="18">
        <v>81.599999999999994</v>
      </c>
      <c r="AC222" s="18">
        <v>81.599999999999994</v>
      </c>
      <c r="AD222" s="18">
        <v>81.599999999999994</v>
      </c>
      <c r="AE222" s="18">
        <v>73.2</v>
      </c>
      <c r="AF222" s="18">
        <v>73.2</v>
      </c>
      <c r="AG222" s="18">
        <v>73.2</v>
      </c>
      <c r="AH222" s="18">
        <v>73.2</v>
      </c>
      <c r="AI222" s="18">
        <v>73.2</v>
      </c>
      <c r="AJ222" s="18">
        <v>73.2</v>
      </c>
      <c r="AK222" s="18">
        <v>73.2</v>
      </c>
      <c r="AL222" s="18">
        <v>73.2</v>
      </c>
      <c r="AM222" s="18">
        <v>73.2</v>
      </c>
      <c r="AN222" s="18">
        <v>73.2</v>
      </c>
      <c r="AO222" s="18">
        <v>73.2</v>
      </c>
      <c r="AP222" s="18">
        <v>73.2</v>
      </c>
      <c r="AQ222" s="18">
        <v>81.599999999999994</v>
      </c>
      <c r="AR222" s="18">
        <v>81.599999999999994</v>
      </c>
      <c r="AS222" s="18"/>
      <c r="AT222" s="18"/>
      <c r="AU222" s="18"/>
      <c r="AV222" s="18"/>
      <c r="AW222" s="18"/>
      <c r="AX222" s="18"/>
      <c r="AY222" s="18"/>
      <c r="AZ222" s="18"/>
      <c r="BA222" s="18">
        <v>112</v>
      </c>
      <c r="BB222" s="18">
        <v>112</v>
      </c>
      <c r="BC222" s="18">
        <v>81.599999999999994</v>
      </c>
      <c r="BD222" s="18">
        <v>63.7</v>
      </c>
      <c r="BE222" s="18">
        <v>64.400000000000006</v>
      </c>
      <c r="BF222" s="18">
        <v>112</v>
      </c>
      <c r="BG222" s="18">
        <v>112</v>
      </c>
      <c r="BH222" s="18">
        <v>112</v>
      </c>
      <c r="BI222" s="18">
        <v>112</v>
      </c>
      <c r="BJ222" s="18">
        <v>112</v>
      </c>
      <c r="BK222" s="18">
        <v>112</v>
      </c>
      <c r="BL222" s="18">
        <v>112</v>
      </c>
      <c r="BM222" s="18">
        <v>112</v>
      </c>
      <c r="BN222" s="18">
        <v>112</v>
      </c>
      <c r="BO222" s="18">
        <v>112</v>
      </c>
      <c r="BP222" s="18">
        <v>112</v>
      </c>
      <c r="BQ222" s="18">
        <v>112</v>
      </c>
      <c r="BR222" s="18">
        <v>81.599999999999994</v>
      </c>
      <c r="BS222" s="18">
        <v>81.599999999999994</v>
      </c>
      <c r="BT222" s="18">
        <v>81.599999999999994</v>
      </c>
      <c r="BU222" s="18">
        <v>81.599999999999994</v>
      </c>
      <c r="BV222" s="18">
        <v>81.599999999999994</v>
      </c>
      <c r="BW222" s="18">
        <v>81.599999999999994</v>
      </c>
      <c r="BX222" s="18">
        <v>73.2</v>
      </c>
      <c r="BY222" s="18">
        <v>73.2</v>
      </c>
      <c r="BZ222" s="18">
        <v>81.599999999999994</v>
      </c>
      <c r="CA222" s="18">
        <v>81.599999999999994</v>
      </c>
      <c r="CB222" s="18">
        <v>81.599999999999994</v>
      </c>
      <c r="CC222" s="18">
        <v>81.599999999999994</v>
      </c>
      <c r="CD222" s="18">
        <v>81.599999999999994</v>
      </c>
      <c r="CE222" s="18">
        <v>81.599999999999994</v>
      </c>
      <c r="CF222" s="18">
        <v>81.599999999999994</v>
      </c>
      <c r="CG222" s="18">
        <v>81.599999999999994</v>
      </c>
      <c r="CH222" s="18">
        <v>63.7</v>
      </c>
      <c r="CI222" s="18">
        <v>112</v>
      </c>
      <c r="CJ222" s="18">
        <v>112</v>
      </c>
      <c r="CK222" s="18">
        <v>112</v>
      </c>
      <c r="CL222" s="18">
        <v>112</v>
      </c>
      <c r="CM222" s="18">
        <v>112</v>
      </c>
      <c r="CN222" s="18">
        <v>112</v>
      </c>
      <c r="CO222" s="18">
        <v>112</v>
      </c>
      <c r="CP222" s="18">
        <v>112</v>
      </c>
      <c r="CQ222" s="18">
        <v>112</v>
      </c>
      <c r="CR222" s="18">
        <v>112</v>
      </c>
      <c r="CS222" s="18">
        <v>112</v>
      </c>
      <c r="CT222" s="18">
        <v>112</v>
      </c>
      <c r="CU222" s="18">
        <v>112</v>
      </c>
      <c r="CV222" s="18">
        <v>112</v>
      </c>
      <c r="CW222" s="18">
        <v>112</v>
      </c>
      <c r="CX222" s="18">
        <v>112</v>
      </c>
      <c r="CY222" s="18">
        <v>112</v>
      </c>
      <c r="CZ222" s="18">
        <v>112</v>
      </c>
      <c r="DA222" s="18">
        <v>112</v>
      </c>
      <c r="DB222" s="18">
        <v>112</v>
      </c>
      <c r="DC222" s="18">
        <v>112</v>
      </c>
      <c r="DD222" s="18">
        <v>112</v>
      </c>
      <c r="DE222" s="18">
        <v>112</v>
      </c>
      <c r="DF222" s="18">
        <v>112</v>
      </c>
      <c r="DG222" s="18">
        <v>112</v>
      </c>
      <c r="DH222" s="18">
        <v>112</v>
      </c>
      <c r="DI222" s="18">
        <v>112</v>
      </c>
      <c r="DJ222" s="18">
        <v>112</v>
      </c>
      <c r="DK222" s="18"/>
      <c r="DL222" s="18"/>
      <c r="DM222" s="18"/>
      <c r="DN222" s="18">
        <v>112</v>
      </c>
      <c r="DO222" s="18">
        <v>112</v>
      </c>
      <c r="DP222" s="18">
        <v>112</v>
      </c>
      <c r="DQ222" s="18">
        <v>112</v>
      </c>
      <c r="DR222" s="18">
        <v>112</v>
      </c>
      <c r="DS222" s="18">
        <v>112</v>
      </c>
      <c r="DT222" s="18">
        <v>112</v>
      </c>
      <c r="DU222" s="18">
        <v>112</v>
      </c>
      <c r="DV222" s="18">
        <v>112</v>
      </c>
      <c r="DW222" s="18">
        <v>112</v>
      </c>
      <c r="DX222" s="18">
        <v>112</v>
      </c>
      <c r="DY222" s="18">
        <v>116.47</v>
      </c>
      <c r="DZ222" s="18">
        <v>112</v>
      </c>
      <c r="EA222" s="18">
        <v>112</v>
      </c>
      <c r="EB222" s="18"/>
      <c r="EC222" s="18"/>
      <c r="ED222" s="18"/>
      <c r="EE222" s="18"/>
      <c r="EF222" s="18"/>
      <c r="EG222" s="18"/>
      <c r="EH222" s="18"/>
      <c r="EI222" s="18">
        <v>112</v>
      </c>
      <c r="EJ222" s="18">
        <v>112</v>
      </c>
      <c r="EK222" s="18">
        <v>112</v>
      </c>
      <c r="EL222" s="18">
        <v>112</v>
      </c>
      <c r="EM222" s="18"/>
      <c r="EN222" s="18">
        <v>112</v>
      </c>
      <c r="EO222" s="18"/>
      <c r="EP222" s="18">
        <v>116.48</v>
      </c>
      <c r="EQ222" s="18">
        <v>112</v>
      </c>
      <c r="ER222" s="18">
        <v>81.599999999999994</v>
      </c>
      <c r="ES222" s="18">
        <v>68.599999999999994</v>
      </c>
      <c r="ET222" s="18">
        <v>71.5</v>
      </c>
      <c r="EU222" s="18">
        <v>81.599999999999994</v>
      </c>
      <c r="EV222" s="18">
        <v>112.179</v>
      </c>
      <c r="EW222" s="18">
        <v>112</v>
      </c>
    </row>
    <row r="223" spans="1:153" ht="14" x14ac:dyDescent="0.2">
      <c r="A223" s="18" t="s">
        <v>181</v>
      </c>
      <c r="B223" s="18" t="s">
        <v>355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>
        <v>112</v>
      </c>
      <c r="AT223" s="18">
        <v>112</v>
      </c>
      <c r="AU223" s="18"/>
      <c r="AV223" s="18">
        <v>0</v>
      </c>
      <c r="AW223" s="18">
        <v>0</v>
      </c>
      <c r="AX223" s="18">
        <v>112</v>
      </c>
      <c r="AY223" s="18">
        <v>112</v>
      </c>
      <c r="AZ223" s="18">
        <v>747.04</v>
      </c>
      <c r="BA223" s="18">
        <v>896</v>
      </c>
      <c r="BB223" s="18">
        <v>896</v>
      </c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>
        <v>112</v>
      </c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>
        <f>DV222*6</f>
        <v>672</v>
      </c>
      <c r="DW223" s="18">
        <f>DW222*6</f>
        <v>672</v>
      </c>
      <c r="DX223" s="18">
        <f>DX222*6</f>
        <v>672</v>
      </c>
      <c r="DY223" s="18"/>
      <c r="DZ223" s="18"/>
      <c r="EA223" s="18"/>
      <c r="EB223" s="18">
        <v>112</v>
      </c>
      <c r="EC223" s="18">
        <v>112</v>
      </c>
      <c r="ED223" s="18">
        <v>112</v>
      </c>
      <c r="EE223" s="18">
        <v>112</v>
      </c>
      <c r="EF223" s="18"/>
      <c r="EG223" s="18"/>
      <c r="EH223" s="18"/>
      <c r="EI223" s="18"/>
      <c r="EJ223" s="18">
        <v>487.2</v>
      </c>
      <c r="EK223" s="18">
        <v>487.2</v>
      </c>
      <c r="EL223" s="18"/>
      <c r="EM223" s="18"/>
      <c r="EN223" s="18"/>
      <c r="EO223" s="18">
        <v>672</v>
      </c>
      <c r="EP223" s="18"/>
      <c r="EQ223" s="18"/>
      <c r="ER223" s="18"/>
      <c r="ES223" s="18"/>
      <c r="ET223" s="18"/>
      <c r="EU223" s="18"/>
      <c r="EV223" s="18"/>
      <c r="EW223" s="18"/>
    </row>
    <row r="224" spans="1:153" ht="14" x14ac:dyDescent="0.2">
      <c r="A224" s="18" t="s">
        <v>182</v>
      </c>
      <c r="B224" s="18" t="s">
        <v>355</v>
      </c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71.900000000000006</v>
      </c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  <c r="DW224" s="18"/>
      <c r="DX224" s="18"/>
      <c r="DY224" s="18"/>
      <c r="DZ224" s="18"/>
      <c r="EA224" s="18"/>
      <c r="EB224" s="18"/>
      <c r="EC224" s="18"/>
      <c r="ED224" s="18"/>
      <c r="EE224" s="18"/>
      <c r="EF224" s="18"/>
      <c r="EG224" s="18"/>
      <c r="EH224" s="18"/>
      <c r="EI224" s="18"/>
      <c r="EJ224" s="18"/>
      <c r="EK224" s="18"/>
      <c r="EL224" s="18"/>
      <c r="EM224" s="18"/>
      <c r="EN224" s="18"/>
      <c r="EO224" s="18"/>
      <c r="EP224" s="18"/>
      <c r="EQ224" s="18"/>
      <c r="ER224" s="18"/>
      <c r="ES224" s="18"/>
      <c r="ET224" s="18"/>
      <c r="EU224" s="18"/>
      <c r="EV224" s="18"/>
      <c r="EW224" s="18"/>
    </row>
    <row r="225" spans="1:153" ht="14" x14ac:dyDescent="0.2">
      <c r="A225" s="18" t="s">
        <v>183</v>
      </c>
      <c r="B225" s="18" t="s">
        <v>355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>
        <v>112</v>
      </c>
      <c r="AV225" s="18"/>
      <c r="AW225" s="18"/>
      <c r="AX225" s="18"/>
      <c r="AY225" s="18"/>
      <c r="AZ225" s="18">
        <v>63.1</v>
      </c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>
        <v>56.1</v>
      </c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  <c r="DW225" s="18"/>
      <c r="DX225" s="18"/>
      <c r="DY225" s="18"/>
      <c r="DZ225" s="18"/>
      <c r="EA225" s="18"/>
      <c r="EB225" s="18"/>
      <c r="EC225" s="18"/>
      <c r="ED225" s="18"/>
      <c r="EE225" s="18"/>
      <c r="EF225" s="18"/>
      <c r="EG225" s="18"/>
      <c r="EH225" s="18"/>
      <c r="EI225" s="18">
        <v>112</v>
      </c>
      <c r="EJ225" s="18">
        <f>487.2*0.9</f>
        <v>438.48</v>
      </c>
      <c r="EK225" s="18">
        <f>112*0.9</f>
        <v>100.8</v>
      </c>
      <c r="EL225" s="18">
        <v>112</v>
      </c>
      <c r="EM225" s="18">
        <v>63.1</v>
      </c>
      <c r="EN225" s="18"/>
      <c r="EO225" s="18"/>
      <c r="EP225" s="18"/>
      <c r="EQ225" s="18"/>
      <c r="ER225" s="18"/>
      <c r="ES225" s="18"/>
      <c r="ET225" s="18"/>
      <c r="EU225" s="18"/>
      <c r="EV225" s="18"/>
      <c r="EW225" s="18"/>
    </row>
    <row r="226" spans="1:153" ht="14" x14ac:dyDescent="0.2">
      <c r="A226" s="18" t="s">
        <v>184</v>
      </c>
      <c r="B226" s="18" t="s">
        <v>355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18"/>
      <c r="DV226" s="18"/>
      <c r="DW226" s="18"/>
      <c r="DX226" s="18"/>
      <c r="DY226" s="18"/>
      <c r="DZ226" s="18"/>
      <c r="EA226" s="18"/>
      <c r="EB226" s="18"/>
      <c r="EC226" s="18"/>
      <c r="ED226" s="18"/>
      <c r="EE226" s="18"/>
      <c r="EF226" s="18"/>
      <c r="EG226" s="18"/>
      <c r="EH226" s="18"/>
      <c r="EI226" s="18"/>
      <c r="EJ226" s="18"/>
      <c r="EK226" s="18"/>
      <c r="EL226" s="18"/>
      <c r="EM226" s="18"/>
      <c r="EN226" s="18"/>
      <c r="EO226" s="18"/>
      <c r="EP226" s="18"/>
      <c r="EQ226" s="18"/>
      <c r="ER226" s="18"/>
      <c r="ES226" s="18"/>
      <c r="ET226" s="18"/>
      <c r="EU226" s="18"/>
      <c r="EV226" s="18"/>
      <c r="EW226" s="18"/>
    </row>
    <row r="227" spans="1:153" ht="14" x14ac:dyDescent="0.2">
      <c r="A227" s="18" t="s">
        <v>185</v>
      </c>
      <c r="B227" s="18" t="s">
        <v>355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18"/>
      <c r="DV227" s="18"/>
      <c r="DW227" s="18"/>
      <c r="DX227" s="18"/>
      <c r="DY227" s="18"/>
      <c r="DZ227" s="18"/>
      <c r="EA227" s="18"/>
      <c r="EB227" s="18"/>
      <c r="EC227" s="18"/>
      <c r="ED227" s="18"/>
      <c r="EE227" s="18"/>
      <c r="EF227" s="18"/>
      <c r="EG227" s="18"/>
      <c r="EH227" s="18"/>
      <c r="EI227" s="18"/>
      <c r="EJ227" s="18"/>
      <c r="EK227" s="18"/>
      <c r="EL227" s="18"/>
      <c r="EM227" s="18"/>
      <c r="EN227" s="18"/>
      <c r="EO227" s="18"/>
      <c r="EP227" s="18"/>
      <c r="EQ227" s="18"/>
      <c r="ER227" s="18"/>
      <c r="ES227" s="18"/>
      <c r="ET227" s="18"/>
      <c r="EU227" s="18"/>
      <c r="EV227" s="18"/>
      <c r="EW227" s="18"/>
    </row>
    <row r="228" spans="1:153" ht="14" x14ac:dyDescent="0.2">
      <c r="A228" s="18" t="s">
        <v>186</v>
      </c>
      <c r="B228" s="18" t="s">
        <v>355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18"/>
      <c r="DV228" s="18"/>
      <c r="DW228" s="18"/>
      <c r="DX228" s="18"/>
      <c r="DY228" s="18"/>
      <c r="DZ228" s="18"/>
      <c r="EA228" s="18"/>
      <c r="EB228" s="18"/>
      <c r="EC228" s="18"/>
      <c r="ED228" s="18"/>
      <c r="EE228" s="18"/>
      <c r="EF228" s="18"/>
      <c r="EG228" s="18"/>
      <c r="EH228" s="18"/>
      <c r="EI228" s="18"/>
      <c r="EJ228" s="18"/>
      <c r="EK228" s="18"/>
      <c r="EL228" s="18"/>
      <c r="EM228" s="18"/>
      <c r="EN228" s="18"/>
      <c r="EO228" s="18"/>
      <c r="EP228" s="18"/>
      <c r="EQ228" s="18"/>
      <c r="ER228" s="18"/>
      <c r="ES228" s="18"/>
      <c r="ET228" s="18"/>
      <c r="EU228" s="18"/>
      <c r="EV228" s="18"/>
      <c r="EW228" s="18"/>
    </row>
    <row r="229" spans="1:153" ht="14" x14ac:dyDescent="0.2">
      <c r="A229" s="18" t="s">
        <v>187</v>
      </c>
      <c r="B229" s="18" t="s">
        <v>356</v>
      </c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>
        <v>0</v>
      </c>
      <c r="AW229" s="18">
        <v>0</v>
      </c>
      <c r="AX229" s="18"/>
      <c r="AY229" s="18"/>
      <c r="AZ229" s="18"/>
      <c r="BA229" s="18">
        <v>33.950000000000003</v>
      </c>
      <c r="BB229" s="18">
        <v>33.950000000000003</v>
      </c>
      <c r="BC229" s="18"/>
      <c r="BD229" s="18"/>
      <c r="BE229" s="18"/>
      <c r="BF229" s="18">
        <v>8.6920000000000002</v>
      </c>
      <c r="BG229" s="18">
        <v>8.6920000000000002</v>
      </c>
      <c r="BH229" s="18">
        <v>8.6920000000000002</v>
      </c>
      <c r="BI229" s="18">
        <v>8.6920000000000002</v>
      </c>
      <c r="BJ229" s="18">
        <v>8.6920000000000002</v>
      </c>
      <c r="BK229" s="18">
        <v>8.6920000000000002</v>
      </c>
      <c r="BL229" s="18">
        <v>34</v>
      </c>
      <c r="BM229" s="18">
        <v>34</v>
      </c>
      <c r="BN229" s="18">
        <v>34</v>
      </c>
      <c r="BO229" s="18">
        <v>34</v>
      </c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>
        <v>29.167000000000002</v>
      </c>
      <c r="CJ229" s="18">
        <v>29.167000000000002</v>
      </c>
      <c r="CK229" s="18">
        <v>33.97</v>
      </c>
      <c r="CL229" s="18">
        <v>33.97</v>
      </c>
      <c r="CM229" s="18">
        <v>33.97</v>
      </c>
      <c r="CN229" s="18">
        <v>33.97</v>
      </c>
      <c r="CO229" s="18">
        <v>33.97</v>
      </c>
      <c r="CP229" s="18">
        <v>33.97</v>
      </c>
      <c r="CQ229" s="18">
        <v>33.97</v>
      </c>
      <c r="CR229" s="18">
        <v>33.97</v>
      </c>
      <c r="CS229" s="18">
        <v>33.97</v>
      </c>
      <c r="CT229" s="18">
        <v>33.97</v>
      </c>
      <c r="CU229" s="18">
        <v>29.17</v>
      </c>
      <c r="CV229" s="18">
        <v>29.17</v>
      </c>
      <c r="CW229" s="18">
        <v>29.17</v>
      </c>
      <c r="CX229" s="18">
        <v>8.6920000000000002</v>
      </c>
      <c r="CY229" s="18">
        <v>8.6920000000000002</v>
      </c>
      <c r="CZ229" s="18">
        <v>8.6920000000000002</v>
      </c>
      <c r="DA229" s="18">
        <v>8.6920000000000002</v>
      </c>
      <c r="DB229" s="18">
        <v>8.6920000000000002</v>
      </c>
      <c r="DC229" s="18">
        <v>8.6920000000000002</v>
      </c>
      <c r="DD229" s="18">
        <v>8.6920000000000002</v>
      </c>
      <c r="DE229" s="18">
        <v>8.6920000000000002</v>
      </c>
      <c r="DF229" s="18">
        <v>8.6920000000000002</v>
      </c>
      <c r="DG229" s="18">
        <v>8.6920000000000002</v>
      </c>
      <c r="DH229" s="18">
        <v>8.6920000000000002</v>
      </c>
      <c r="DI229" s="18">
        <v>8.6920000000000002</v>
      </c>
      <c r="DJ229" s="18">
        <v>34</v>
      </c>
      <c r="DK229" s="18"/>
      <c r="DL229" s="18"/>
      <c r="DM229" s="18"/>
      <c r="DN229" s="18">
        <v>8.6920000000000002</v>
      </c>
      <c r="DO229" s="18">
        <v>8.6920000000000002</v>
      </c>
      <c r="DP229" s="18">
        <v>8.6920000000000002</v>
      </c>
      <c r="DQ229" s="18">
        <v>8.6920000000000002</v>
      </c>
      <c r="DR229" s="18">
        <v>8.6920000000000002</v>
      </c>
      <c r="DS229" s="18">
        <v>8.6920000000000002</v>
      </c>
      <c r="DT229" s="18">
        <v>8.6920000000000002</v>
      </c>
      <c r="DU229" s="18">
        <v>8.6920000000000002</v>
      </c>
      <c r="DV229" s="18">
        <v>33.951999999999998</v>
      </c>
      <c r="DW229" s="18">
        <v>33.951999999999998</v>
      </c>
      <c r="DX229" s="18">
        <v>33.951999999999998</v>
      </c>
      <c r="DY229" s="18">
        <f>30.33</f>
        <v>30.33</v>
      </c>
      <c r="DZ229" s="18">
        <v>29.166699999999999</v>
      </c>
      <c r="EA229" s="18">
        <v>29.166699999999999</v>
      </c>
      <c r="EB229" s="18"/>
      <c r="EC229" s="18"/>
      <c r="ED229" s="18"/>
      <c r="EE229" s="18"/>
      <c r="EF229" s="18"/>
      <c r="EG229" s="18"/>
      <c r="EH229" s="18"/>
      <c r="EI229" s="18">
        <f>34.27+2.98</f>
        <v>37.25</v>
      </c>
      <c r="EJ229" s="18">
        <f t="shared" ref="EJ229" si="12">34.27+2.98</f>
        <v>37.25</v>
      </c>
      <c r="EK229" s="18">
        <f t="shared" ref="EK229" si="13">34.27+2.98</f>
        <v>37.25</v>
      </c>
      <c r="EL229" s="18">
        <f>34.27+2.98</f>
        <v>37.25</v>
      </c>
      <c r="EM229" s="18"/>
      <c r="EN229" s="18">
        <v>8.6920000000000002</v>
      </c>
      <c r="EO229" s="18"/>
      <c r="EP229" s="18">
        <v>35.33</v>
      </c>
      <c r="EQ229" s="18">
        <v>8.6920000000000002</v>
      </c>
      <c r="ER229" s="18"/>
      <c r="ES229" s="18"/>
      <c r="ET229" s="18"/>
      <c r="EU229" s="18"/>
      <c r="EV229" s="18">
        <v>37.179487000000002</v>
      </c>
      <c r="EW229" s="18">
        <v>29.166699999999999</v>
      </c>
    </row>
    <row r="230" spans="1:153" ht="14" x14ac:dyDescent="0.2">
      <c r="A230" s="18" t="s">
        <v>188</v>
      </c>
      <c r="B230" s="18" t="s">
        <v>356</v>
      </c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226.45</v>
      </c>
      <c r="BA230" s="18">
        <v>271.60000000000002</v>
      </c>
      <c r="BB230" s="18">
        <v>271.60000000000002</v>
      </c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18"/>
      <c r="DV230" s="18">
        <f>DV229*6</f>
        <v>203.71199999999999</v>
      </c>
      <c r="DW230" s="18">
        <f>DW229*6</f>
        <v>203.71199999999999</v>
      </c>
      <c r="DX230" s="18">
        <f>DX229*6</f>
        <v>203.71199999999999</v>
      </c>
      <c r="DY230" s="18"/>
      <c r="DZ230" s="18"/>
      <c r="EA230" s="18"/>
      <c r="EB230" s="18"/>
      <c r="EC230" s="18"/>
      <c r="ED230" s="18"/>
      <c r="EE230" s="18"/>
      <c r="EF230" s="18"/>
      <c r="EG230" s="18"/>
      <c r="EH230" s="18"/>
      <c r="EI230" s="18"/>
      <c r="EJ230" s="18">
        <v>162.05000000000001</v>
      </c>
      <c r="EK230" s="18">
        <v>162.05000000000001</v>
      </c>
      <c r="EL230" s="18"/>
      <c r="EM230" s="18"/>
      <c r="EN230" s="18"/>
      <c r="EO230" s="18">
        <v>29.88</v>
      </c>
      <c r="EP230" s="18"/>
      <c r="EQ230" s="18"/>
      <c r="ER230" s="18"/>
      <c r="ES230" s="18"/>
      <c r="ET230" s="18"/>
      <c r="EU230" s="18"/>
      <c r="EV230" s="18"/>
      <c r="EW230" s="18"/>
    </row>
    <row r="231" spans="1:153" ht="14" x14ac:dyDescent="0.2">
      <c r="A231" s="18" t="s">
        <v>189</v>
      </c>
      <c r="B231" s="18" t="s">
        <v>356</v>
      </c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0</v>
      </c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  <c r="DW231" s="18"/>
      <c r="DX231" s="18"/>
      <c r="DY231" s="18"/>
      <c r="DZ231" s="18"/>
      <c r="EA231" s="18"/>
      <c r="EB231" s="18"/>
      <c r="EC231" s="18"/>
      <c r="ED231" s="18"/>
      <c r="EE231" s="18"/>
      <c r="EF231" s="18"/>
      <c r="EG231" s="18"/>
      <c r="EH231" s="18"/>
      <c r="EI231" s="18"/>
      <c r="EJ231" s="18"/>
      <c r="EK231" s="18"/>
      <c r="EL231" s="18"/>
      <c r="EM231" s="18"/>
      <c r="EN231" s="18"/>
      <c r="EO231" s="18"/>
      <c r="EP231" s="18"/>
      <c r="EQ231" s="18"/>
      <c r="ER231" s="18"/>
      <c r="ES231" s="18"/>
      <c r="ET231" s="18"/>
      <c r="EU231" s="18"/>
      <c r="EV231" s="18"/>
      <c r="EW231" s="18"/>
    </row>
    <row r="232" spans="1:153" ht="14" x14ac:dyDescent="0.2">
      <c r="A232" s="18" t="s">
        <v>190</v>
      </c>
      <c r="B232" s="18" t="s">
        <v>356</v>
      </c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>
        <f>1546.8/(AU183*AU219*AU22/1000*AU20)</f>
        <v>21.846388783075387</v>
      </c>
      <c r="AV232" s="18"/>
      <c r="AW232" s="18"/>
      <c r="AX232" s="18"/>
      <c r="AY232" s="18"/>
      <c r="AZ232" s="18">
        <v>0</v>
      </c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>
        <f>34.27+2.98</f>
        <v>37.25</v>
      </c>
      <c r="EJ232" s="18">
        <f>162*0.9</f>
        <v>145.80000000000001</v>
      </c>
      <c r="EK232" s="18"/>
      <c r="EL232" s="18">
        <f>34.27+2.98</f>
        <v>37.25</v>
      </c>
      <c r="EM232" s="18">
        <v>16.100000000000001</v>
      </c>
      <c r="EN232" s="18"/>
      <c r="EO232" s="18"/>
      <c r="EP232" s="18"/>
      <c r="EQ232" s="18"/>
      <c r="ER232" s="18"/>
      <c r="ES232" s="18"/>
      <c r="ET232" s="18"/>
      <c r="EU232" s="18"/>
      <c r="EV232" s="18"/>
      <c r="EW232" s="18"/>
    </row>
    <row r="233" spans="1:153" ht="14" x14ac:dyDescent="0.2">
      <c r="A233" s="18" t="s">
        <v>191</v>
      </c>
      <c r="B233" s="18" t="s">
        <v>356</v>
      </c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E233" s="18"/>
      <c r="EF233" s="18"/>
      <c r="EG233" s="18"/>
      <c r="EH233" s="18"/>
      <c r="EI233" s="18"/>
      <c r="EJ233" s="18"/>
      <c r="EK233" s="18"/>
      <c r="EL233" s="18"/>
      <c r="EM233" s="18"/>
      <c r="EN233" s="18"/>
      <c r="EO233" s="18"/>
      <c r="EP233" s="18"/>
      <c r="EQ233" s="18"/>
      <c r="ER233" s="18"/>
      <c r="ES233" s="18"/>
      <c r="ET233" s="18"/>
      <c r="EU233" s="18"/>
      <c r="EV233" s="18"/>
      <c r="EW233" s="18"/>
    </row>
    <row r="234" spans="1:153" ht="14" x14ac:dyDescent="0.2">
      <c r="A234" s="18" t="s">
        <v>192</v>
      </c>
      <c r="B234" s="18" t="s">
        <v>356</v>
      </c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/>
      <c r="DN234" s="18"/>
      <c r="DO234" s="18"/>
      <c r="DP234" s="18"/>
      <c r="DQ234" s="18"/>
      <c r="DR234" s="18"/>
      <c r="DS234" s="18"/>
      <c r="DT234" s="18"/>
      <c r="DU234" s="18"/>
      <c r="DV234" s="18"/>
      <c r="DW234" s="18"/>
      <c r="DX234" s="18"/>
      <c r="DY234" s="18"/>
      <c r="DZ234" s="18"/>
      <c r="EA234" s="18"/>
      <c r="EB234" s="18"/>
      <c r="EC234" s="18"/>
      <c r="ED234" s="18"/>
      <c r="EE234" s="18"/>
      <c r="EF234" s="18"/>
      <c r="EG234" s="18"/>
      <c r="EH234" s="18"/>
      <c r="EI234" s="18"/>
      <c r="EJ234" s="18"/>
      <c r="EK234" s="18"/>
      <c r="EL234" s="18"/>
      <c r="EM234" s="18"/>
      <c r="EN234" s="18"/>
      <c r="EO234" s="18"/>
      <c r="EP234" s="18"/>
      <c r="EQ234" s="18"/>
      <c r="ER234" s="18"/>
      <c r="ES234" s="18"/>
      <c r="ET234" s="18"/>
      <c r="EU234" s="18"/>
      <c r="EV234" s="18"/>
      <c r="EW234" s="18"/>
    </row>
    <row r="235" spans="1:153" ht="14" x14ac:dyDescent="0.2">
      <c r="A235" s="18" t="s">
        <v>193</v>
      </c>
      <c r="B235" s="18" t="s">
        <v>356</v>
      </c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8"/>
      <c r="DS235" s="18"/>
      <c r="DT235" s="18"/>
      <c r="DU235" s="18"/>
      <c r="DV235" s="18"/>
      <c r="DW235" s="18"/>
      <c r="DX235" s="18"/>
      <c r="DY235" s="18"/>
      <c r="DZ235" s="18"/>
      <c r="EA235" s="18"/>
      <c r="EB235" s="18"/>
      <c r="EC235" s="18"/>
      <c r="ED235" s="18"/>
      <c r="EE235" s="18"/>
      <c r="EF235" s="18"/>
      <c r="EG235" s="18"/>
      <c r="EH235" s="18"/>
      <c r="EI235" s="18"/>
      <c r="EJ235" s="18"/>
      <c r="EK235" s="18"/>
      <c r="EL235" s="18"/>
      <c r="EM235" s="18"/>
      <c r="EN235" s="18"/>
      <c r="EO235" s="18"/>
      <c r="EP235" s="18"/>
      <c r="EQ235" s="18"/>
      <c r="ER235" s="18"/>
      <c r="ES235" s="18"/>
      <c r="ET235" s="18"/>
      <c r="EU235" s="18"/>
      <c r="EV235" s="18"/>
      <c r="EW235" s="18"/>
    </row>
    <row r="236" spans="1:153" ht="14" x14ac:dyDescent="0.2">
      <c r="A236" s="18" t="s">
        <v>194</v>
      </c>
      <c r="B236" s="18" t="s">
        <v>355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/>
      <c r="DN236" s="18"/>
      <c r="DO236" s="18"/>
      <c r="DP236" s="18"/>
      <c r="DQ236" s="18"/>
      <c r="DR236" s="18"/>
      <c r="DS236" s="18"/>
      <c r="DT236" s="18"/>
      <c r="DU236" s="18"/>
      <c r="DV236" s="18"/>
      <c r="DW236" s="18"/>
      <c r="DX236" s="18"/>
      <c r="DY236" s="18"/>
      <c r="DZ236" s="18"/>
      <c r="EA236" s="18"/>
      <c r="EB236" s="18"/>
      <c r="EC236" s="18"/>
      <c r="ED236" s="18"/>
      <c r="EE236" s="18"/>
      <c r="EF236" s="18"/>
      <c r="EG236" s="18"/>
      <c r="EH236" s="18"/>
      <c r="EI236" s="18"/>
      <c r="EJ236" s="18"/>
      <c r="EK236" s="18"/>
      <c r="EL236" s="18"/>
      <c r="EM236" s="18"/>
      <c r="EN236" s="18"/>
      <c r="EO236" s="18"/>
      <c r="EP236" s="18"/>
      <c r="EQ236" s="18"/>
      <c r="ER236" s="18"/>
      <c r="ES236" s="18"/>
      <c r="ET236" s="18"/>
      <c r="EU236" s="18"/>
      <c r="EV236" s="18"/>
      <c r="EW236" s="18"/>
    </row>
    <row r="237" spans="1:153" ht="14" x14ac:dyDescent="0.2">
      <c r="A237" s="18" t="s">
        <v>197</v>
      </c>
      <c r="B237" s="18" t="s">
        <v>357</v>
      </c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18"/>
      <c r="DV237" s="18"/>
      <c r="DW237" s="18"/>
      <c r="DX237" s="18"/>
      <c r="DY237" s="18"/>
      <c r="DZ237" s="18"/>
      <c r="EA237" s="18"/>
      <c r="EB237" s="18"/>
      <c r="EC237" s="18"/>
      <c r="ED237" s="18"/>
      <c r="EE237" s="18"/>
      <c r="EF237" s="18"/>
      <c r="EG237" s="18"/>
      <c r="EH237" s="18"/>
      <c r="EI237" s="18"/>
      <c r="EJ237" s="18"/>
      <c r="EK237" s="18"/>
      <c r="EL237" s="18"/>
      <c r="EM237" s="18"/>
      <c r="EN237" s="18"/>
      <c r="EO237" s="18"/>
      <c r="EP237" s="18"/>
      <c r="EQ237" s="18"/>
      <c r="ER237" s="18"/>
      <c r="ES237" s="18"/>
      <c r="ET237" s="18"/>
      <c r="EU237" s="18"/>
      <c r="EV237" s="18"/>
      <c r="EW237" s="18"/>
    </row>
    <row r="238" spans="1:153" ht="14" x14ac:dyDescent="0.2">
      <c r="A238" s="18" t="s">
        <v>198</v>
      </c>
      <c r="B238" s="18" t="s">
        <v>358</v>
      </c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8"/>
      <c r="EP238" s="18"/>
      <c r="EQ238" s="18"/>
      <c r="ER238" s="18"/>
      <c r="ES238" s="18"/>
      <c r="ET238" s="18"/>
      <c r="EU238" s="18"/>
      <c r="EV238" s="18"/>
      <c r="EW238" s="18"/>
    </row>
    <row r="239" spans="1:153" ht="14" x14ac:dyDescent="0.2">
      <c r="A239" s="18" t="s">
        <v>195</v>
      </c>
      <c r="B239" s="18" t="s">
        <v>355</v>
      </c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E239" s="18"/>
      <c r="EF239" s="18"/>
      <c r="EG239" s="18"/>
      <c r="EH239" s="18"/>
      <c r="EI239" s="18"/>
      <c r="EJ239" s="18"/>
      <c r="EK239" s="18"/>
      <c r="EL239" s="18"/>
      <c r="EM239" s="18"/>
      <c r="EN239" s="18"/>
      <c r="EO239" s="18"/>
      <c r="EP239" s="18"/>
      <c r="EQ239" s="18"/>
      <c r="ER239" s="18"/>
      <c r="ES239" s="18"/>
      <c r="ET239" s="18"/>
      <c r="EU239" s="18"/>
      <c r="EV239" s="18"/>
      <c r="EW239" s="18"/>
    </row>
    <row r="240" spans="1:153" ht="14" x14ac:dyDescent="0.2">
      <c r="A240" s="18" t="s">
        <v>199</v>
      </c>
      <c r="B240" s="18" t="s">
        <v>357</v>
      </c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  <c r="ER240" s="18"/>
      <c r="ES240" s="18"/>
      <c r="ET240" s="18"/>
      <c r="EU240" s="18"/>
      <c r="EV240" s="18"/>
      <c r="EW240" s="18"/>
    </row>
    <row r="241" spans="1:153" ht="14" x14ac:dyDescent="0.2">
      <c r="A241" s="18" t="s">
        <v>200</v>
      </c>
      <c r="B241" s="18" t="s">
        <v>358</v>
      </c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  <c r="EJ241" s="18"/>
      <c r="EK241" s="18"/>
      <c r="EL241" s="18"/>
      <c r="EM241" s="18"/>
      <c r="EN241" s="18"/>
      <c r="EO241" s="18"/>
      <c r="EP241" s="18"/>
      <c r="EQ241" s="18"/>
      <c r="ER241" s="18"/>
      <c r="ES241" s="18"/>
      <c r="ET241" s="18"/>
      <c r="EU241" s="18"/>
      <c r="EV241" s="18"/>
      <c r="EW241" s="18"/>
    </row>
    <row r="242" spans="1:153" ht="14" x14ac:dyDescent="0.2">
      <c r="A242" s="18" t="s">
        <v>196</v>
      </c>
      <c r="B242" s="18" t="s">
        <v>355</v>
      </c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  <c r="ER242" s="18"/>
      <c r="ES242" s="18"/>
      <c r="ET242" s="18"/>
      <c r="EU242" s="18"/>
      <c r="EV242" s="18"/>
      <c r="EW242" s="18"/>
    </row>
    <row r="243" spans="1:153" ht="14" x14ac:dyDescent="0.2">
      <c r="A243" s="18" t="s">
        <v>201</v>
      </c>
      <c r="B243" s="18" t="s">
        <v>357</v>
      </c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18"/>
      <c r="DV243" s="18"/>
      <c r="DW243" s="18"/>
      <c r="DX243" s="18"/>
      <c r="DY243" s="18"/>
      <c r="DZ243" s="18"/>
      <c r="EA243" s="18"/>
      <c r="EB243" s="18"/>
      <c r="EC243" s="18"/>
      <c r="ED243" s="18"/>
      <c r="EE243" s="18"/>
      <c r="EF243" s="18"/>
      <c r="EG243" s="18"/>
      <c r="EH243" s="18"/>
      <c r="EI243" s="18"/>
      <c r="EJ243" s="18"/>
      <c r="EK243" s="18"/>
      <c r="EL243" s="18"/>
      <c r="EM243" s="18"/>
      <c r="EN243" s="18"/>
      <c r="EO243" s="18"/>
      <c r="EP243" s="18"/>
      <c r="EQ243" s="18"/>
      <c r="ER243" s="18"/>
      <c r="ES243" s="18"/>
      <c r="ET243" s="18"/>
      <c r="EU243" s="18"/>
      <c r="EV243" s="18"/>
      <c r="EW243" s="18"/>
    </row>
    <row r="244" spans="1:153" ht="14" x14ac:dyDescent="0.2">
      <c r="A244" s="18" t="s">
        <v>202</v>
      </c>
      <c r="B244" s="18" t="s">
        <v>358</v>
      </c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18"/>
      <c r="DV244" s="18"/>
      <c r="DW244" s="18"/>
      <c r="DX244" s="18"/>
      <c r="DY244" s="18"/>
      <c r="DZ244" s="18"/>
      <c r="EA244" s="18"/>
      <c r="EB244" s="18"/>
      <c r="EC244" s="18"/>
      <c r="ED244" s="18"/>
      <c r="EE244" s="18"/>
      <c r="EF244" s="18"/>
      <c r="EG244" s="18"/>
      <c r="EH244" s="18"/>
      <c r="EI244" s="18"/>
      <c r="EJ244" s="18"/>
      <c r="EK244" s="18"/>
      <c r="EL244" s="18"/>
      <c r="EM244" s="18"/>
      <c r="EN244" s="18"/>
      <c r="EO244" s="18"/>
      <c r="EP244" s="18"/>
      <c r="EQ244" s="18"/>
      <c r="ER244" s="18"/>
      <c r="ES244" s="18"/>
      <c r="ET244" s="18"/>
      <c r="EU244" s="18"/>
      <c r="EV244" s="18"/>
      <c r="EW244" s="18"/>
    </row>
    <row r="245" spans="1:153" ht="14" x14ac:dyDescent="0.2">
      <c r="A245" s="18" t="s">
        <v>203</v>
      </c>
      <c r="B245" s="18" t="s">
        <v>355</v>
      </c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18"/>
      <c r="DV245" s="18"/>
      <c r="DW245" s="18"/>
      <c r="DX245" s="18"/>
      <c r="DY245" s="18"/>
      <c r="DZ245" s="18"/>
      <c r="EA245" s="18"/>
      <c r="EB245" s="18"/>
      <c r="EC245" s="18"/>
      <c r="ED245" s="18"/>
      <c r="EE245" s="18"/>
      <c r="EF245" s="18"/>
      <c r="EG245" s="18"/>
      <c r="EH245" s="18"/>
      <c r="EI245" s="18"/>
      <c r="EJ245" s="18"/>
      <c r="EK245" s="18"/>
      <c r="EL245" s="18"/>
      <c r="EM245" s="18"/>
      <c r="EN245" s="18"/>
      <c r="EO245" s="18"/>
      <c r="EP245" s="18"/>
      <c r="EQ245" s="18"/>
      <c r="ER245" s="18"/>
      <c r="ES245" s="18"/>
      <c r="ET245" s="18"/>
      <c r="EU245" s="18"/>
      <c r="EV245" s="18"/>
      <c r="EW245" s="18"/>
    </row>
    <row r="246" spans="1:153" ht="14" x14ac:dyDescent="0.2">
      <c r="A246" s="18" t="s">
        <v>204</v>
      </c>
      <c r="B246" s="18" t="s">
        <v>357</v>
      </c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18"/>
      <c r="DV246" s="18"/>
      <c r="DW246" s="18"/>
      <c r="DX246" s="18"/>
      <c r="DY246" s="18"/>
      <c r="DZ246" s="18"/>
      <c r="EA246" s="18"/>
      <c r="EB246" s="18"/>
      <c r="EC246" s="18"/>
      <c r="ED246" s="18"/>
      <c r="EE246" s="18"/>
      <c r="EF246" s="18"/>
      <c r="EG246" s="18"/>
      <c r="EH246" s="18"/>
      <c r="EI246" s="18"/>
      <c r="EJ246" s="18"/>
      <c r="EK246" s="18"/>
      <c r="EL246" s="18"/>
      <c r="EM246" s="18"/>
      <c r="EN246" s="18"/>
      <c r="EO246" s="18"/>
      <c r="EP246" s="18"/>
      <c r="EQ246" s="18"/>
      <c r="ER246" s="18"/>
      <c r="ES246" s="18"/>
      <c r="ET246" s="18"/>
      <c r="EU246" s="18"/>
      <c r="EV246" s="18"/>
      <c r="EW246" s="18"/>
    </row>
    <row r="247" spans="1:153" ht="14" x14ac:dyDescent="0.2">
      <c r="A247" s="18" t="s">
        <v>205</v>
      </c>
      <c r="B247" s="18" t="s">
        <v>358</v>
      </c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18"/>
      <c r="DV247" s="18"/>
      <c r="DW247" s="18"/>
      <c r="DX247" s="18"/>
      <c r="DY247" s="18"/>
      <c r="DZ247" s="18"/>
      <c r="EA247" s="18"/>
      <c r="EB247" s="18"/>
      <c r="EC247" s="18"/>
      <c r="ED247" s="18"/>
      <c r="EE247" s="18"/>
      <c r="EF247" s="18"/>
      <c r="EG247" s="18"/>
      <c r="EH247" s="18"/>
      <c r="EI247" s="18"/>
      <c r="EJ247" s="18"/>
      <c r="EK247" s="18"/>
      <c r="EL247" s="18"/>
      <c r="EM247" s="18"/>
      <c r="EN247" s="18"/>
      <c r="EO247" s="18"/>
      <c r="EP247" s="18"/>
      <c r="EQ247" s="18"/>
      <c r="ER247" s="18"/>
      <c r="ES247" s="18"/>
      <c r="ET247" s="18"/>
      <c r="EU247" s="18"/>
      <c r="EV247" s="18"/>
      <c r="EW247" s="18"/>
    </row>
    <row r="248" spans="1:153" ht="14" x14ac:dyDescent="0.2">
      <c r="A248" s="18" t="s">
        <v>206</v>
      </c>
      <c r="B248" s="18" t="s">
        <v>355</v>
      </c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18"/>
      <c r="DV248" s="18"/>
      <c r="DW248" s="18"/>
      <c r="DX248" s="18"/>
      <c r="DY248" s="18"/>
      <c r="DZ248" s="18"/>
      <c r="EA248" s="18"/>
      <c r="EB248" s="18"/>
      <c r="EC248" s="18"/>
      <c r="ED248" s="18"/>
      <c r="EE248" s="18"/>
      <c r="EF248" s="18"/>
      <c r="EG248" s="18"/>
      <c r="EH248" s="18"/>
      <c r="EI248" s="18"/>
      <c r="EJ248" s="18"/>
      <c r="EK248" s="18"/>
      <c r="EL248" s="18"/>
      <c r="EM248" s="18"/>
      <c r="EN248" s="18"/>
      <c r="EO248" s="18"/>
      <c r="EP248" s="18"/>
      <c r="EQ248" s="18"/>
      <c r="ER248" s="18"/>
      <c r="ES248" s="18"/>
      <c r="ET248" s="18"/>
      <c r="EU248" s="18"/>
      <c r="EV248" s="18"/>
      <c r="EW248" s="18"/>
    </row>
    <row r="249" spans="1:153" ht="14" x14ac:dyDescent="0.2">
      <c r="A249" s="18" t="s">
        <v>207</v>
      </c>
      <c r="B249" s="18" t="s">
        <v>357</v>
      </c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/>
      <c r="DK249" s="18"/>
      <c r="DL249" s="18"/>
      <c r="DM249" s="18"/>
      <c r="DN249" s="18"/>
      <c r="DO249" s="18"/>
      <c r="DP249" s="18"/>
      <c r="DQ249" s="18"/>
      <c r="DR249" s="18"/>
      <c r="DS249" s="18"/>
      <c r="DT249" s="18"/>
      <c r="DU249" s="18"/>
      <c r="DV249" s="18"/>
      <c r="DW249" s="18"/>
      <c r="DX249" s="18"/>
      <c r="DY249" s="18"/>
      <c r="DZ249" s="18"/>
      <c r="EA249" s="18"/>
      <c r="EB249" s="18"/>
      <c r="EC249" s="18"/>
      <c r="ED249" s="18"/>
      <c r="EE249" s="18"/>
      <c r="EF249" s="18"/>
      <c r="EG249" s="18"/>
      <c r="EH249" s="18"/>
      <c r="EI249" s="18"/>
      <c r="EJ249" s="18"/>
      <c r="EK249" s="18"/>
      <c r="EL249" s="18"/>
      <c r="EM249" s="18"/>
      <c r="EN249" s="18"/>
      <c r="EO249" s="18"/>
      <c r="EP249" s="18"/>
      <c r="EQ249" s="18"/>
      <c r="ER249" s="18"/>
      <c r="ES249" s="18"/>
      <c r="ET249" s="18"/>
      <c r="EU249" s="18"/>
      <c r="EV249" s="18"/>
      <c r="EW249" s="18"/>
    </row>
    <row r="250" spans="1:153" ht="14" x14ac:dyDescent="0.2">
      <c r="A250" s="18" t="s">
        <v>208</v>
      </c>
      <c r="B250" s="18" t="s">
        <v>358</v>
      </c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/>
      <c r="DK250" s="18"/>
      <c r="DL250" s="18"/>
      <c r="DM250" s="18"/>
      <c r="DN250" s="18"/>
      <c r="DO250" s="18"/>
      <c r="DP250" s="18"/>
      <c r="DQ250" s="18"/>
      <c r="DR250" s="18"/>
      <c r="DS250" s="18"/>
      <c r="DT250" s="18"/>
      <c r="DU250" s="18"/>
      <c r="DV250" s="18"/>
      <c r="DW250" s="18"/>
      <c r="DX250" s="18"/>
      <c r="DY250" s="18"/>
      <c r="DZ250" s="18"/>
      <c r="EA250" s="18"/>
      <c r="EB250" s="18"/>
      <c r="EC250" s="18"/>
      <c r="ED250" s="18"/>
      <c r="EE250" s="18"/>
      <c r="EF250" s="18"/>
      <c r="EG250" s="18"/>
      <c r="EH250" s="18"/>
      <c r="EI250" s="18"/>
      <c r="EJ250" s="18"/>
      <c r="EK250" s="18"/>
      <c r="EL250" s="18"/>
      <c r="EM250" s="18"/>
      <c r="EN250" s="18"/>
      <c r="EO250" s="18"/>
      <c r="EP250" s="18"/>
      <c r="EQ250" s="18"/>
      <c r="ER250" s="18"/>
      <c r="ES250" s="18"/>
      <c r="ET250" s="18"/>
      <c r="EU250" s="18"/>
      <c r="EV250" s="18"/>
      <c r="EW250" s="18"/>
    </row>
    <row r="251" spans="1:153" ht="14" x14ac:dyDescent="0.2">
      <c r="A251" s="18" t="s">
        <v>209</v>
      </c>
      <c r="B251" s="18" t="s">
        <v>355</v>
      </c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  <c r="DH251" s="18"/>
      <c r="DI251" s="18"/>
      <c r="DJ251" s="18"/>
      <c r="DK251" s="18"/>
      <c r="DL251" s="18"/>
      <c r="DM251" s="18"/>
      <c r="DN251" s="18"/>
      <c r="DO251" s="18"/>
      <c r="DP251" s="18"/>
      <c r="DQ251" s="18"/>
      <c r="DR251" s="18"/>
      <c r="DS251" s="18"/>
      <c r="DT251" s="18"/>
      <c r="DU251" s="18"/>
      <c r="DV251" s="18"/>
      <c r="DW251" s="18"/>
      <c r="DX251" s="18"/>
      <c r="DY251" s="18"/>
      <c r="DZ251" s="18"/>
      <c r="EA251" s="18"/>
      <c r="EB251" s="18"/>
      <c r="EC251" s="18"/>
      <c r="ED251" s="18"/>
      <c r="EE251" s="18"/>
      <c r="EF251" s="18"/>
      <c r="EG251" s="18"/>
      <c r="EH251" s="18"/>
      <c r="EI251" s="18"/>
      <c r="EJ251" s="18"/>
      <c r="EK251" s="18"/>
      <c r="EL251" s="18"/>
      <c r="EM251" s="18"/>
      <c r="EN251" s="18"/>
      <c r="EO251" s="18"/>
      <c r="EP251" s="18"/>
      <c r="EQ251" s="18"/>
      <c r="ER251" s="18"/>
      <c r="ES251" s="18"/>
      <c r="ET251" s="18"/>
      <c r="EU251" s="18"/>
      <c r="EV251" s="18"/>
      <c r="EW251" s="18"/>
    </row>
    <row r="252" spans="1:153" ht="14" x14ac:dyDescent="0.2">
      <c r="A252" s="18" t="s">
        <v>210</v>
      </c>
      <c r="B252" s="18" t="s">
        <v>357</v>
      </c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/>
      <c r="DK252" s="18"/>
      <c r="DL252" s="18"/>
      <c r="DM252" s="18"/>
      <c r="DN252" s="18"/>
      <c r="DO252" s="18"/>
      <c r="DP252" s="18"/>
      <c r="DQ252" s="18"/>
      <c r="DR252" s="18"/>
      <c r="DS252" s="18"/>
      <c r="DT252" s="18"/>
      <c r="DU252" s="18"/>
      <c r="DV252" s="18"/>
      <c r="DW252" s="18"/>
      <c r="DX252" s="18"/>
      <c r="DY252" s="18"/>
      <c r="DZ252" s="18"/>
      <c r="EA252" s="18"/>
      <c r="EB252" s="18"/>
      <c r="EC252" s="18"/>
      <c r="ED252" s="18"/>
      <c r="EE252" s="18"/>
      <c r="EF252" s="18"/>
      <c r="EG252" s="18"/>
      <c r="EH252" s="18"/>
      <c r="EI252" s="18"/>
      <c r="EJ252" s="18"/>
      <c r="EK252" s="18"/>
      <c r="EL252" s="18"/>
      <c r="EM252" s="18"/>
      <c r="EN252" s="18"/>
      <c r="EO252" s="18"/>
      <c r="EP252" s="18"/>
      <c r="EQ252" s="18"/>
      <c r="ER252" s="18"/>
      <c r="ES252" s="18"/>
      <c r="ET252" s="18"/>
      <c r="EU252" s="18"/>
      <c r="EV252" s="18"/>
      <c r="EW252" s="18"/>
    </row>
    <row r="253" spans="1:153" ht="14" x14ac:dyDescent="0.2">
      <c r="A253" s="18" t="s">
        <v>211</v>
      </c>
      <c r="B253" s="18" t="s">
        <v>358</v>
      </c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E253" s="18"/>
      <c r="EF253" s="18"/>
      <c r="EG253" s="18"/>
      <c r="EH253" s="18"/>
      <c r="EI253" s="18"/>
      <c r="EJ253" s="18"/>
      <c r="EK253" s="18"/>
      <c r="EL253" s="18"/>
      <c r="EM253" s="18"/>
      <c r="EN253" s="18"/>
      <c r="EO253" s="18"/>
      <c r="EP253" s="18"/>
      <c r="EQ253" s="18"/>
      <c r="ER253" s="18"/>
      <c r="ES253" s="18"/>
      <c r="ET253" s="18"/>
      <c r="EU253" s="18"/>
      <c r="EV253" s="18"/>
      <c r="EW253" s="18"/>
    </row>
    <row r="254" spans="1:153" ht="14" x14ac:dyDescent="0.2">
      <c r="A254" s="18" t="s">
        <v>212</v>
      </c>
      <c r="B254" s="18" t="s">
        <v>355</v>
      </c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8"/>
      <c r="DI254" s="18"/>
      <c r="DJ254" s="18"/>
      <c r="DK254" s="18"/>
      <c r="DL254" s="18"/>
      <c r="DM254" s="18"/>
      <c r="DN254" s="18"/>
      <c r="DO254" s="18"/>
      <c r="DP254" s="18"/>
      <c r="DQ254" s="18"/>
      <c r="DR254" s="18"/>
      <c r="DS254" s="18"/>
      <c r="DT254" s="18"/>
      <c r="DU254" s="18"/>
      <c r="DV254" s="18"/>
      <c r="DW254" s="18"/>
      <c r="DX254" s="18"/>
      <c r="DY254" s="18"/>
      <c r="DZ254" s="18"/>
      <c r="EA254" s="18"/>
      <c r="EB254" s="18"/>
      <c r="EC254" s="18"/>
      <c r="ED254" s="18"/>
      <c r="EE254" s="18"/>
      <c r="EF254" s="18"/>
      <c r="EG254" s="18"/>
      <c r="EH254" s="18"/>
      <c r="EI254" s="18"/>
      <c r="EJ254" s="18"/>
      <c r="EK254" s="18"/>
      <c r="EL254" s="18"/>
      <c r="EM254" s="18"/>
      <c r="EN254" s="18"/>
      <c r="EO254" s="18"/>
      <c r="EP254" s="18"/>
      <c r="EQ254" s="18"/>
      <c r="ER254" s="18"/>
      <c r="ES254" s="18"/>
      <c r="ET254" s="18"/>
      <c r="EU254" s="18"/>
      <c r="EV254" s="18"/>
      <c r="EW254" s="18"/>
    </row>
    <row r="255" spans="1:153" ht="14" x14ac:dyDescent="0.2">
      <c r="A255" s="18" t="s">
        <v>213</v>
      </c>
      <c r="B255" s="18" t="s">
        <v>357</v>
      </c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8"/>
      <c r="DI255" s="18"/>
      <c r="DJ255" s="18"/>
      <c r="DK255" s="18"/>
      <c r="DL255" s="18"/>
      <c r="DM255" s="18"/>
      <c r="DN255" s="18"/>
      <c r="DO255" s="18"/>
      <c r="DP255" s="18"/>
      <c r="DQ255" s="18"/>
      <c r="DR255" s="18"/>
      <c r="DS255" s="18"/>
      <c r="DT255" s="18"/>
      <c r="DU255" s="18"/>
      <c r="DV255" s="18"/>
      <c r="DW255" s="18"/>
      <c r="DX255" s="18"/>
      <c r="DY255" s="18"/>
      <c r="DZ255" s="18"/>
      <c r="EA255" s="18"/>
      <c r="EB255" s="18"/>
      <c r="EC255" s="18"/>
      <c r="ED255" s="18"/>
      <c r="EE255" s="18"/>
      <c r="EF255" s="18"/>
      <c r="EG255" s="18"/>
      <c r="EH255" s="18"/>
      <c r="EI255" s="18"/>
      <c r="EJ255" s="18"/>
      <c r="EK255" s="18"/>
      <c r="EL255" s="18"/>
      <c r="EM255" s="18"/>
      <c r="EN255" s="18"/>
      <c r="EO255" s="18"/>
      <c r="EP255" s="18"/>
      <c r="EQ255" s="18"/>
      <c r="ER255" s="18"/>
      <c r="ES255" s="18"/>
      <c r="ET255" s="18"/>
      <c r="EU255" s="18"/>
      <c r="EV255" s="18"/>
      <c r="EW255" s="18"/>
    </row>
    <row r="256" spans="1:153" ht="14" x14ac:dyDescent="0.2">
      <c r="A256" s="18" t="s">
        <v>214</v>
      </c>
      <c r="B256" s="18" t="s">
        <v>358</v>
      </c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8"/>
      <c r="DG256" s="18"/>
      <c r="DH256" s="18"/>
      <c r="DI256" s="18"/>
      <c r="DJ256" s="18"/>
      <c r="DK256" s="18"/>
      <c r="DL256" s="18"/>
      <c r="DM256" s="18"/>
      <c r="DN256" s="18"/>
      <c r="DO256" s="18"/>
      <c r="DP256" s="18"/>
      <c r="DQ256" s="18"/>
      <c r="DR256" s="18"/>
      <c r="DS256" s="18"/>
      <c r="DT256" s="18"/>
      <c r="DU256" s="18"/>
      <c r="DV256" s="18"/>
      <c r="DW256" s="18"/>
      <c r="DX256" s="18"/>
      <c r="DY256" s="18"/>
      <c r="DZ256" s="18"/>
      <c r="EA256" s="18"/>
      <c r="EB256" s="18"/>
      <c r="EC256" s="18"/>
      <c r="ED256" s="18"/>
      <c r="EE256" s="18"/>
      <c r="EF256" s="18"/>
      <c r="EG256" s="18"/>
      <c r="EH256" s="18"/>
      <c r="EI256" s="18"/>
      <c r="EJ256" s="18"/>
      <c r="EK256" s="18"/>
      <c r="EL256" s="18"/>
      <c r="EM256" s="18"/>
      <c r="EN256" s="18"/>
      <c r="EO256" s="18"/>
      <c r="EP256" s="18"/>
      <c r="EQ256" s="18"/>
      <c r="ER256" s="18"/>
      <c r="ES256" s="18"/>
      <c r="ET256" s="18"/>
      <c r="EU256" s="18"/>
      <c r="EV256" s="18"/>
      <c r="EW256" s="18"/>
    </row>
    <row r="257" spans="1:153" ht="14" x14ac:dyDescent="0.2">
      <c r="A257" s="18" t="s">
        <v>215</v>
      </c>
      <c r="B257" s="18" t="s">
        <v>355</v>
      </c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/>
      <c r="DK257" s="18"/>
      <c r="DL257" s="18"/>
      <c r="DM257" s="18"/>
      <c r="DN257" s="18"/>
      <c r="DO257" s="18"/>
      <c r="DP257" s="18"/>
      <c r="DQ257" s="18"/>
      <c r="DR257" s="18"/>
      <c r="DS257" s="18"/>
      <c r="DT257" s="18"/>
      <c r="DU257" s="18"/>
      <c r="DV257" s="18"/>
      <c r="DW257" s="18"/>
      <c r="DX257" s="18"/>
      <c r="DY257" s="18"/>
      <c r="DZ257" s="18"/>
      <c r="EA257" s="18"/>
      <c r="EB257" s="18"/>
      <c r="EC257" s="18"/>
      <c r="ED257" s="18"/>
      <c r="EE257" s="18"/>
      <c r="EF257" s="18"/>
      <c r="EG257" s="18"/>
      <c r="EH257" s="18"/>
      <c r="EI257" s="18"/>
      <c r="EJ257" s="18"/>
      <c r="EK257" s="18"/>
      <c r="EL257" s="18"/>
      <c r="EM257" s="18"/>
      <c r="EN257" s="18"/>
      <c r="EO257" s="18"/>
      <c r="EP257" s="18"/>
      <c r="EQ257" s="18"/>
      <c r="ER257" s="18"/>
      <c r="ES257" s="18"/>
      <c r="ET257" s="18"/>
      <c r="EU257" s="18"/>
      <c r="EV257" s="18"/>
      <c r="EW257" s="18"/>
    </row>
    <row r="258" spans="1:153" ht="14" x14ac:dyDescent="0.2">
      <c r="A258" s="18" t="s">
        <v>216</v>
      </c>
      <c r="B258" s="18" t="s">
        <v>357</v>
      </c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/>
      <c r="DK258" s="18"/>
      <c r="DL258" s="18"/>
      <c r="DM258" s="18"/>
      <c r="DN258" s="18"/>
      <c r="DO258" s="18"/>
      <c r="DP258" s="18"/>
      <c r="DQ258" s="18"/>
      <c r="DR258" s="18"/>
      <c r="DS258" s="18"/>
      <c r="DT258" s="18"/>
      <c r="DU258" s="18"/>
      <c r="DV258" s="18"/>
      <c r="DW258" s="18"/>
      <c r="DX258" s="18"/>
      <c r="DY258" s="18"/>
      <c r="DZ258" s="18"/>
      <c r="EA258" s="18"/>
      <c r="EB258" s="18"/>
      <c r="EC258" s="18"/>
      <c r="ED258" s="18"/>
      <c r="EE258" s="18"/>
      <c r="EF258" s="18"/>
      <c r="EG258" s="18"/>
      <c r="EH258" s="18"/>
      <c r="EI258" s="18"/>
      <c r="EJ258" s="18"/>
      <c r="EK258" s="18"/>
      <c r="EL258" s="18"/>
      <c r="EM258" s="18"/>
      <c r="EN258" s="18"/>
      <c r="EO258" s="18"/>
      <c r="EP258" s="18"/>
      <c r="EQ258" s="18"/>
      <c r="ER258" s="18"/>
      <c r="ES258" s="18"/>
      <c r="ET258" s="18"/>
      <c r="EU258" s="18"/>
      <c r="EV258" s="18"/>
      <c r="EW258" s="18"/>
    </row>
    <row r="259" spans="1:153" ht="14" x14ac:dyDescent="0.2">
      <c r="A259" s="18" t="s">
        <v>217</v>
      </c>
      <c r="B259" s="18" t="s">
        <v>358</v>
      </c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DG259" s="18"/>
      <c r="DH259" s="18"/>
      <c r="DI259" s="18"/>
      <c r="DJ259" s="18"/>
      <c r="DK259" s="18"/>
      <c r="DL259" s="18"/>
      <c r="DM259" s="18"/>
      <c r="DN259" s="18"/>
      <c r="DO259" s="18"/>
      <c r="DP259" s="18"/>
      <c r="DQ259" s="18"/>
      <c r="DR259" s="18"/>
      <c r="DS259" s="18"/>
      <c r="DT259" s="18"/>
      <c r="DU259" s="18"/>
      <c r="DV259" s="18"/>
      <c r="DW259" s="18"/>
      <c r="DX259" s="18"/>
      <c r="DY259" s="18"/>
      <c r="DZ259" s="18"/>
      <c r="EA259" s="18"/>
      <c r="EB259" s="18"/>
      <c r="EC259" s="18"/>
      <c r="ED259" s="18"/>
      <c r="EE259" s="18"/>
      <c r="EF259" s="18"/>
      <c r="EG259" s="18"/>
      <c r="EH259" s="18"/>
      <c r="EI259" s="18"/>
      <c r="EJ259" s="18"/>
      <c r="EK259" s="18"/>
      <c r="EL259" s="18"/>
      <c r="EM259" s="18"/>
      <c r="EN259" s="18"/>
      <c r="EO259" s="18"/>
      <c r="EP259" s="18"/>
      <c r="EQ259" s="18"/>
      <c r="ER259" s="18"/>
      <c r="ES259" s="18"/>
      <c r="ET259" s="18"/>
      <c r="EU259" s="18"/>
      <c r="EV259" s="18"/>
      <c r="EW259" s="18"/>
    </row>
    <row r="260" spans="1:153" ht="14" x14ac:dyDescent="0.2">
      <c r="A260" s="18" t="s">
        <v>218</v>
      </c>
      <c r="B260" s="18" t="s">
        <v>355</v>
      </c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>
        <v>61.08</v>
      </c>
      <c r="AT260" s="18">
        <v>61.08</v>
      </c>
      <c r="AU260" s="18"/>
      <c r="AV260" s="18"/>
      <c r="AW260" s="18"/>
      <c r="AX260" s="18">
        <v>61.08</v>
      </c>
      <c r="AY260" s="18">
        <v>61.08</v>
      </c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  <c r="DF260" s="18"/>
      <c r="DG260" s="18"/>
      <c r="DH260" s="18"/>
      <c r="DI260" s="18"/>
      <c r="DJ260" s="18"/>
      <c r="DK260" s="18"/>
      <c r="DL260" s="18"/>
      <c r="DM260" s="18"/>
      <c r="DN260" s="18"/>
      <c r="DO260" s="18"/>
      <c r="DP260" s="18"/>
      <c r="DQ260" s="18"/>
      <c r="DR260" s="18"/>
      <c r="DS260" s="18"/>
      <c r="DT260" s="18"/>
      <c r="DU260" s="18"/>
      <c r="DV260" s="18"/>
      <c r="DW260" s="18"/>
      <c r="DX260" s="18"/>
      <c r="DY260" s="18"/>
      <c r="DZ260" s="18"/>
      <c r="EA260" s="18"/>
      <c r="EB260" s="18"/>
      <c r="EC260" s="18"/>
      <c r="ED260" s="18"/>
      <c r="EE260" s="18"/>
      <c r="EF260" s="18"/>
      <c r="EG260" s="18"/>
      <c r="EH260" s="18"/>
      <c r="EI260" s="18"/>
      <c r="EJ260" s="18"/>
      <c r="EK260" s="18"/>
      <c r="EL260" s="18"/>
      <c r="EM260" s="18"/>
      <c r="EN260" s="18"/>
      <c r="EO260" s="18"/>
      <c r="EP260" s="18"/>
      <c r="EQ260" s="18"/>
      <c r="ER260" s="18"/>
      <c r="ES260" s="18"/>
      <c r="ET260" s="18"/>
      <c r="EU260" s="18"/>
      <c r="EV260" s="18"/>
      <c r="EW260" s="18"/>
    </row>
    <row r="261" spans="1:153" ht="14" x14ac:dyDescent="0.2">
      <c r="A261" s="18" t="s">
        <v>219</v>
      </c>
      <c r="B261" s="18" t="s">
        <v>357</v>
      </c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  <c r="DF261" s="18"/>
      <c r="DG261" s="18"/>
      <c r="DH261" s="18"/>
      <c r="DI261" s="18"/>
      <c r="DJ261" s="18"/>
      <c r="DK261" s="18"/>
      <c r="DL261" s="18"/>
      <c r="DM261" s="18"/>
      <c r="DN261" s="18"/>
      <c r="DO261" s="18"/>
      <c r="DP261" s="18"/>
      <c r="DQ261" s="18"/>
      <c r="DR261" s="18"/>
      <c r="DS261" s="18"/>
      <c r="DT261" s="18"/>
      <c r="DU261" s="18"/>
      <c r="DV261" s="18"/>
      <c r="DW261" s="18"/>
      <c r="DX261" s="18"/>
      <c r="DY261" s="18"/>
      <c r="DZ261" s="18"/>
      <c r="EA261" s="18"/>
      <c r="EB261" s="18"/>
      <c r="EC261" s="18"/>
      <c r="ED261" s="18"/>
      <c r="EE261" s="18"/>
      <c r="EF261" s="18"/>
      <c r="EG261" s="18"/>
      <c r="EH261" s="18"/>
      <c r="EI261" s="18"/>
      <c r="EJ261" s="18"/>
      <c r="EK261" s="18"/>
      <c r="EL261" s="18"/>
      <c r="EM261" s="18"/>
      <c r="EN261" s="18"/>
      <c r="EO261" s="18"/>
      <c r="EP261" s="18"/>
      <c r="EQ261" s="18"/>
      <c r="ER261" s="18"/>
      <c r="ES261" s="18"/>
      <c r="ET261" s="18"/>
      <c r="EU261" s="18"/>
      <c r="EV261" s="18"/>
      <c r="EW261" s="18"/>
    </row>
    <row r="262" spans="1:153" ht="14" x14ac:dyDescent="0.2">
      <c r="A262" s="18" t="s">
        <v>220</v>
      </c>
      <c r="B262" s="18" t="s">
        <v>358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/>
      <c r="DK262" s="18"/>
      <c r="DL262" s="18"/>
      <c r="DM262" s="18"/>
      <c r="DN262" s="18"/>
      <c r="DO262" s="18"/>
      <c r="DP262" s="18"/>
      <c r="DQ262" s="18"/>
      <c r="DR262" s="18"/>
      <c r="DS262" s="18"/>
      <c r="DT262" s="18"/>
      <c r="DU262" s="18"/>
      <c r="DV262" s="18"/>
      <c r="DW262" s="18"/>
      <c r="DX262" s="18"/>
      <c r="DY262" s="18"/>
      <c r="DZ262" s="18"/>
      <c r="EA262" s="18"/>
      <c r="EB262" s="18"/>
      <c r="EC262" s="18"/>
      <c r="ED262" s="18"/>
      <c r="EE262" s="18"/>
      <c r="EF262" s="18"/>
      <c r="EG262" s="18"/>
      <c r="EH262" s="18"/>
      <c r="EI262" s="18"/>
      <c r="EJ262" s="18"/>
      <c r="EK262" s="18"/>
      <c r="EL262" s="18"/>
      <c r="EM262" s="18"/>
      <c r="EN262" s="18"/>
      <c r="EO262" s="18"/>
      <c r="EP262" s="18"/>
      <c r="EQ262" s="18"/>
      <c r="ER262" s="18"/>
      <c r="ES262" s="18"/>
      <c r="ET262" s="18"/>
      <c r="EU262" s="18"/>
      <c r="EV262" s="18"/>
      <c r="EW262" s="18"/>
    </row>
    <row r="263" spans="1:153" ht="14" x14ac:dyDescent="0.2">
      <c r="A263" s="18" t="s">
        <v>221</v>
      </c>
      <c r="B263" s="18" t="s">
        <v>355</v>
      </c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  <c r="DF263" s="18"/>
      <c r="DG263" s="18"/>
      <c r="DH263" s="18"/>
      <c r="DI263" s="18"/>
      <c r="DJ263" s="18"/>
      <c r="DK263" s="18"/>
      <c r="DL263" s="18"/>
      <c r="DM263" s="18"/>
      <c r="DN263" s="18"/>
      <c r="DO263" s="18"/>
      <c r="DP263" s="18"/>
      <c r="DQ263" s="18"/>
      <c r="DR263" s="18"/>
      <c r="DS263" s="18"/>
      <c r="DT263" s="18"/>
      <c r="DU263" s="18"/>
      <c r="DV263" s="18"/>
      <c r="DW263" s="18"/>
      <c r="DX263" s="18"/>
      <c r="DY263" s="18"/>
      <c r="DZ263" s="18"/>
      <c r="EA263" s="18"/>
      <c r="EB263" s="18"/>
      <c r="EC263" s="18"/>
      <c r="ED263" s="18"/>
      <c r="EE263" s="18"/>
      <c r="EF263" s="18"/>
      <c r="EG263" s="18"/>
      <c r="EH263" s="18"/>
      <c r="EI263" s="18"/>
      <c r="EJ263" s="18"/>
      <c r="EK263" s="18"/>
      <c r="EL263" s="18"/>
      <c r="EM263" s="18"/>
      <c r="EN263" s="18"/>
      <c r="EO263" s="18"/>
      <c r="EP263" s="18"/>
      <c r="EQ263" s="18"/>
      <c r="ER263" s="18"/>
      <c r="ES263" s="18"/>
      <c r="ET263" s="18"/>
      <c r="EU263" s="18"/>
      <c r="EV263" s="18"/>
      <c r="EW263" s="18"/>
    </row>
    <row r="264" spans="1:153" ht="14" x14ac:dyDescent="0.2">
      <c r="A264" s="18" t="s">
        <v>222</v>
      </c>
      <c r="B264" s="18" t="s">
        <v>357</v>
      </c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  <c r="DF264" s="18"/>
      <c r="DG264" s="18"/>
      <c r="DH264" s="18"/>
      <c r="DI264" s="18"/>
      <c r="DJ264" s="18"/>
      <c r="DK264" s="18"/>
      <c r="DL264" s="18"/>
      <c r="DM264" s="18"/>
      <c r="DN264" s="18"/>
      <c r="DO264" s="18"/>
      <c r="DP264" s="18"/>
      <c r="DQ264" s="18"/>
      <c r="DR264" s="18"/>
      <c r="DS264" s="18"/>
      <c r="DT264" s="18"/>
      <c r="DU264" s="18"/>
      <c r="DV264" s="18"/>
      <c r="DW264" s="18"/>
      <c r="DX264" s="18"/>
      <c r="DY264" s="18"/>
      <c r="DZ264" s="18"/>
      <c r="EA264" s="18"/>
      <c r="EB264" s="18"/>
      <c r="EC264" s="18"/>
      <c r="ED264" s="18"/>
      <c r="EE264" s="18"/>
      <c r="EF264" s="18"/>
      <c r="EG264" s="18"/>
      <c r="EH264" s="18"/>
      <c r="EI264" s="18"/>
      <c r="EJ264" s="18"/>
      <c r="EK264" s="18"/>
      <c r="EL264" s="18"/>
      <c r="EM264" s="18"/>
      <c r="EN264" s="18"/>
      <c r="EO264" s="18"/>
      <c r="EP264" s="18"/>
      <c r="EQ264" s="18"/>
      <c r="ER264" s="18"/>
      <c r="ES264" s="18"/>
      <c r="ET264" s="18"/>
      <c r="EU264" s="18"/>
      <c r="EV264" s="18"/>
      <c r="EW264" s="18"/>
    </row>
    <row r="265" spans="1:153" ht="14" x14ac:dyDescent="0.2">
      <c r="A265" s="18" t="s">
        <v>223</v>
      </c>
      <c r="B265" s="18" t="s">
        <v>358</v>
      </c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  <c r="DF265" s="18"/>
      <c r="DG265" s="18"/>
      <c r="DH265" s="18"/>
      <c r="DI265" s="18"/>
      <c r="DJ265" s="18"/>
      <c r="DK265" s="18"/>
      <c r="DL265" s="18"/>
      <c r="DM265" s="18"/>
      <c r="DN265" s="18"/>
      <c r="DO265" s="18"/>
      <c r="DP265" s="18"/>
      <c r="DQ265" s="18"/>
      <c r="DR265" s="18"/>
      <c r="DS265" s="18"/>
      <c r="DT265" s="18"/>
      <c r="DU265" s="18"/>
      <c r="DV265" s="18"/>
      <c r="DW265" s="18"/>
      <c r="DX265" s="18"/>
      <c r="DY265" s="18"/>
      <c r="DZ265" s="18"/>
      <c r="EA265" s="18"/>
      <c r="EB265" s="18"/>
      <c r="EC265" s="18"/>
      <c r="ED265" s="18"/>
      <c r="EE265" s="18"/>
      <c r="EF265" s="18"/>
      <c r="EG265" s="18"/>
      <c r="EH265" s="18"/>
      <c r="EI265" s="18"/>
      <c r="EJ265" s="18"/>
      <c r="EK265" s="18"/>
      <c r="EL265" s="18"/>
      <c r="EM265" s="18"/>
      <c r="EN265" s="18"/>
      <c r="EO265" s="18"/>
      <c r="EP265" s="18"/>
      <c r="EQ265" s="18"/>
      <c r="ER265" s="18"/>
      <c r="ES265" s="18"/>
      <c r="ET265" s="18"/>
      <c r="EU265" s="18"/>
      <c r="EV265" s="18"/>
      <c r="EW265" s="18"/>
    </row>
    <row r="266" spans="1:153" ht="14" x14ac:dyDescent="0.2">
      <c r="A266" s="18" t="s">
        <v>224</v>
      </c>
      <c r="B266" s="18" t="s">
        <v>355</v>
      </c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/>
      <c r="DN266" s="18"/>
      <c r="DO266" s="18"/>
      <c r="DP266" s="18"/>
      <c r="DQ266" s="18"/>
      <c r="DR266" s="18"/>
      <c r="DS266" s="18"/>
      <c r="DT266" s="18"/>
      <c r="DU266" s="18"/>
      <c r="DV266" s="18"/>
      <c r="DW266" s="18"/>
      <c r="DX266" s="18"/>
      <c r="DY266" s="18"/>
      <c r="DZ266" s="18"/>
      <c r="EA266" s="18"/>
      <c r="EB266" s="18"/>
      <c r="EC266" s="18"/>
      <c r="ED266" s="18"/>
      <c r="EE266" s="18"/>
      <c r="EF266" s="18"/>
      <c r="EG266" s="18"/>
      <c r="EH266" s="18"/>
      <c r="EI266" s="18"/>
      <c r="EJ266" s="18"/>
      <c r="EK266" s="18"/>
      <c r="EL266" s="18"/>
      <c r="EM266" s="18"/>
      <c r="EN266" s="18"/>
      <c r="EO266" s="18"/>
      <c r="EP266" s="18"/>
      <c r="EQ266" s="18"/>
      <c r="ER266" s="18"/>
      <c r="ES266" s="18"/>
      <c r="ET266" s="18"/>
      <c r="EU266" s="18"/>
      <c r="EV266" s="18"/>
      <c r="EW266" s="18"/>
    </row>
    <row r="267" spans="1:153" ht="14" x14ac:dyDescent="0.2">
      <c r="A267" s="18" t="s">
        <v>225</v>
      </c>
      <c r="B267" s="18" t="s">
        <v>357</v>
      </c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  <c r="ER267" s="18"/>
      <c r="ES267" s="18"/>
      <c r="ET267" s="18"/>
      <c r="EU267" s="18"/>
      <c r="EV267" s="18"/>
      <c r="EW267" s="18"/>
    </row>
    <row r="268" spans="1:153" ht="14" x14ac:dyDescent="0.2">
      <c r="A268" s="18" t="s">
        <v>226</v>
      </c>
      <c r="B268" s="18" t="s">
        <v>358</v>
      </c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  <c r="DW268" s="18"/>
      <c r="DX268" s="18"/>
      <c r="DY268" s="18"/>
      <c r="DZ268" s="18"/>
      <c r="EA268" s="18"/>
      <c r="EB268" s="18"/>
      <c r="EC268" s="18"/>
      <c r="ED268" s="18"/>
      <c r="EE268" s="18"/>
      <c r="EF268" s="18"/>
      <c r="EG268" s="18"/>
      <c r="EH268" s="18"/>
      <c r="EI268" s="18"/>
      <c r="EJ268" s="18"/>
      <c r="EK268" s="18"/>
      <c r="EL268" s="18"/>
      <c r="EM268" s="18"/>
      <c r="EN268" s="18"/>
      <c r="EO268" s="18"/>
      <c r="EP268" s="18"/>
      <c r="EQ268" s="18"/>
      <c r="ER268" s="18"/>
      <c r="ES268" s="18"/>
      <c r="ET268" s="18"/>
      <c r="EU268" s="18"/>
      <c r="EV268" s="18"/>
      <c r="EW268" s="18"/>
    </row>
    <row r="269" spans="1:153" ht="14" x14ac:dyDescent="0.2">
      <c r="A269" s="18" t="s">
        <v>227</v>
      </c>
      <c r="B269" s="18" t="s">
        <v>355</v>
      </c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>
        <f>994/AV20/AV22/AV220/AV185</f>
        <v>3.2736938118129956E-3</v>
      </c>
      <c r="AW269" s="18">
        <f>994/AW20/AW22/AW220/AW185</f>
        <v>4.2558019553568943E-2</v>
      </c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  <c r="DW269" s="18"/>
      <c r="DX269" s="18"/>
      <c r="DY269" s="18"/>
      <c r="DZ269" s="18"/>
      <c r="EA269" s="18"/>
      <c r="EB269" s="18"/>
      <c r="EC269" s="18"/>
      <c r="ED269" s="18"/>
      <c r="EE269" s="18"/>
      <c r="EF269" s="18"/>
      <c r="EG269" s="18"/>
      <c r="EH269" s="18"/>
      <c r="EI269" s="18"/>
      <c r="EJ269" s="18"/>
      <c r="EK269" s="18"/>
      <c r="EL269" s="18"/>
      <c r="EM269" s="18"/>
      <c r="EN269" s="18"/>
      <c r="EO269" s="18"/>
      <c r="EP269" s="18"/>
      <c r="EQ269" s="18"/>
      <c r="ER269" s="18"/>
      <c r="ES269" s="18"/>
      <c r="ET269" s="18"/>
      <c r="EU269" s="18"/>
      <c r="EV269" s="18"/>
      <c r="EW269" s="18"/>
    </row>
    <row r="270" spans="1:153" ht="14" x14ac:dyDescent="0.2">
      <c r="A270" s="18" t="s">
        <v>228</v>
      </c>
      <c r="B270" s="18" t="s">
        <v>357</v>
      </c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/>
      <c r="DN270" s="18"/>
      <c r="DO270" s="18"/>
      <c r="DP270" s="18"/>
      <c r="DQ270" s="18"/>
      <c r="DR270" s="18"/>
      <c r="DS270" s="18"/>
      <c r="DT270" s="18"/>
      <c r="DU270" s="18"/>
      <c r="DV270" s="18"/>
      <c r="DW270" s="18"/>
      <c r="DX270" s="18"/>
      <c r="DY270" s="18"/>
      <c r="DZ270" s="18"/>
      <c r="EA270" s="18"/>
      <c r="EB270" s="18"/>
      <c r="EC270" s="18"/>
      <c r="ED270" s="18"/>
      <c r="EE270" s="18"/>
      <c r="EF270" s="18"/>
      <c r="EG270" s="18"/>
      <c r="EH270" s="18"/>
      <c r="EI270" s="18"/>
      <c r="EJ270" s="18"/>
      <c r="EK270" s="18"/>
      <c r="EL270" s="18"/>
      <c r="EM270" s="18"/>
      <c r="EN270" s="18"/>
      <c r="EO270" s="18"/>
      <c r="EP270" s="18"/>
      <c r="EQ270" s="18"/>
      <c r="ER270" s="18"/>
      <c r="ES270" s="18"/>
      <c r="ET270" s="18"/>
      <c r="EU270" s="18"/>
      <c r="EV270" s="18"/>
      <c r="EW270" s="18"/>
    </row>
    <row r="271" spans="1:153" ht="14" x14ac:dyDescent="0.2">
      <c r="A271" s="18" t="s">
        <v>229</v>
      </c>
      <c r="B271" s="18" t="s">
        <v>358</v>
      </c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/>
      <c r="DN271" s="18"/>
      <c r="DO271" s="18"/>
      <c r="DP271" s="18"/>
      <c r="DQ271" s="18"/>
      <c r="DR271" s="18"/>
      <c r="DS271" s="18"/>
      <c r="DT271" s="18"/>
      <c r="DU271" s="18"/>
      <c r="DV271" s="18"/>
      <c r="DW271" s="18"/>
      <c r="DX271" s="18"/>
      <c r="DY271" s="18"/>
      <c r="DZ271" s="18"/>
      <c r="EA271" s="18"/>
      <c r="EB271" s="18"/>
      <c r="EC271" s="18"/>
      <c r="ED271" s="18"/>
      <c r="EE271" s="18"/>
      <c r="EF271" s="18"/>
      <c r="EG271" s="18"/>
      <c r="EH271" s="18"/>
      <c r="EI271" s="18"/>
      <c r="EJ271" s="18"/>
      <c r="EK271" s="18"/>
      <c r="EL271" s="18"/>
      <c r="EM271" s="18"/>
      <c r="EN271" s="18"/>
      <c r="EO271" s="18"/>
      <c r="EP271" s="18"/>
      <c r="EQ271" s="18"/>
      <c r="ER271" s="18"/>
      <c r="ES271" s="18"/>
      <c r="ET271" s="18"/>
      <c r="EU271" s="18"/>
      <c r="EV271" s="18"/>
      <c r="EW271" s="18"/>
    </row>
    <row r="272" spans="1:153" ht="14" x14ac:dyDescent="0.2">
      <c r="A272" s="18" t="s">
        <v>230</v>
      </c>
      <c r="B272" s="18" t="s">
        <v>355</v>
      </c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  <c r="DW272" s="18"/>
      <c r="DX272" s="18"/>
      <c r="DY272" s="18"/>
      <c r="DZ272" s="18"/>
      <c r="EA272" s="18"/>
      <c r="EB272" s="18"/>
      <c r="EC272" s="18"/>
      <c r="ED272" s="18"/>
      <c r="EE272" s="18"/>
      <c r="EF272" s="18"/>
      <c r="EG272" s="18"/>
      <c r="EH272" s="18"/>
      <c r="EI272" s="18"/>
      <c r="EJ272" s="18"/>
      <c r="EK272" s="18"/>
      <c r="EL272" s="18"/>
      <c r="EM272" s="18"/>
      <c r="EN272" s="18"/>
      <c r="EO272" s="18"/>
      <c r="EP272" s="18"/>
      <c r="EQ272" s="18"/>
      <c r="ER272" s="18"/>
      <c r="ES272" s="18"/>
      <c r="ET272" s="18"/>
      <c r="EU272" s="18"/>
      <c r="EV272" s="18"/>
      <c r="EW272" s="18"/>
    </row>
    <row r="273" spans="1:153" ht="14" x14ac:dyDescent="0.2">
      <c r="A273" s="18" t="s">
        <v>231</v>
      </c>
      <c r="B273" s="18" t="s">
        <v>357</v>
      </c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  <c r="EJ273" s="18"/>
      <c r="EK273" s="18"/>
      <c r="EL273" s="18"/>
      <c r="EM273" s="18"/>
      <c r="EN273" s="18"/>
      <c r="EO273" s="18"/>
      <c r="EP273" s="18"/>
      <c r="EQ273" s="18"/>
      <c r="ER273" s="18"/>
      <c r="ES273" s="18"/>
      <c r="ET273" s="18"/>
      <c r="EU273" s="18"/>
      <c r="EV273" s="18"/>
      <c r="EW273" s="18"/>
    </row>
    <row r="274" spans="1:153" ht="14" x14ac:dyDescent="0.2">
      <c r="A274" s="18" t="s">
        <v>232</v>
      </c>
      <c r="B274" s="18" t="s">
        <v>358</v>
      </c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/>
      <c r="DN274" s="18"/>
      <c r="DO274" s="18"/>
      <c r="DP274" s="18"/>
      <c r="DQ274" s="18"/>
      <c r="DR274" s="18"/>
      <c r="DS274" s="18"/>
      <c r="DT274" s="18"/>
      <c r="DU274" s="18"/>
      <c r="DV274" s="18"/>
      <c r="DW274" s="18"/>
      <c r="DX274" s="18"/>
      <c r="DY274" s="18"/>
      <c r="DZ274" s="18"/>
      <c r="EA274" s="18"/>
      <c r="EB274" s="18"/>
      <c r="EC274" s="18"/>
      <c r="ED274" s="18"/>
      <c r="EE274" s="18"/>
      <c r="EF274" s="18"/>
      <c r="EG274" s="18"/>
      <c r="EH274" s="18"/>
      <c r="EI274" s="18"/>
      <c r="EJ274" s="18"/>
      <c r="EK274" s="18"/>
      <c r="EL274" s="18"/>
      <c r="EM274" s="18"/>
      <c r="EN274" s="18"/>
      <c r="EO274" s="18"/>
      <c r="EP274" s="18"/>
      <c r="EQ274" s="18"/>
      <c r="ER274" s="18"/>
      <c r="ES274" s="18"/>
      <c r="ET274" s="18"/>
      <c r="EU274" s="18"/>
      <c r="EV274" s="18"/>
      <c r="EW274" s="18"/>
    </row>
    <row r="275" spans="1:153" ht="14" x14ac:dyDescent="0.2">
      <c r="A275" s="18" t="s">
        <v>233</v>
      </c>
      <c r="B275" s="18" t="s">
        <v>355</v>
      </c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8"/>
      <c r="DS275" s="18"/>
      <c r="DT275" s="18"/>
      <c r="DU275" s="18"/>
      <c r="DV275" s="18"/>
      <c r="DW275" s="18"/>
      <c r="DX275" s="18"/>
      <c r="DY275" s="18"/>
      <c r="DZ275" s="18"/>
      <c r="EA275" s="18"/>
      <c r="EB275" s="18"/>
      <c r="EC275" s="18"/>
      <c r="ED275" s="18"/>
      <c r="EE275" s="18"/>
      <c r="EF275" s="18"/>
      <c r="EG275" s="18"/>
      <c r="EH275" s="18"/>
      <c r="EI275" s="18"/>
      <c r="EJ275" s="18"/>
      <c r="EK275" s="18"/>
      <c r="EL275" s="18"/>
      <c r="EM275" s="18"/>
      <c r="EN275" s="18"/>
      <c r="EO275" s="18"/>
      <c r="EP275" s="18"/>
      <c r="EQ275" s="18"/>
      <c r="ER275" s="18"/>
      <c r="ES275" s="18"/>
      <c r="ET275" s="18"/>
      <c r="EU275" s="18"/>
      <c r="EV275" s="18"/>
      <c r="EW275" s="18"/>
    </row>
    <row r="276" spans="1:153" ht="14" x14ac:dyDescent="0.2">
      <c r="A276" s="18" t="s">
        <v>234</v>
      </c>
      <c r="B276" s="18" t="s">
        <v>357</v>
      </c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/>
      <c r="DN276" s="18"/>
      <c r="DO276" s="18"/>
      <c r="DP276" s="18"/>
      <c r="DQ276" s="18"/>
      <c r="DR276" s="18"/>
      <c r="DS276" s="18"/>
      <c r="DT276" s="18"/>
      <c r="DU276" s="18"/>
      <c r="DV276" s="18"/>
      <c r="DW276" s="18"/>
      <c r="DX276" s="18"/>
      <c r="DY276" s="18"/>
      <c r="DZ276" s="18"/>
      <c r="EA276" s="18"/>
      <c r="EB276" s="18"/>
      <c r="EC276" s="18"/>
      <c r="ED276" s="18"/>
      <c r="EE276" s="18"/>
      <c r="EF276" s="18"/>
      <c r="EG276" s="18"/>
      <c r="EH276" s="18"/>
      <c r="EI276" s="18"/>
      <c r="EJ276" s="18"/>
      <c r="EK276" s="18"/>
      <c r="EL276" s="18"/>
      <c r="EM276" s="18"/>
      <c r="EN276" s="18"/>
      <c r="EO276" s="18"/>
      <c r="EP276" s="18"/>
      <c r="EQ276" s="18"/>
      <c r="ER276" s="18"/>
      <c r="ES276" s="18"/>
      <c r="ET276" s="18"/>
      <c r="EU276" s="18"/>
      <c r="EV276" s="18"/>
      <c r="EW276" s="18"/>
    </row>
    <row r="277" spans="1:153" ht="14" x14ac:dyDescent="0.2">
      <c r="A277" s="18" t="s">
        <v>235</v>
      </c>
      <c r="B277" s="18" t="s">
        <v>358</v>
      </c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  <c r="DW277" s="18"/>
      <c r="DX277" s="18"/>
      <c r="DY277" s="18"/>
      <c r="DZ277" s="18"/>
      <c r="EA277" s="18"/>
      <c r="EB277" s="18"/>
      <c r="EC277" s="18"/>
      <c r="ED277" s="18"/>
      <c r="EE277" s="18"/>
      <c r="EF277" s="18"/>
      <c r="EG277" s="18"/>
      <c r="EH277" s="18"/>
      <c r="EI277" s="18"/>
      <c r="EJ277" s="18"/>
      <c r="EK277" s="18"/>
      <c r="EL277" s="18"/>
      <c r="EM277" s="18"/>
      <c r="EN277" s="18"/>
      <c r="EO277" s="18"/>
      <c r="EP277" s="18"/>
      <c r="EQ277" s="18"/>
      <c r="ER277" s="18"/>
      <c r="ES277" s="18"/>
      <c r="ET277" s="18"/>
      <c r="EU277" s="18"/>
      <c r="EV277" s="18"/>
      <c r="EW277" s="18"/>
    </row>
    <row r="278" spans="1:153" ht="14" x14ac:dyDescent="0.2">
      <c r="A278" s="18" t="s">
        <v>236</v>
      </c>
      <c r="B278" s="18" t="s">
        <v>355</v>
      </c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/>
      <c r="DN278" s="18"/>
      <c r="DO278" s="18"/>
      <c r="DP278" s="18"/>
      <c r="DQ278" s="18"/>
      <c r="DR278" s="18"/>
      <c r="DS278" s="18"/>
      <c r="DT278" s="18"/>
      <c r="DU278" s="18"/>
      <c r="DV278" s="18"/>
      <c r="DW278" s="18"/>
      <c r="DX278" s="18"/>
      <c r="DY278" s="18"/>
      <c r="DZ278" s="18"/>
      <c r="EA278" s="18"/>
      <c r="EB278" s="18"/>
      <c r="EC278" s="18"/>
      <c r="ED278" s="18"/>
      <c r="EE278" s="18"/>
      <c r="EF278" s="18"/>
      <c r="EG278" s="18"/>
      <c r="EH278" s="18"/>
      <c r="EI278" s="18"/>
      <c r="EJ278" s="18"/>
      <c r="EK278" s="18"/>
      <c r="EL278" s="18"/>
      <c r="EM278" s="18"/>
      <c r="EN278" s="18"/>
      <c r="EO278" s="18"/>
      <c r="EP278" s="18"/>
      <c r="EQ278" s="18"/>
      <c r="ER278" s="18"/>
      <c r="ES278" s="18"/>
      <c r="ET278" s="18"/>
      <c r="EU278" s="18"/>
      <c r="EV278" s="18"/>
      <c r="EW278" s="18"/>
    </row>
    <row r="279" spans="1:153" ht="14" x14ac:dyDescent="0.2">
      <c r="A279" s="18" t="s">
        <v>237</v>
      </c>
      <c r="B279" s="18" t="s">
        <v>357</v>
      </c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/>
      <c r="DN279" s="18"/>
      <c r="DO279" s="18"/>
      <c r="DP279" s="18"/>
      <c r="DQ279" s="18"/>
      <c r="DR279" s="18"/>
      <c r="DS279" s="18"/>
      <c r="DT279" s="18"/>
      <c r="DU279" s="18"/>
      <c r="DV279" s="18"/>
      <c r="DW279" s="18"/>
      <c r="DX279" s="18"/>
      <c r="DY279" s="18"/>
      <c r="DZ279" s="18"/>
      <c r="EA279" s="18"/>
      <c r="EB279" s="18"/>
      <c r="EC279" s="18"/>
      <c r="ED279" s="18"/>
      <c r="EE279" s="18"/>
      <c r="EF279" s="18"/>
      <c r="EG279" s="18"/>
      <c r="EH279" s="18"/>
      <c r="EI279" s="18"/>
      <c r="EJ279" s="18"/>
      <c r="EK279" s="18"/>
      <c r="EL279" s="18"/>
      <c r="EM279" s="18"/>
      <c r="EN279" s="18"/>
      <c r="EO279" s="18"/>
      <c r="EP279" s="18"/>
      <c r="EQ279" s="18"/>
      <c r="ER279" s="18"/>
      <c r="ES279" s="18"/>
      <c r="ET279" s="18"/>
      <c r="EU279" s="18"/>
      <c r="EV279" s="18"/>
      <c r="EW279" s="18"/>
    </row>
    <row r="280" spans="1:153" ht="14" x14ac:dyDescent="0.2">
      <c r="A280" s="18" t="s">
        <v>238</v>
      </c>
      <c r="B280" s="18" t="s">
        <v>358</v>
      </c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/>
      <c r="DN280" s="18"/>
      <c r="DO280" s="18"/>
      <c r="DP280" s="18"/>
      <c r="DQ280" s="18"/>
      <c r="DR280" s="18"/>
      <c r="DS280" s="18"/>
      <c r="DT280" s="18"/>
      <c r="DU280" s="18"/>
      <c r="DV280" s="18"/>
      <c r="DW280" s="18"/>
      <c r="DX280" s="18"/>
      <c r="DY280" s="18"/>
      <c r="DZ280" s="18"/>
      <c r="EA280" s="18"/>
      <c r="EB280" s="18"/>
      <c r="EC280" s="18"/>
      <c r="ED280" s="18"/>
      <c r="EE280" s="18"/>
      <c r="EF280" s="18"/>
      <c r="EG280" s="18"/>
      <c r="EH280" s="18"/>
      <c r="EI280" s="18"/>
      <c r="EJ280" s="18"/>
      <c r="EK280" s="18"/>
      <c r="EL280" s="18"/>
      <c r="EM280" s="18"/>
      <c r="EN280" s="18"/>
      <c r="EO280" s="18"/>
      <c r="EP280" s="18"/>
      <c r="EQ280" s="18"/>
      <c r="ER280" s="18"/>
      <c r="ES280" s="18"/>
      <c r="ET280" s="18"/>
      <c r="EU280" s="18"/>
      <c r="EV280" s="18"/>
      <c r="EW280" s="18"/>
    </row>
    <row r="281" spans="1:153" ht="14" x14ac:dyDescent="0.2">
      <c r="A281" s="18" t="s">
        <v>239</v>
      </c>
      <c r="B281" s="18" t="s">
        <v>355</v>
      </c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/>
      <c r="DN281" s="18"/>
      <c r="DO281" s="18"/>
      <c r="DP281" s="18"/>
      <c r="DQ281" s="18"/>
      <c r="DR281" s="18"/>
      <c r="DS281" s="18"/>
      <c r="DT281" s="18"/>
      <c r="DU281" s="18"/>
      <c r="DV281" s="18"/>
      <c r="DW281" s="18"/>
      <c r="DX281" s="18"/>
      <c r="DY281" s="18"/>
      <c r="DZ281" s="18"/>
      <c r="EA281" s="18"/>
      <c r="EB281" s="18"/>
      <c r="EC281" s="18"/>
      <c r="ED281" s="18"/>
      <c r="EE281" s="18"/>
      <c r="EF281" s="18"/>
      <c r="EG281" s="18"/>
      <c r="EH281" s="18"/>
      <c r="EI281" s="18"/>
      <c r="EJ281" s="18"/>
      <c r="EK281" s="18"/>
      <c r="EL281" s="18"/>
      <c r="EM281" s="18"/>
      <c r="EN281" s="18"/>
      <c r="EO281" s="18"/>
      <c r="EP281" s="18"/>
      <c r="EQ281" s="18"/>
      <c r="ER281" s="18"/>
      <c r="ES281" s="18"/>
      <c r="ET281" s="18"/>
      <c r="EU281" s="18"/>
      <c r="EV281" s="18"/>
      <c r="EW281" s="18"/>
    </row>
    <row r="282" spans="1:153" ht="14" x14ac:dyDescent="0.2">
      <c r="A282" s="18" t="s">
        <v>240</v>
      </c>
      <c r="B282" s="18" t="s">
        <v>357</v>
      </c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/>
      <c r="DN282" s="18"/>
      <c r="DO282" s="18"/>
      <c r="DP282" s="18"/>
      <c r="DQ282" s="18"/>
      <c r="DR282" s="18"/>
      <c r="DS282" s="18"/>
      <c r="DT282" s="18"/>
      <c r="DU282" s="18"/>
      <c r="DV282" s="18"/>
      <c r="DW282" s="18"/>
      <c r="DX282" s="18"/>
      <c r="DY282" s="18"/>
      <c r="DZ282" s="18"/>
      <c r="EA282" s="18"/>
      <c r="EB282" s="18"/>
      <c r="EC282" s="18"/>
      <c r="ED282" s="18"/>
      <c r="EE282" s="18"/>
      <c r="EF282" s="18"/>
      <c r="EG282" s="18"/>
      <c r="EH282" s="18"/>
      <c r="EI282" s="18"/>
      <c r="EJ282" s="18"/>
      <c r="EK282" s="18"/>
      <c r="EL282" s="18"/>
      <c r="EM282" s="18"/>
      <c r="EN282" s="18"/>
      <c r="EO282" s="18"/>
      <c r="EP282" s="18"/>
      <c r="EQ282" s="18"/>
      <c r="ER282" s="18"/>
      <c r="ES282" s="18"/>
      <c r="ET282" s="18"/>
      <c r="EU282" s="18"/>
      <c r="EV282" s="18"/>
      <c r="EW282" s="18"/>
    </row>
    <row r="283" spans="1:153" ht="14" x14ac:dyDescent="0.2">
      <c r="A283" s="18" t="s">
        <v>241</v>
      </c>
      <c r="B283" s="18" t="s">
        <v>358</v>
      </c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/>
      <c r="DN283" s="18"/>
      <c r="DO283" s="18"/>
      <c r="DP283" s="18"/>
      <c r="DQ283" s="18"/>
      <c r="DR283" s="18"/>
      <c r="DS283" s="18"/>
      <c r="DT283" s="18"/>
      <c r="DU283" s="18"/>
      <c r="DV283" s="18"/>
      <c r="DW283" s="18"/>
      <c r="DX283" s="18"/>
      <c r="DY283" s="18"/>
      <c r="DZ283" s="18"/>
      <c r="EA283" s="18"/>
      <c r="EB283" s="18"/>
      <c r="EC283" s="18"/>
      <c r="ED283" s="18"/>
      <c r="EE283" s="18"/>
      <c r="EF283" s="18"/>
      <c r="EG283" s="18"/>
      <c r="EH283" s="18"/>
      <c r="EI283" s="18"/>
      <c r="EJ283" s="18"/>
      <c r="EK283" s="18"/>
      <c r="EL283" s="18"/>
      <c r="EM283" s="18"/>
      <c r="EN283" s="18"/>
      <c r="EO283" s="18"/>
      <c r="EP283" s="18"/>
      <c r="EQ283" s="18"/>
      <c r="ER283" s="18"/>
      <c r="ES283" s="18"/>
      <c r="ET283" s="18"/>
      <c r="EU283" s="18"/>
      <c r="EV283" s="18"/>
      <c r="EW283" s="18"/>
    </row>
    <row r="284" spans="1:153" ht="14" x14ac:dyDescent="0.2">
      <c r="A284" s="18" t="s">
        <v>242</v>
      </c>
      <c r="B284" s="18" t="s">
        <v>355</v>
      </c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/>
      <c r="DN284" s="18"/>
      <c r="DO284" s="18"/>
      <c r="DP284" s="18"/>
      <c r="DQ284" s="18"/>
      <c r="DR284" s="18"/>
      <c r="DS284" s="18"/>
      <c r="DT284" s="18"/>
      <c r="DU284" s="18"/>
      <c r="DV284" s="18"/>
      <c r="DW284" s="18"/>
      <c r="DX284" s="18"/>
      <c r="DY284" s="18"/>
      <c r="DZ284" s="18"/>
      <c r="EA284" s="18"/>
      <c r="EB284" s="18"/>
      <c r="EC284" s="18"/>
      <c r="ED284" s="18"/>
      <c r="EE284" s="18"/>
      <c r="EF284" s="18"/>
      <c r="EG284" s="18"/>
      <c r="EH284" s="18"/>
      <c r="EI284" s="18"/>
      <c r="EJ284" s="18"/>
      <c r="EK284" s="18"/>
      <c r="EL284" s="18"/>
      <c r="EM284" s="18"/>
      <c r="EN284" s="18"/>
      <c r="EO284" s="18"/>
      <c r="EP284" s="18"/>
      <c r="EQ284" s="18"/>
      <c r="ER284" s="18"/>
      <c r="ES284" s="18"/>
      <c r="ET284" s="18"/>
      <c r="EU284" s="18"/>
      <c r="EV284" s="18"/>
      <c r="EW284" s="18"/>
    </row>
    <row r="285" spans="1:153" ht="14" x14ac:dyDescent="0.2">
      <c r="A285" s="18" t="s">
        <v>243</v>
      </c>
      <c r="B285" s="18" t="s">
        <v>357</v>
      </c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  <c r="DW285" s="18"/>
      <c r="DX285" s="18"/>
      <c r="DY285" s="18"/>
      <c r="DZ285" s="18"/>
      <c r="EA285" s="18"/>
      <c r="EB285" s="18"/>
      <c r="EC285" s="18"/>
      <c r="ED285" s="18"/>
      <c r="EE285" s="18"/>
      <c r="EF285" s="18"/>
      <c r="EG285" s="18"/>
      <c r="EH285" s="18"/>
      <c r="EI285" s="18"/>
      <c r="EJ285" s="18"/>
      <c r="EK285" s="18"/>
      <c r="EL285" s="18"/>
      <c r="EM285" s="18"/>
      <c r="EN285" s="18"/>
      <c r="EO285" s="18"/>
      <c r="EP285" s="18"/>
      <c r="EQ285" s="18"/>
      <c r="ER285" s="18"/>
      <c r="ES285" s="18"/>
      <c r="ET285" s="18"/>
      <c r="EU285" s="18"/>
      <c r="EV285" s="18"/>
      <c r="EW285" s="18"/>
    </row>
    <row r="286" spans="1:153" ht="14" x14ac:dyDescent="0.2">
      <c r="A286" s="18" t="s">
        <v>244</v>
      </c>
      <c r="B286" s="18" t="s">
        <v>358</v>
      </c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/>
      <c r="DK286" s="18"/>
      <c r="DL286" s="18"/>
      <c r="DM286" s="18"/>
      <c r="DN286" s="18"/>
      <c r="DO286" s="18"/>
      <c r="DP286" s="18"/>
      <c r="DQ286" s="18"/>
      <c r="DR286" s="18"/>
      <c r="DS286" s="18"/>
      <c r="DT286" s="18"/>
      <c r="DU286" s="18"/>
      <c r="DV286" s="18"/>
      <c r="DW286" s="18"/>
      <c r="DX286" s="18"/>
      <c r="DY286" s="18"/>
      <c r="DZ286" s="18"/>
      <c r="EA286" s="18"/>
      <c r="EB286" s="18"/>
      <c r="EC286" s="18"/>
      <c r="ED286" s="18"/>
      <c r="EE286" s="18"/>
      <c r="EF286" s="18"/>
      <c r="EG286" s="18"/>
      <c r="EH286" s="18"/>
      <c r="EI286" s="18"/>
      <c r="EJ286" s="18"/>
      <c r="EK286" s="18"/>
      <c r="EL286" s="18"/>
      <c r="EM286" s="18"/>
      <c r="EN286" s="18"/>
      <c r="EO286" s="18"/>
      <c r="EP286" s="18"/>
      <c r="EQ286" s="18"/>
      <c r="ER286" s="18"/>
      <c r="ES286" s="18"/>
      <c r="ET286" s="18"/>
      <c r="EU286" s="18"/>
      <c r="EV286" s="18"/>
      <c r="EW286" s="18"/>
    </row>
    <row r="287" spans="1:153" ht="14" x14ac:dyDescent="0.2">
      <c r="A287" s="18" t="s">
        <v>245</v>
      </c>
      <c r="B287" s="18" t="s">
        <v>355</v>
      </c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/>
      <c r="DN287" s="18"/>
      <c r="DO287" s="18"/>
      <c r="DP287" s="18"/>
      <c r="DQ287" s="18"/>
      <c r="DR287" s="18"/>
      <c r="DS287" s="18"/>
      <c r="DT287" s="18"/>
      <c r="DU287" s="18"/>
      <c r="DV287" s="18"/>
      <c r="DW287" s="18"/>
      <c r="DX287" s="18"/>
      <c r="DY287" s="18"/>
      <c r="DZ287" s="18"/>
      <c r="EA287" s="18"/>
      <c r="EB287" s="18"/>
      <c r="EC287" s="18"/>
      <c r="ED287" s="18"/>
      <c r="EE287" s="18"/>
      <c r="EF287" s="18"/>
      <c r="EG287" s="18"/>
      <c r="EH287" s="18"/>
      <c r="EI287" s="18"/>
      <c r="EJ287" s="18"/>
      <c r="EK287" s="18"/>
      <c r="EL287" s="18"/>
      <c r="EM287" s="18"/>
      <c r="EN287" s="18"/>
      <c r="EO287" s="18"/>
      <c r="EP287" s="18"/>
      <c r="EQ287" s="18"/>
      <c r="ER287" s="18"/>
      <c r="ES287" s="18"/>
      <c r="ET287" s="18"/>
      <c r="EU287" s="18"/>
      <c r="EV287" s="18"/>
      <c r="EW287" s="18"/>
    </row>
    <row r="288" spans="1:153" ht="14" x14ac:dyDescent="0.2">
      <c r="A288" s="18" t="s">
        <v>246</v>
      </c>
      <c r="B288" s="18" t="s">
        <v>357</v>
      </c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/>
      <c r="DN288" s="18"/>
      <c r="DO288" s="18"/>
      <c r="DP288" s="18"/>
      <c r="DQ288" s="18"/>
      <c r="DR288" s="18"/>
      <c r="DS288" s="18"/>
      <c r="DT288" s="18"/>
      <c r="DU288" s="18"/>
      <c r="DV288" s="18"/>
      <c r="DW288" s="18"/>
      <c r="DX288" s="18"/>
      <c r="DY288" s="18"/>
      <c r="DZ288" s="18"/>
      <c r="EA288" s="18"/>
      <c r="EB288" s="18"/>
      <c r="EC288" s="18"/>
      <c r="ED288" s="18"/>
      <c r="EE288" s="18"/>
      <c r="EF288" s="18"/>
      <c r="EG288" s="18"/>
      <c r="EH288" s="18"/>
      <c r="EI288" s="18"/>
      <c r="EJ288" s="18"/>
      <c r="EK288" s="18"/>
      <c r="EL288" s="18"/>
      <c r="EM288" s="18"/>
      <c r="EN288" s="18"/>
      <c r="EO288" s="18"/>
      <c r="EP288" s="18"/>
      <c r="EQ288" s="18"/>
      <c r="ER288" s="18"/>
      <c r="ES288" s="18"/>
      <c r="ET288" s="18"/>
      <c r="EU288" s="18"/>
      <c r="EV288" s="18"/>
      <c r="EW288" s="18"/>
    </row>
    <row r="289" spans="1:153" ht="14" x14ac:dyDescent="0.2">
      <c r="A289" s="18" t="s">
        <v>247</v>
      </c>
      <c r="B289" s="18" t="s">
        <v>358</v>
      </c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  <c r="DI289" s="18"/>
      <c r="DJ289" s="18"/>
      <c r="DK289" s="18"/>
      <c r="DL289" s="18"/>
      <c r="DM289" s="18"/>
      <c r="DN289" s="18"/>
      <c r="DO289" s="18"/>
      <c r="DP289" s="18"/>
      <c r="DQ289" s="18"/>
      <c r="DR289" s="18"/>
      <c r="DS289" s="18"/>
      <c r="DT289" s="18"/>
      <c r="DU289" s="18"/>
      <c r="DV289" s="18"/>
      <c r="DW289" s="18"/>
      <c r="DX289" s="18"/>
      <c r="DY289" s="18"/>
      <c r="DZ289" s="18"/>
      <c r="EA289" s="18"/>
      <c r="EB289" s="18"/>
      <c r="EC289" s="18"/>
      <c r="ED289" s="18"/>
      <c r="EE289" s="18"/>
      <c r="EF289" s="18"/>
      <c r="EG289" s="18"/>
      <c r="EH289" s="18"/>
      <c r="EI289" s="18"/>
      <c r="EJ289" s="18"/>
      <c r="EK289" s="18"/>
      <c r="EL289" s="18"/>
      <c r="EM289" s="18"/>
      <c r="EN289" s="18"/>
      <c r="EO289" s="18"/>
      <c r="EP289" s="18"/>
      <c r="EQ289" s="18"/>
      <c r="ER289" s="18"/>
      <c r="ES289" s="18"/>
      <c r="ET289" s="18"/>
      <c r="EU289" s="18"/>
      <c r="EV289" s="18"/>
      <c r="EW289" s="18"/>
    </row>
    <row r="290" spans="1:153" ht="14" x14ac:dyDescent="0.2">
      <c r="A290" s="18" t="s">
        <v>248</v>
      </c>
      <c r="B290" s="18" t="s">
        <v>355</v>
      </c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  <c r="DI290" s="18"/>
      <c r="DJ290" s="18"/>
      <c r="DK290" s="18"/>
      <c r="DL290" s="18"/>
      <c r="DM290" s="18"/>
      <c r="DN290" s="18"/>
      <c r="DO290" s="18"/>
      <c r="DP290" s="18"/>
      <c r="DQ290" s="18"/>
      <c r="DR290" s="18"/>
      <c r="DS290" s="18"/>
      <c r="DT290" s="18"/>
      <c r="DU290" s="18"/>
      <c r="DV290" s="18"/>
      <c r="DW290" s="18"/>
      <c r="DX290" s="18"/>
      <c r="DY290" s="18"/>
      <c r="DZ290" s="18"/>
      <c r="EA290" s="18"/>
      <c r="EB290" s="18"/>
      <c r="EC290" s="18"/>
      <c r="ED290" s="18"/>
      <c r="EE290" s="18"/>
      <c r="EF290" s="18"/>
      <c r="EG290" s="18"/>
      <c r="EH290" s="18"/>
      <c r="EI290" s="18"/>
      <c r="EJ290" s="18"/>
      <c r="EK290" s="18"/>
      <c r="EL290" s="18"/>
      <c r="EM290" s="18"/>
      <c r="EN290" s="18"/>
      <c r="EO290" s="18"/>
      <c r="EP290" s="18"/>
      <c r="EQ290" s="18"/>
      <c r="ER290" s="18"/>
      <c r="ES290" s="18"/>
      <c r="ET290" s="18"/>
      <c r="EU290" s="18"/>
      <c r="EV290" s="18"/>
      <c r="EW290" s="18"/>
    </row>
    <row r="291" spans="1:153" ht="14" x14ac:dyDescent="0.2">
      <c r="A291" s="18" t="s">
        <v>249</v>
      </c>
      <c r="B291" s="18" t="s">
        <v>357</v>
      </c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/>
      <c r="DN291" s="18"/>
      <c r="DO291" s="18"/>
      <c r="DP291" s="18"/>
      <c r="DQ291" s="18"/>
      <c r="DR291" s="18"/>
      <c r="DS291" s="18"/>
      <c r="DT291" s="18"/>
      <c r="DU291" s="18"/>
      <c r="DV291" s="18"/>
      <c r="DW291" s="18"/>
      <c r="DX291" s="18"/>
      <c r="DY291" s="18"/>
      <c r="DZ291" s="18"/>
      <c r="EA291" s="18"/>
      <c r="EB291" s="18"/>
      <c r="EC291" s="18"/>
      <c r="ED291" s="18"/>
      <c r="EE291" s="18"/>
      <c r="EF291" s="18"/>
      <c r="EG291" s="18"/>
      <c r="EH291" s="18"/>
      <c r="EI291" s="18"/>
      <c r="EJ291" s="18"/>
      <c r="EK291" s="18"/>
      <c r="EL291" s="18"/>
      <c r="EM291" s="18"/>
      <c r="EN291" s="18"/>
      <c r="EO291" s="18"/>
      <c r="EP291" s="18"/>
      <c r="EQ291" s="18"/>
      <c r="ER291" s="18"/>
      <c r="ES291" s="18"/>
      <c r="ET291" s="18"/>
      <c r="EU291" s="18"/>
      <c r="EV291" s="18"/>
      <c r="EW291" s="18"/>
    </row>
    <row r="292" spans="1:153" ht="14" x14ac:dyDescent="0.2">
      <c r="A292" s="18" t="s">
        <v>250</v>
      </c>
      <c r="B292" s="18" t="s">
        <v>358</v>
      </c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/>
      <c r="DN292" s="18"/>
      <c r="DO292" s="18"/>
      <c r="DP292" s="18"/>
      <c r="DQ292" s="18"/>
      <c r="DR292" s="18"/>
      <c r="DS292" s="18"/>
      <c r="DT292" s="18"/>
      <c r="DU292" s="18"/>
      <c r="DV292" s="18"/>
      <c r="DW292" s="18"/>
      <c r="DX292" s="18"/>
      <c r="DY292" s="18"/>
      <c r="DZ292" s="18"/>
      <c r="EA292" s="18"/>
      <c r="EB292" s="18"/>
      <c r="EC292" s="18"/>
      <c r="ED292" s="18"/>
      <c r="EE292" s="18"/>
      <c r="EF292" s="18"/>
      <c r="EG292" s="18"/>
      <c r="EH292" s="18"/>
      <c r="EI292" s="18"/>
      <c r="EJ292" s="18"/>
      <c r="EK292" s="18"/>
      <c r="EL292" s="18"/>
      <c r="EM292" s="18"/>
      <c r="EN292" s="18"/>
      <c r="EO292" s="18"/>
      <c r="EP292" s="18"/>
      <c r="EQ292" s="18"/>
      <c r="ER292" s="18"/>
      <c r="ES292" s="18"/>
      <c r="ET292" s="18"/>
      <c r="EU292" s="18"/>
      <c r="EV292" s="18"/>
      <c r="EW292" s="18"/>
    </row>
    <row r="293" spans="1:153" ht="14" x14ac:dyDescent="0.2">
      <c r="A293" s="18" t="s">
        <v>251</v>
      </c>
      <c r="B293" s="18" t="s">
        <v>355</v>
      </c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8"/>
      <c r="DS293" s="18"/>
      <c r="DT293" s="18"/>
      <c r="DU293" s="18"/>
      <c r="DV293" s="18"/>
      <c r="DW293" s="18"/>
      <c r="DX293" s="18"/>
      <c r="DY293" s="18"/>
      <c r="DZ293" s="18"/>
      <c r="EA293" s="18"/>
      <c r="EB293" s="18"/>
      <c r="EC293" s="18"/>
      <c r="ED293" s="18"/>
      <c r="EE293" s="18"/>
      <c r="EF293" s="18"/>
      <c r="EG293" s="18"/>
      <c r="EH293" s="18"/>
      <c r="EI293" s="18"/>
      <c r="EJ293" s="18"/>
      <c r="EK293" s="18"/>
      <c r="EL293" s="18"/>
      <c r="EM293" s="18"/>
      <c r="EN293" s="18"/>
      <c r="EO293" s="18"/>
      <c r="EP293" s="18"/>
      <c r="EQ293" s="18"/>
      <c r="ER293" s="18"/>
      <c r="ES293" s="18"/>
      <c r="ET293" s="18"/>
      <c r="EU293" s="18"/>
      <c r="EV293" s="18"/>
      <c r="EW293" s="18"/>
    </row>
    <row r="294" spans="1:153" ht="14" x14ac:dyDescent="0.2">
      <c r="A294" s="18" t="s">
        <v>252</v>
      </c>
      <c r="B294" s="18" t="s">
        <v>357</v>
      </c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/>
      <c r="DN294" s="18"/>
      <c r="DO294" s="18"/>
      <c r="DP294" s="18"/>
      <c r="DQ294" s="18"/>
      <c r="DR294" s="18"/>
      <c r="DS294" s="18"/>
      <c r="DT294" s="18"/>
      <c r="DU294" s="18"/>
      <c r="DV294" s="18"/>
      <c r="DW294" s="18"/>
      <c r="DX294" s="18"/>
      <c r="DY294" s="18"/>
      <c r="DZ294" s="18"/>
      <c r="EA294" s="18"/>
      <c r="EB294" s="18"/>
      <c r="EC294" s="18"/>
      <c r="ED294" s="18"/>
      <c r="EE294" s="18"/>
      <c r="EF294" s="18"/>
      <c r="EG294" s="18"/>
      <c r="EH294" s="18"/>
      <c r="EI294" s="18"/>
      <c r="EJ294" s="18"/>
      <c r="EK294" s="18"/>
      <c r="EL294" s="18"/>
      <c r="EM294" s="18"/>
      <c r="EN294" s="18"/>
      <c r="EO294" s="18"/>
      <c r="EP294" s="18"/>
      <c r="EQ294" s="18"/>
      <c r="ER294" s="18"/>
      <c r="ES294" s="18"/>
      <c r="ET294" s="18"/>
      <c r="EU294" s="18"/>
      <c r="EV294" s="18"/>
      <c r="EW294" s="18"/>
    </row>
    <row r="295" spans="1:153" ht="14" x14ac:dyDescent="0.2">
      <c r="A295" s="18" t="s">
        <v>253</v>
      </c>
      <c r="B295" s="18" t="s">
        <v>358</v>
      </c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/>
      <c r="DN295" s="18"/>
      <c r="DO295" s="18"/>
      <c r="DP295" s="18"/>
      <c r="DQ295" s="18"/>
      <c r="DR295" s="18"/>
      <c r="DS295" s="18"/>
      <c r="DT295" s="18"/>
      <c r="DU295" s="18"/>
      <c r="DV295" s="18"/>
      <c r="DW295" s="18"/>
      <c r="DX295" s="18"/>
      <c r="DY295" s="18"/>
      <c r="DZ295" s="18"/>
      <c r="EA295" s="18"/>
      <c r="EB295" s="18"/>
      <c r="EC295" s="18"/>
      <c r="ED295" s="18"/>
      <c r="EE295" s="18"/>
      <c r="EF295" s="18"/>
      <c r="EG295" s="18"/>
      <c r="EH295" s="18"/>
      <c r="EI295" s="18"/>
      <c r="EJ295" s="18"/>
      <c r="EK295" s="18"/>
      <c r="EL295" s="18"/>
      <c r="EM295" s="18"/>
      <c r="EN295" s="18"/>
      <c r="EO295" s="18"/>
      <c r="EP295" s="18"/>
      <c r="EQ295" s="18"/>
      <c r="ER295" s="18"/>
      <c r="ES295" s="18"/>
      <c r="ET295" s="18"/>
      <c r="EU295" s="18"/>
      <c r="EV295" s="18"/>
      <c r="EW295" s="18"/>
    </row>
    <row r="296" spans="1:153" ht="14" x14ac:dyDescent="0.2">
      <c r="A296" s="18" t="s">
        <v>254</v>
      </c>
      <c r="B296" s="18" t="s">
        <v>355</v>
      </c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/>
      <c r="DN296" s="18"/>
      <c r="DO296" s="18"/>
      <c r="DP296" s="18"/>
      <c r="DQ296" s="18"/>
      <c r="DR296" s="18"/>
      <c r="DS296" s="18"/>
      <c r="DT296" s="18"/>
      <c r="DU296" s="18"/>
      <c r="DV296" s="18"/>
      <c r="DW296" s="18"/>
      <c r="DX296" s="18"/>
      <c r="DY296" s="18"/>
      <c r="DZ296" s="18"/>
      <c r="EA296" s="18"/>
      <c r="EB296" s="18"/>
      <c r="EC296" s="18"/>
      <c r="ED296" s="18"/>
      <c r="EE296" s="18"/>
      <c r="EF296" s="18"/>
      <c r="EG296" s="18"/>
      <c r="EH296" s="18"/>
      <c r="EI296" s="18"/>
      <c r="EJ296" s="18"/>
      <c r="EK296" s="18"/>
      <c r="EL296" s="18"/>
      <c r="EM296" s="18"/>
      <c r="EN296" s="18"/>
      <c r="EO296" s="18"/>
      <c r="EP296" s="18"/>
      <c r="EQ296" s="18"/>
      <c r="ER296" s="18"/>
      <c r="ES296" s="18"/>
      <c r="ET296" s="18"/>
      <c r="EU296" s="18"/>
      <c r="EV296" s="18"/>
      <c r="EW296" s="18"/>
    </row>
    <row r="297" spans="1:153" ht="14" x14ac:dyDescent="0.2">
      <c r="A297" s="18" t="s">
        <v>255</v>
      </c>
      <c r="B297" s="18" t="s">
        <v>357</v>
      </c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/>
      <c r="DN297" s="18"/>
      <c r="DO297" s="18"/>
      <c r="DP297" s="18"/>
      <c r="DQ297" s="18"/>
      <c r="DR297" s="18"/>
      <c r="DS297" s="18"/>
      <c r="DT297" s="18"/>
      <c r="DU297" s="18"/>
      <c r="DV297" s="18"/>
      <c r="DW297" s="18"/>
      <c r="DX297" s="18"/>
      <c r="DY297" s="18"/>
      <c r="DZ297" s="18"/>
      <c r="EA297" s="18"/>
      <c r="EB297" s="18"/>
      <c r="EC297" s="18"/>
      <c r="ED297" s="18"/>
      <c r="EE297" s="18"/>
      <c r="EF297" s="18"/>
      <c r="EG297" s="18"/>
      <c r="EH297" s="18"/>
      <c r="EI297" s="18"/>
      <c r="EJ297" s="18"/>
      <c r="EK297" s="18"/>
      <c r="EL297" s="18"/>
      <c r="EM297" s="18"/>
      <c r="EN297" s="18"/>
      <c r="EO297" s="18"/>
      <c r="EP297" s="18"/>
      <c r="EQ297" s="18"/>
      <c r="ER297" s="18"/>
      <c r="ES297" s="18"/>
      <c r="ET297" s="18"/>
      <c r="EU297" s="18"/>
      <c r="EV297" s="18"/>
      <c r="EW297" s="18"/>
    </row>
    <row r="298" spans="1:153" ht="14" x14ac:dyDescent="0.2">
      <c r="A298" s="18" t="s">
        <v>256</v>
      </c>
      <c r="B298" s="18" t="s">
        <v>358</v>
      </c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/>
      <c r="DN298" s="18"/>
      <c r="DO298" s="18"/>
      <c r="DP298" s="18"/>
      <c r="DQ298" s="18"/>
      <c r="DR298" s="18"/>
      <c r="DS298" s="18"/>
      <c r="DT298" s="18"/>
      <c r="DU298" s="18"/>
      <c r="DV298" s="18"/>
      <c r="DW298" s="18"/>
      <c r="DX298" s="18"/>
      <c r="DY298" s="18"/>
      <c r="DZ298" s="18"/>
      <c r="EA298" s="18"/>
      <c r="EB298" s="18"/>
      <c r="EC298" s="18"/>
      <c r="ED298" s="18"/>
      <c r="EE298" s="18"/>
      <c r="EF298" s="18"/>
      <c r="EG298" s="18"/>
      <c r="EH298" s="18"/>
      <c r="EI298" s="18"/>
      <c r="EJ298" s="18"/>
      <c r="EK298" s="18"/>
      <c r="EL298" s="18"/>
      <c r="EM298" s="18"/>
      <c r="EN298" s="18"/>
      <c r="EO298" s="18"/>
      <c r="EP298" s="18"/>
      <c r="EQ298" s="18"/>
      <c r="ER298" s="18"/>
      <c r="ES298" s="18"/>
      <c r="ET298" s="18"/>
      <c r="EU298" s="18"/>
      <c r="EV298" s="18"/>
      <c r="EW298" s="18"/>
    </row>
    <row r="299" spans="1:153" ht="14" x14ac:dyDescent="0.2">
      <c r="A299" s="18" t="s">
        <v>257</v>
      </c>
      <c r="B299" s="18" t="s">
        <v>355</v>
      </c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/>
      <c r="DN299" s="18"/>
      <c r="DO299" s="18"/>
      <c r="DP299" s="18"/>
      <c r="DQ299" s="18"/>
      <c r="DR299" s="18"/>
      <c r="DS299" s="18"/>
      <c r="DT299" s="18"/>
      <c r="DU299" s="18"/>
      <c r="DV299" s="18"/>
      <c r="DW299" s="18"/>
      <c r="DX299" s="18"/>
      <c r="DY299" s="18"/>
      <c r="DZ299" s="18"/>
      <c r="EA299" s="18"/>
      <c r="EB299" s="18"/>
      <c r="EC299" s="18"/>
      <c r="ED299" s="18"/>
      <c r="EE299" s="18"/>
      <c r="EF299" s="18"/>
      <c r="EG299" s="18"/>
      <c r="EH299" s="18"/>
      <c r="EI299" s="18"/>
      <c r="EJ299" s="18"/>
      <c r="EK299" s="18"/>
      <c r="EL299" s="18"/>
      <c r="EM299" s="18"/>
      <c r="EN299" s="18"/>
      <c r="EO299" s="18"/>
      <c r="EP299" s="18"/>
      <c r="EQ299" s="18"/>
      <c r="ER299" s="18"/>
      <c r="ES299" s="18"/>
      <c r="ET299" s="18"/>
      <c r="EU299" s="18"/>
      <c r="EV299" s="18"/>
      <c r="EW299" s="18"/>
    </row>
    <row r="300" spans="1:153" ht="14" x14ac:dyDescent="0.2">
      <c r="A300" s="18" t="s">
        <v>258</v>
      </c>
      <c r="B300" s="18" t="s">
        <v>357</v>
      </c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  <c r="DI300" s="18"/>
      <c r="DJ300" s="18"/>
      <c r="DK300" s="18"/>
      <c r="DL300" s="18"/>
      <c r="DM300" s="18"/>
      <c r="DN300" s="18"/>
      <c r="DO300" s="18"/>
      <c r="DP300" s="18"/>
      <c r="DQ300" s="18"/>
      <c r="DR300" s="18"/>
      <c r="DS300" s="18"/>
      <c r="DT300" s="18"/>
      <c r="DU300" s="18"/>
      <c r="DV300" s="18"/>
      <c r="DW300" s="18"/>
      <c r="DX300" s="18"/>
      <c r="DY300" s="18"/>
      <c r="DZ300" s="18"/>
      <c r="EA300" s="18"/>
      <c r="EB300" s="18"/>
      <c r="EC300" s="18"/>
      <c r="ED300" s="18"/>
      <c r="EE300" s="18"/>
      <c r="EF300" s="18"/>
      <c r="EG300" s="18"/>
      <c r="EH300" s="18"/>
      <c r="EI300" s="18"/>
      <c r="EJ300" s="18"/>
      <c r="EK300" s="18"/>
      <c r="EL300" s="18"/>
      <c r="EM300" s="18"/>
      <c r="EN300" s="18"/>
      <c r="EO300" s="18"/>
      <c r="EP300" s="18"/>
      <c r="EQ300" s="18"/>
      <c r="ER300" s="18"/>
      <c r="ES300" s="18"/>
      <c r="ET300" s="18"/>
      <c r="EU300" s="18"/>
      <c r="EV300" s="18"/>
      <c r="EW300" s="18"/>
    </row>
    <row r="301" spans="1:153" ht="14" x14ac:dyDescent="0.2">
      <c r="A301" s="18" t="s">
        <v>259</v>
      </c>
      <c r="B301" s="18" t="s">
        <v>358</v>
      </c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/>
      <c r="DN301" s="18"/>
      <c r="DO301" s="18"/>
      <c r="DP301" s="18"/>
      <c r="DQ301" s="18"/>
      <c r="DR301" s="18"/>
      <c r="DS301" s="18"/>
      <c r="DT301" s="18"/>
      <c r="DU301" s="18"/>
      <c r="DV301" s="18"/>
      <c r="DW301" s="18"/>
      <c r="DX301" s="18"/>
      <c r="DY301" s="18"/>
      <c r="DZ301" s="18"/>
      <c r="EA301" s="18"/>
      <c r="EB301" s="18"/>
      <c r="EC301" s="18"/>
      <c r="ED301" s="18"/>
      <c r="EE301" s="18"/>
      <c r="EF301" s="18"/>
      <c r="EG301" s="18"/>
      <c r="EH301" s="18"/>
      <c r="EI301" s="18"/>
      <c r="EJ301" s="18"/>
      <c r="EK301" s="18"/>
      <c r="EL301" s="18"/>
      <c r="EM301" s="18"/>
      <c r="EN301" s="18"/>
      <c r="EO301" s="18"/>
      <c r="EP301" s="18"/>
      <c r="EQ301" s="18"/>
      <c r="ER301" s="18"/>
      <c r="ES301" s="18"/>
      <c r="ET301" s="18"/>
      <c r="EU301" s="18"/>
      <c r="EV301" s="18"/>
      <c r="EW301" s="18"/>
    </row>
    <row r="302" spans="1:153" ht="14" x14ac:dyDescent="0.2">
      <c r="A302" s="18" t="s">
        <v>260</v>
      </c>
      <c r="B302" s="18" t="s">
        <v>355</v>
      </c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  <c r="EJ302" s="18"/>
      <c r="EK302" s="18"/>
      <c r="EL302" s="18"/>
      <c r="EM302" s="18"/>
      <c r="EN302" s="18"/>
      <c r="EO302" s="18"/>
      <c r="EP302" s="18"/>
      <c r="EQ302" s="18"/>
      <c r="ER302" s="18"/>
      <c r="ES302" s="18"/>
      <c r="ET302" s="18"/>
      <c r="EU302" s="18"/>
      <c r="EV302" s="18"/>
      <c r="EW302" s="18"/>
    </row>
    <row r="303" spans="1:153" ht="14" x14ac:dyDescent="0.2">
      <c r="A303" s="18" t="s">
        <v>261</v>
      </c>
      <c r="B303" s="18" t="s">
        <v>357</v>
      </c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  <c r="DW303" s="18"/>
      <c r="DX303" s="18"/>
      <c r="DY303" s="18"/>
      <c r="DZ303" s="18"/>
      <c r="EA303" s="18"/>
      <c r="EB303" s="18"/>
      <c r="EC303" s="18"/>
      <c r="ED303" s="18"/>
      <c r="EE303" s="18"/>
      <c r="EF303" s="18"/>
      <c r="EG303" s="18"/>
      <c r="EH303" s="18"/>
      <c r="EI303" s="18"/>
      <c r="EJ303" s="18"/>
      <c r="EK303" s="18"/>
      <c r="EL303" s="18"/>
      <c r="EM303" s="18"/>
      <c r="EN303" s="18"/>
      <c r="EO303" s="18"/>
      <c r="EP303" s="18"/>
      <c r="EQ303" s="18"/>
      <c r="ER303" s="18"/>
      <c r="ES303" s="18"/>
      <c r="ET303" s="18"/>
      <c r="EU303" s="18"/>
      <c r="EV303" s="18"/>
      <c r="EW303" s="18"/>
    </row>
    <row r="304" spans="1:153" ht="14" x14ac:dyDescent="0.2">
      <c r="A304" s="18" t="s">
        <v>262</v>
      </c>
      <c r="B304" s="18" t="s">
        <v>358</v>
      </c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/>
      <c r="DN304" s="18"/>
      <c r="DO304" s="18"/>
      <c r="DP304" s="18"/>
      <c r="DQ304" s="18"/>
      <c r="DR304" s="18"/>
      <c r="DS304" s="18"/>
      <c r="DT304" s="18"/>
      <c r="DU304" s="18"/>
      <c r="DV304" s="18"/>
      <c r="DW304" s="18"/>
      <c r="DX304" s="18"/>
      <c r="DY304" s="18"/>
      <c r="DZ304" s="18"/>
      <c r="EA304" s="18"/>
      <c r="EB304" s="18"/>
      <c r="EC304" s="18"/>
      <c r="ED304" s="18"/>
      <c r="EE304" s="18"/>
      <c r="EF304" s="18"/>
      <c r="EG304" s="18"/>
      <c r="EH304" s="18"/>
      <c r="EI304" s="18"/>
      <c r="EJ304" s="18"/>
      <c r="EK304" s="18"/>
      <c r="EL304" s="18"/>
      <c r="EM304" s="18"/>
      <c r="EN304" s="18"/>
      <c r="EO304" s="18"/>
      <c r="EP304" s="18"/>
      <c r="EQ304" s="18"/>
      <c r="ER304" s="18"/>
      <c r="ES304" s="18"/>
      <c r="ET304" s="18"/>
      <c r="EU304" s="18"/>
      <c r="EV304" s="18"/>
      <c r="EW304" s="18"/>
    </row>
    <row r="305" spans="1:153" ht="14" x14ac:dyDescent="0.2">
      <c r="A305" s="18" t="s">
        <v>263</v>
      </c>
      <c r="B305" s="18" t="s">
        <v>355</v>
      </c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  <c r="DW305" s="18"/>
      <c r="DX305" s="18"/>
      <c r="DY305" s="18"/>
      <c r="DZ305" s="18"/>
      <c r="EA305" s="18"/>
      <c r="EB305" s="18"/>
      <c r="EC305" s="18"/>
      <c r="ED305" s="18"/>
      <c r="EE305" s="18"/>
      <c r="EF305" s="18"/>
      <c r="EG305" s="18"/>
      <c r="EH305" s="18"/>
      <c r="EI305" s="18"/>
      <c r="EJ305" s="18"/>
      <c r="EK305" s="18"/>
      <c r="EL305" s="18"/>
      <c r="EM305" s="18"/>
      <c r="EN305" s="18"/>
      <c r="EO305" s="18"/>
      <c r="EP305" s="18"/>
      <c r="EQ305" s="18"/>
      <c r="ER305" s="18"/>
      <c r="ES305" s="18"/>
      <c r="ET305" s="18"/>
      <c r="EU305" s="18"/>
      <c r="EV305" s="18"/>
      <c r="EW305" s="18"/>
    </row>
    <row r="306" spans="1:153" ht="14" x14ac:dyDescent="0.2">
      <c r="A306" s="18" t="s">
        <v>264</v>
      </c>
      <c r="B306" s="18" t="s">
        <v>357</v>
      </c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  <c r="DW306" s="18"/>
      <c r="DX306" s="18"/>
      <c r="DY306" s="18"/>
      <c r="DZ306" s="18"/>
      <c r="EA306" s="18"/>
      <c r="EB306" s="18"/>
      <c r="EC306" s="18"/>
      <c r="ED306" s="18"/>
      <c r="EE306" s="18"/>
      <c r="EF306" s="18"/>
      <c r="EG306" s="18"/>
      <c r="EH306" s="18"/>
      <c r="EI306" s="18"/>
      <c r="EJ306" s="18"/>
      <c r="EK306" s="18"/>
      <c r="EL306" s="18"/>
      <c r="EM306" s="18"/>
      <c r="EN306" s="18"/>
      <c r="EO306" s="18"/>
      <c r="EP306" s="18"/>
      <c r="EQ306" s="18"/>
      <c r="ER306" s="18"/>
      <c r="ES306" s="18"/>
      <c r="ET306" s="18"/>
      <c r="EU306" s="18"/>
      <c r="EV306" s="18"/>
      <c r="EW306" s="18"/>
    </row>
    <row r="307" spans="1:153" ht="14" x14ac:dyDescent="0.2">
      <c r="A307" s="18" t="s">
        <v>265</v>
      </c>
      <c r="B307" s="18" t="s">
        <v>358</v>
      </c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  <c r="EJ307" s="18"/>
      <c r="EK307" s="18"/>
      <c r="EL307" s="18"/>
      <c r="EM307" s="18"/>
      <c r="EN307" s="18"/>
      <c r="EO307" s="18"/>
      <c r="EP307" s="18"/>
      <c r="EQ307" s="18"/>
      <c r="ER307" s="18"/>
      <c r="ES307" s="18"/>
      <c r="ET307" s="18"/>
      <c r="EU307" s="18"/>
      <c r="EV307" s="18"/>
      <c r="EW307" s="18"/>
    </row>
    <row r="308" spans="1:153" ht="14" x14ac:dyDescent="0.2">
      <c r="A308" s="18" t="s">
        <v>266</v>
      </c>
      <c r="B308" s="18" t="s">
        <v>355</v>
      </c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  <c r="DW308" s="18"/>
      <c r="DX308" s="18"/>
      <c r="DY308" s="18"/>
      <c r="DZ308" s="18"/>
      <c r="EA308" s="18"/>
      <c r="EB308" s="18"/>
      <c r="EC308" s="18"/>
      <c r="ED308" s="18"/>
      <c r="EE308" s="18"/>
      <c r="EF308" s="18"/>
      <c r="EG308" s="18"/>
      <c r="EH308" s="18"/>
      <c r="EI308" s="18"/>
      <c r="EJ308" s="18"/>
      <c r="EK308" s="18"/>
      <c r="EL308" s="18"/>
      <c r="EM308" s="18"/>
      <c r="EN308" s="18"/>
      <c r="EO308" s="18"/>
      <c r="EP308" s="18"/>
      <c r="EQ308" s="18"/>
      <c r="ER308" s="18"/>
      <c r="ES308" s="18"/>
      <c r="ET308" s="18"/>
      <c r="EU308" s="18"/>
      <c r="EV308" s="18"/>
      <c r="EW308" s="18"/>
    </row>
    <row r="309" spans="1:153" ht="14" x14ac:dyDescent="0.2">
      <c r="A309" s="18" t="s">
        <v>267</v>
      </c>
      <c r="B309" s="18" t="s">
        <v>357</v>
      </c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/>
      <c r="DN309" s="18"/>
      <c r="DO309" s="18"/>
      <c r="DP309" s="18"/>
      <c r="DQ309" s="18"/>
      <c r="DR309" s="18"/>
      <c r="DS309" s="18"/>
      <c r="DT309" s="18"/>
      <c r="DU309" s="18"/>
      <c r="DV309" s="18"/>
      <c r="DW309" s="18"/>
      <c r="DX309" s="18"/>
      <c r="DY309" s="18"/>
      <c r="DZ309" s="18"/>
      <c r="EA309" s="18"/>
      <c r="EB309" s="18"/>
      <c r="EC309" s="18"/>
      <c r="ED309" s="18"/>
      <c r="EE309" s="18"/>
      <c r="EF309" s="18"/>
      <c r="EG309" s="18"/>
      <c r="EH309" s="18"/>
      <c r="EI309" s="18"/>
      <c r="EJ309" s="18"/>
      <c r="EK309" s="18"/>
      <c r="EL309" s="18"/>
      <c r="EM309" s="18"/>
      <c r="EN309" s="18"/>
      <c r="EO309" s="18"/>
      <c r="EP309" s="18"/>
      <c r="EQ309" s="18"/>
      <c r="ER309" s="18"/>
      <c r="ES309" s="18"/>
      <c r="ET309" s="18"/>
      <c r="EU309" s="18"/>
      <c r="EV309" s="18"/>
      <c r="EW309" s="18"/>
    </row>
    <row r="310" spans="1:153" ht="14" x14ac:dyDescent="0.2">
      <c r="A310" s="18" t="s">
        <v>268</v>
      </c>
      <c r="B310" s="18" t="s">
        <v>358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/>
      <c r="DN310" s="18"/>
      <c r="DO310" s="18"/>
      <c r="DP310" s="18"/>
      <c r="DQ310" s="18"/>
      <c r="DR310" s="18"/>
      <c r="DS310" s="18"/>
      <c r="DT310" s="18"/>
      <c r="DU310" s="18"/>
      <c r="DV310" s="18"/>
      <c r="DW310" s="18"/>
      <c r="DX310" s="18"/>
      <c r="DY310" s="18"/>
      <c r="DZ310" s="18"/>
      <c r="EA310" s="18"/>
      <c r="EB310" s="18"/>
      <c r="EC310" s="18"/>
      <c r="ED310" s="18"/>
      <c r="EE310" s="18"/>
      <c r="EF310" s="18"/>
      <c r="EG310" s="18"/>
      <c r="EH310" s="18"/>
      <c r="EI310" s="18"/>
      <c r="EJ310" s="18"/>
      <c r="EK310" s="18"/>
      <c r="EL310" s="18"/>
      <c r="EM310" s="18"/>
      <c r="EN310" s="18"/>
      <c r="EO310" s="18"/>
      <c r="EP310" s="18"/>
      <c r="EQ310" s="18"/>
      <c r="ER310" s="18"/>
      <c r="ES310" s="18"/>
      <c r="ET310" s="18"/>
      <c r="EU310" s="18"/>
      <c r="EV310" s="18"/>
      <c r="EW310" s="18"/>
    </row>
    <row r="311" spans="1:153" ht="14" x14ac:dyDescent="0.2">
      <c r="A311" s="18" t="s">
        <v>269</v>
      </c>
      <c r="B311" s="18" t="s">
        <v>355</v>
      </c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  <c r="DW311" s="18"/>
      <c r="DX311" s="18"/>
      <c r="DY311" s="18"/>
      <c r="DZ311" s="18"/>
      <c r="EA311" s="18"/>
      <c r="EB311" s="18"/>
      <c r="EC311" s="18"/>
      <c r="ED311" s="18"/>
      <c r="EE311" s="18"/>
      <c r="EF311" s="18"/>
      <c r="EG311" s="18"/>
      <c r="EH311" s="18"/>
      <c r="EI311" s="18"/>
      <c r="EJ311" s="18"/>
      <c r="EK311" s="18"/>
      <c r="EL311" s="18"/>
      <c r="EM311" s="18"/>
      <c r="EN311" s="18"/>
      <c r="EO311" s="18"/>
      <c r="EP311" s="18"/>
      <c r="EQ311" s="18"/>
      <c r="ER311" s="18"/>
      <c r="ES311" s="18"/>
      <c r="ET311" s="18"/>
      <c r="EU311" s="18"/>
      <c r="EV311" s="18"/>
      <c r="EW311" s="18"/>
    </row>
    <row r="312" spans="1:153" ht="14" x14ac:dyDescent="0.2">
      <c r="A312" s="18" t="s">
        <v>270</v>
      </c>
      <c r="B312" s="18" t="s">
        <v>357</v>
      </c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  <c r="DW312" s="18"/>
      <c r="DX312" s="18"/>
      <c r="DY312" s="18"/>
      <c r="DZ312" s="18"/>
      <c r="EA312" s="18"/>
      <c r="EB312" s="18"/>
      <c r="EC312" s="18"/>
      <c r="ED312" s="18"/>
      <c r="EE312" s="18"/>
      <c r="EF312" s="18"/>
      <c r="EG312" s="18"/>
      <c r="EH312" s="18"/>
      <c r="EI312" s="18"/>
      <c r="EJ312" s="18"/>
      <c r="EK312" s="18"/>
      <c r="EL312" s="18"/>
      <c r="EM312" s="18"/>
      <c r="EN312" s="18"/>
      <c r="EO312" s="18"/>
      <c r="EP312" s="18"/>
      <c r="EQ312" s="18"/>
      <c r="ER312" s="18"/>
      <c r="ES312" s="18"/>
      <c r="ET312" s="18"/>
      <c r="EU312" s="18"/>
      <c r="EV312" s="18"/>
      <c r="EW312" s="18"/>
    </row>
    <row r="313" spans="1:153" ht="14" x14ac:dyDescent="0.2">
      <c r="A313" s="18" t="s">
        <v>271</v>
      </c>
      <c r="B313" s="18" t="s">
        <v>358</v>
      </c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E313" s="18"/>
      <c r="EF313" s="18"/>
      <c r="EG313" s="18"/>
      <c r="EH313" s="18"/>
      <c r="EI313" s="18"/>
      <c r="EJ313" s="18"/>
      <c r="EK313" s="18"/>
      <c r="EL313" s="18"/>
      <c r="EM313" s="18"/>
      <c r="EN313" s="18"/>
      <c r="EO313" s="18"/>
      <c r="EP313" s="18"/>
      <c r="EQ313" s="18"/>
      <c r="ER313" s="18"/>
      <c r="ES313" s="18"/>
      <c r="ET313" s="18"/>
      <c r="EU313" s="18"/>
      <c r="EV313" s="18"/>
      <c r="EW313" s="18"/>
    </row>
    <row r="314" spans="1:153" ht="14" x14ac:dyDescent="0.2">
      <c r="A314" s="18" t="s">
        <v>272</v>
      </c>
      <c r="B314" s="18" t="s">
        <v>355</v>
      </c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  <c r="DI314" s="18"/>
      <c r="DJ314" s="18"/>
      <c r="DK314" s="18"/>
      <c r="DL314" s="18"/>
      <c r="DM314" s="18"/>
      <c r="DN314" s="18"/>
      <c r="DO314" s="18"/>
      <c r="DP314" s="18"/>
      <c r="DQ314" s="18"/>
      <c r="DR314" s="18"/>
      <c r="DS314" s="18"/>
      <c r="DT314" s="18"/>
      <c r="DU314" s="18"/>
      <c r="DV314" s="18"/>
      <c r="DW314" s="18"/>
      <c r="DX314" s="18"/>
      <c r="DY314" s="18"/>
      <c r="DZ314" s="18"/>
      <c r="EA314" s="18"/>
      <c r="EB314" s="18"/>
      <c r="EC314" s="18"/>
      <c r="ED314" s="18"/>
      <c r="EE314" s="18"/>
      <c r="EF314" s="18"/>
      <c r="EG314" s="18"/>
      <c r="EH314" s="18"/>
      <c r="EI314" s="18"/>
      <c r="EJ314" s="18"/>
      <c r="EK314" s="18"/>
      <c r="EL314" s="18"/>
      <c r="EM314" s="18"/>
      <c r="EN314" s="18"/>
      <c r="EO314" s="18"/>
      <c r="EP314" s="18"/>
      <c r="EQ314" s="18"/>
      <c r="ER314" s="18"/>
      <c r="ES314" s="18"/>
      <c r="ET314" s="18"/>
      <c r="EU314" s="18"/>
      <c r="EV314" s="18"/>
      <c r="EW314" s="18"/>
    </row>
    <row r="315" spans="1:153" ht="14" x14ac:dyDescent="0.2">
      <c r="A315" s="18" t="s">
        <v>273</v>
      </c>
      <c r="B315" s="18" t="s">
        <v>357</v>
      </c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DG315" s="18"/>
      <c r="DH315" s="18"/>
      <c r="DI315" s="18"/>
      <c r="DJ315" s="18"/>
      <c r="DK315" s="18"/>
      <c r="DL315" s="18"/>
      <c r="DM315" s="18"/>
      <c r="DN315" s="18"/>
      <c r="DO315" s="18"/>
      <c r="DP315" s="18"/>
      <c r="DQ315" s="18"/>
      <c r="DR315" s="18"/>
      <c r="DS315" s="18"/>
      <c r="DT315" s="18"/>
      <c r="DU315" s="18"/>
      <c r="DV315" s="18"/>
      <c r="DW315" s="18"/>
      <c r="DX315" s="18"/>
      <c r="DY315" s="18"/>
      <c r="DZ315" s="18"/>
      <c r="EA315" s="18"/>
      <c r="EB315" s="18"/>
      <c r="EC315" s="18"/>
      <c r="ED315" s="18"/>
      <c r="EE315" s="18"/>
      <c r="EF315" s="18"/>
      <c r="EG315" s="18"/>
      <c r="EH315" s="18"/>
      <c r="EI315" s="18"/>
      <c r="EJ315" s="18"/>
      <c r="EK315" s="18"/>
      <c r="EL315" s="18"/>
      <c r="EM315" s="18"/>
      <c r="EN315" s="18"/>
      <c r="EO315" s="18"/>
      <c r="EP315" s="18"/>
      <c r="EQ315" s="18"/>
      <c r="ER315" s="18"/>
      <c r="ES315" s="18"/>
      <c r="ET315" s="18"/>
      <c r="EU315" s="18"/>
      <c r="EV315" s="18"/>
      <c r="EW315" s="18"/>
    </row>
    <row r="316" spans="1:153" ht="14" x14ac:dyDescent="0.2">
      <c r="A316" s="18" t="s">
        <v>274</v>
      </c>
      <c r="B316" s="18" t="s">
        <v>358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  <c r="DI316" s="18"/>
      <c r="DJ316" s="18"/>
      <c r="DK316" s="18"/>
      <c r="DL316" s="18"/>
      <c r="DM316" s="18"/>
      <c r="DN316" s="18"/>
      <c r="DO316" s="18"/>
      <c r="DP316" s="18"/>
      <c r="DQ316" s="18"/>
      <c r="DR316" s="18"/>
      <c r="DS316" s="18"/>
      <c r="DT316" s="18"/>
      <c r="DU316" s="18"/>
      <c r="DV316" s="18"/>
      <c r="DW316" s="18"/>
      <c r="DX316" s="18"/>
      <c r="DY316" s="18"/>
      <c r="DZ316" s="18"/>
      <c r="EA316" s="18"/>
      <c r="EB316" s="18"/>
      <c r="EC316" s="18"/>
      <c r="ED316" s="18"/>
      <c r="EE316" s="18"/>
      <c r="EF316" s="18"/>
      <c r="EG316" s="18"/>
      <c r="EH316" s="18"/>
      <c r="EI316" s="18"/>
      <c r="EJ316" s="18"/>
      <c r="EK316" s="18"/>
      <c r="EL316" s="18"/>
      <c r="EM316" s="18"/>
      <c r="EN316" s="18"/>
      <c r="EO316" s="18"/>
      <c r="EP316" s="18"/>
      <c r="EQ316" s="18"/>
      <c r="ER316" s="18"/>
      <c r="ES316" s="18"/>
      <c r="ET316" s="18"/>
      <c r="EU316" s="18"/>
      <c r="EV316" s="18"/>
      <c r="EW316" s="18"/>
    </row>
    <row r="317" spans="1:153" ht="14" x14ac:dyDescent="0.2">
      <c r="A317" s="18" t="s">
        <v>275</v>
      </c>
      <c r="B317" s="18" t="s">
        <v>355</v>
      </c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8"/>
      <c r="DS317" s="18"/>
      <c r="DT317" s="18"/>
      <c r="DU317" s="18"/>
      <c r="DV317" s="18"/>
      <c r="DW317" s="18"/>
      <c r="DX317" s="18"/>
      <c r="DY317" s="18"/>
      <c r="DZ317" s="18"/>
      <c r="EA317" s="18"/>
      <c r="EB317" s="18"/>
      <c r="EC317" s="18"/>
      <c r="ED317" s="18"/>
      <c r="EE317" s="18"/>
      <c r="EF317" s="18"/>
      <c r="EG317" s="18"/>
      <c r="EH317" s="18"/>
      <c r="EI317" s="18"/>
      <c r="EJ317" s="18"/>
      <c r="EK317" s="18"/>
      <c r="EL317" s="18"/>
      <c r="EM317" s="18"/>
      <c r="EN317" s="18"/>
      <c r="EO317" s="18"/>
      <c r="EP317" s="18"/>
      <c r="EQ317" s="18"/>
      <c r="ER317" s="18"/>
      <c r="ES317" s="18"/>
      <c r="ET317" s="18"/>
      <c r="EU317" s="18"/>
      <c r="EV317" s="18"/>
      <c r="EW317" s="18"/>
    </row>
    <row r="318" spans="1:153" ht="14" x14ac:dyDescent="0.2">
      <c r="A318" s="18" t="s">
        <v>276</v>
      </c>
      <c r="B318" s="18" t="s">
        <v>357</v>
      </c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/>
      <c r="DN318" s="18"/>
      <c r="DO318" s="18"/>
      <c r="DP318" s="18"/>
      <c r="DQ318" s="18"/>
      <c r="DR318" s="18"/>
      <c r="DS318" s="18"/>
      <c r="DT318" s="18"/>
      <c r="DU318" s="18"/>
      <c r="DV318" s="18"/>
      <c r="DW318" s="18"/>
      <c r="DX318" s="18"/>
      <c r="DY318" s="18"/>
      <c r="DZ318" s="18"/>
      <c r="EA318" s="18"/>
      <c r="EB318" s="18"/>
      <c r="EC318" s="18"/>
      <c r="ED318" s="18"/>
      <c r="EE318" s="18"/>
      <c r="EF318" s="18"/>
      <c r="EG318" s="18"/>
      <c r="EH318" s="18"/>
      <c r="EI318" s="18"/>
      <c r="EJ318" s="18"/>
      <c r="EK318" s="18"/>
      <c r="EL318" s="18"/>
      <c r="EM318" s="18"/>
      <c r="EN318" s="18"/>
      <c r="EO318" s="18"/>
      <c r="EP318" s="18"/>
      <c r="EQ318" s="18"/>
      <c r="ER318" s="18"/>
      <c r="ES318" s="18"/>
      <c r="ET318" s="18"/>
      <c r="EU318" s="18"/>
      <c r="EV318" s="18"/>
      <c r="EW318" s="18"/>
    </row>
    <row r="319" spans="1:153" ht="14" x14ac:dyDescent="0.2">
      <c r="A319" s="18" t="s">
        <v>277</v>
      </c>
      <c r="B319" s="18" t="s">
        <v>358</v>
      </c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/>
      <c r="DN319" s="18"/>
      <c r="DO319" s="18"/>
      <c r="DP319" s="18"/>
      <c r="DQ319" s="18"/>
      <c r="DR319" s="18"/>
      <c r="DS319" s="18"/>
      <c r="DT319" s="18"/>
      <c r="DU319" s="18"/>
      <c r="DV319" s="18"/>
      <c r="DW319" s="18"/>
      <c r="DX319" s="18"/>
      <c r="DY319" s="18"/>
      <c r="DZ319" s="18"/>
      <c r="EA319" s="18"/>
      <c r="EB319" s="18"/>
      <c r="EC319" s="18"/>
      <c r="ED319" s="18"/>
      <c r="EE319" s="18"/>
      <c r="EF319" s="18"/>
      <c r="EG319" s="18"/>
      <c r="EH319" s="18"/>
      <c r="EI319" s="18"/>
      <c r="EJ319" s="18"/>
      <c r="EK319" s="18"/>
      <c r="EL319" s="18"/>
      <c r="EM319" s="18"/>
      <c r="EN319" s="18"/>
      <c r="EO319" s="18"/>
      <c r="EP319" s="18"/>
      <c r="EQ319" s="18"/>
      <c r="ER319" s="18"/>
      <c r="ES319" s="18"/>
      <c r="ET319" s="18"/>
      <c r="EU319" s="18"/>
      <c r="EV319" s="18"/>
      <c r="EW319" s="18"/>
    </row>
    <row r="320" spans="1:153" ht="14" x14ac:dyDescent="0.2">
      <c r="A320" s="18" t="s">
        <v>278</v>
      </c>
      <c r="B320" s="18" t="s">
        <v>345</v>
      </c>
      <c r="C320" s="18">
        <v>0.88900000000000001</v>
      </c>
      <c r="D320" s="18">
        <v>0.91700000000000004</v>
      </c>
      <c r="E320" s="18">
        <v>0.873</v>
      </c>
      <c r="F320" s="18">
        <v>0.91100000000000003</v>
      </c>
      <c r="G320" s="18">
        <v>0.92500000000000004</v>
      </c>
      <c r="H320" s="18">
        <v>0.92500000000000004</v>
      </c>
      <c r="I320" s="18">
        <v>0.92500000000000004</v>
      </c>
      <c r="J320" s="18">
        <v>0.92500000000000004</v>
      </c>
      <c r="K320" s="18">
        <v>0.92500000000000004</v>
      </c>
      <c r="L320" s="18">
        <v>0.92500000000000004</v>
      </c>
      <c r="M320" s="18">
        <v>0.92500000000000004</v>
      </c>
      <c r="N320" s="18">
        <v>0.92500000000000004</v>
      </c>
      <c r="O320" s="18">
        <v>0.92500000000000004</v>
      </c>
      <c r="P320" s="18">
        <v>0.92500000000000004</v>
      </c>
      <c r="Q320" s="18">
        <v>0.92500000000000004</v>
      </c>
      <c r="R320" s="18">
        <v>0.92500000000000004</v>
      </c>
      <c r="S320" s="18">
        <v>0.5887</v>
      </c>
      <c r="T320" s="18">
        <v>0.5887</v>
      </c>
      <c r="U320" s="18">
        <v>0.5887</v>
      </c>
      <c r="V320" s="18">
        <v>0.5887</v>
      </c>
      <c r="W320" s="18">
        <v>0.5887</v>
      </c>
      <c r="X320" s="18">
        <v>0.5887</v>
      </c>
      <c r="Y320" s="18">
        <v>0.5887</v>
      </c>
      <c r="Z320" s="18">
        <v>0.5887</v>
      </c>
      <c r="AA320" s="18">
        <v>0.5887</v>
      </c>
      <c r="AB320" s="18">
        <v>0.5887</v>
      </c>
      <c r="AC320" s="18">
        <v>0.5887</v>
      </c>
      <c r="AD320" s="18">
        <v>0.5887</v>
      </c>
      <c r="AE320" s="18">
        <v>0.9</v>
      </c>
      <c r="AF320" s="18">
        <v>0.9</v>
      </c>
      <c r="AG320" s="18">
        <v>0.9</v>
      </c>
      <c r="AH320" s="18">
        <v>0.9</v>
      </c>
      <c r="AI320" s="18">
        <v>0.9</v>
      </c>
      <c r="AJ320" s="18">
        <v>0.9</v>
      </c>
      <c r="AK320" s="18">
        <v>0.9</v>
      </c>
      <c r="AL320" s="18">
        <v>0.9</v>
      </c>
      <c r="AM320" s="18">
        <v>0.9</v>
      </c>
      <c r="AN320" s="18">
        <v>0.9</v>
      </c>
      <c r="AO320" s="18">
        <v>0.9</v>
      </c>
      <c r="AP320" s="18">
        <v>0.9</v>
      </c>
      <c r="AQ320" s="18">
        <v>0.99452180000000001</v>
      </c>
      <c r="AR320" s="18">
        <v>0.80579999999999996</v>
      </c>
      <c r="AS320" s="18">
        <v>0.82</v>
      </c>
      <c r="AT320" s="18">
        <v>0.82</v>
      </c>
      <c r="AU320" s="18">
        <v>0.99399999999999999</v>
      </c>
      <c r="AV320" s="28">
        <v>0.99239999999999995</v>
      </c>
      <c r="AW320" s="28">
        <v>0.99239999999999995</v>
      </c>
      <c r="AX320" s="18">
        <v>0.76600000000000001</v>
      </c>
      <c r="AY320" s="18">
        <v>0.77559999999999996</v>
      </c>
      <c r="AZ320" s="18">
        <v>0.85</v>
      </c>
      <c r="BA320" s="18">
        <v>0.9</v>
      </c>
      <c r="BB320" s="18">
        <v>0.9</v>
      </c>
      <c r="BC320" s="18">
        <v>0.88239999999999996</v>
      </c>
      <c r="BD320" s="18">
        <v>0.97330000000000005</v>
      </c>
      <c r="BE320" s="18">
        <v>1</v>
      </c>
      <c r="BF320" s="18">
        <v>0.98950314111409687</v>
      </c>
      <c r="BG320" s="18">
        <v>0.98888720129607133</v>
      </c>
      <c r="BH320" s="18">
        <v>0.99448883902246221</v>
      </c>
      <c r="BI320" s="18">
        <v>0.99506124131225848</v>
      </c>
      <c r="BJ320" s="18">
        <v>0.99402940959136921</v>
      </c>
      <c r="BK320" s="18">
        <v>0.99715693639229241</v>
      </c>
      <c r="BL320" s="18">
        <v>0.98040000000000005</v>
      </c>
      <c r="BM320" s="18">
        <v>0.97089999999999999</v>
      </c>
      <c r="BN320" s="18">
        <v>0.97030000000000005</v>
      </c>
      <c r="BO320" s="18">
        <v>0.96189999999999998</v>
      </c>
      <c r="BP320" s="18">
        <v>0.75490000000000002</v>
      </c>
      <c r="BQ320" s="18">
        <v>0.67900000000000005</v>
      </c>
      <c r="BR320" s="18">
        <v>0.87229999999999996</v>
      </c>
      <c r="BS320" s="18">
        <v>0.87229999999999996</v>
      </c>
      <c r="BT320" s="18">
        <v>0.87229999999999996</v>
      </c>
      <c r="BU320" s="18">
        <v>0.87229999999999996</v>
      </c>
      <c r="BV320" s="18">
        <v>0.87229999999999996</v>
      </c>
      <c r="BW320" s="18">
        <v>0.87229999999999996</v>
      </c>
      <c r="BX320" s="18">
        <v>1</v>
      </c>
      <c r="BY320" s="18">
        <v>1</v>
      </c>
      <c r="BZ320" s="18">
        <v>0.95750000000000002</v>
      </c>
      <c r="CA320" s="18">
        <v>0.9425</v>
      </c>
      <c r="CB320" s="18">
        <v>1</v>
      </c>
      <c r="CC320" s="18">
        <v>1</v>
      </c>
      <c r="CD320" s="18">
        <v>1</v>
      </c>
      <c r="CE320" s="18">
        <v>1</v>
      </c>
      <c r="CF320" s="18">
        <v>0.79600000000000004</v>
      </c>
      <c r="CG320" s="18">
        <v>0.79600000000000004</v>
      </c>
      <c r="CH320" s="18">
        <v>0.9</v>
      </c>
      <c r="CI320" s="18">
        <v>0.98499999999999999</v>
      </c>
      <c r="CJ320" s="18">
        <v>0.63</v>
      </c>
      <c r="CK320" s="18">
        <v>0.72719999999999996</v>
      </c>
      <c r="CL320" s="18">
        <v>0.85829999999999995</v>
      </c>
      <c r="CM320" s="18">
        <v>0.93179999999999996</v>
      </c>
      <c r="CN320" s="18">
        <v>0.95099999999999996</v>
      </c>
      <c r="CO320" s="18">
        <v>0.84719999999999995</v>
      </c>
      <c r="CP320" s="18">
        <v>0.7</v>
      </c>
      <c r="CQ320" s="18">
        <v>0.62</v>
      </c>
      <c r="CR320" s="18">
        <v>0.6</v>
      </c>
      <c r="CS320" s="18">
        <v>1</v>
      </c>
      <c r="CT320" s="18">
        <v>0.3</v>
      </c>
      <c r="CU320" s="18">
        <v>0.432</v>
      </c>
      <c r="CV320" s="18">
        <v>0.28499999999999998</v>
      </c>
      <c r="CW320" s="18">
        <v>0.14499999999999999</v>
      </c>
      <c r="CX320" s="18">
        <v>1</v>
      </c>
      <c r="CY320" s="18">
        <v>1</v>
      </c>
      <c r="CZ320" s="18">
        <v>0.9667</v>
      </c>
      <c r="DA320" s="18">
        <v>0.9</v>
      </c>
      <c r="DB320" s="18">
        <v>0.9</v>
      </c>
      <c r="DC320" s="18">
        <v>0.28000000000000003</v>
      </c>
      <c r="DD320" s="18">
        <v>0.96919999999999995</v>
      </c>
      <c r="DE320" s="18">
        <v>0.97040000000000004</v>
      </c>
      <c r="DF320" s="18">
        <v>0.9859</v>
      </c>
      <c r="DG320" s="18">
        <v>0.87694499999999997</v>
      </c>
      <c r="DH320" s="18">
        <v>0.89195499999999994</v>
      </c>
      <c r="DI320" s="18">
        <v>0.89907999999999999</v>
      </c>
      <c r="DJ320" s="18">
        <v>1</v>
      </c>
      <c r="DK320" s="18">
        <v>1</v>
      </c>
      <c r="DL320" s="18">
        <v>1</v>
      </c>
      <c r="DM320" s="18">
        <v>1</v>
      </c>
      <c r="DN320" s="18">
        <v>0.71965665000000001</v>
      </c>
      <c r="DO320" s="18">
        <v>0.77392584000000009</v>
      </c>
      <c r="DP320" s="18">
        <v>1</v>
      </c>
      <c r="DQ320" s="18">
        <v>0.99839999999999995</v>
      </c>
      <c r="DR320" s="18">
        <v>0.97389999999999999</v>
      </c>
      <c r="DS320" s="18">
        <v>0.97389999999999999</v>
      </c>
      <c r="DT320" s="18">
        <v>0.97389999999999999</v>
      </c>
      <c r="DU320" s="18">
        <v>0.97389999999999999</v>
      </c>
      <c r="DV320" s="18">
        <v>0.9</v>
      </c>
      <c r="DW320" s="18">
        <v>0.9</v>
      </c>
      <c r="DX320" s="18">
        <v>0.9</v>
      </c>
      <c r="DY320" s="18">
        <v>0.97</v>
      </c>
      <c r="DZ320" s="18">
        <v>0.98099999999999998</v>
      </c>
      <c r="EA320" s="18">
        <v>0.99099999999999999</v>
      </c>
      <c r="EB320" s="18">
        <v>0.83330000000000004</v>
      </c>
      <c r="EC320" s="18">
        <v>0.8458</v>
      </c>
      <c r="ED320" s="18">
        <v>0.82879999999999998</v>
      </c>
      <c r="EE320" s="18">
        <v>0.79779999999999995</v>
      </c>
      <c r="EF320" s="18">
        <v>1</v>
      </c>
      <c r="EG320" s="18">
        <v>1</v>
      </c>
      <c r="EH320" s="18">
        <v>1</v>
      </c>
      <c r="EI320" s="18">
        <v>0.74</v>
      </c>
      <c r="EJ320" s="18">
        <v>0.74</v>
      </c>
      <c r="EK320" s="18">
        <v>0.74</v>
      </c>
      <c r="EL320" s="18">
        <v>0.74</v>
      </c>
      <c r="EM320" s="18">
        <v>1</v>
      </c>
      <c r="EN320" s="18">
        <v>0.99</v>
      </c>
      <c r="EO320" s="18">
        <v>0.98</v>
      </c>
      <c r="EP320" s="18">
        <v>0.9</v>
      </c>
      <c r="EQ320" s="18">
        <v>0.9</v>
      </c>
      <c r="ER320" s="18">
        <v>1</v>
      </c>
      <c r="ES320" s="18">
        <v>1</v>
      </c>
      <c r="ET320" s="18">
        <v>0.92</v>
      </c>
      <c r="EU320" s="18">
        <v>1</v>
      </c>
      <c r="EV320" s="18">
        <v>0.98</v>
      </c>
      <c r="EW320" s="18">
        <v>0.85</v>
      </c>
    </row>
    <row r="321" spans="1:153" ht="14" x14ac:dyDescent="0.2">
      <c r="A321" s="18" t="s">
        <v>279</v>
      </c>
      <c r="B321" s="18" t="s">
        <v>345</v>
      </c>
      <c r="C321" s="18">
        <v>1</v>
      </c>
      <c r="D321" s="18">
        <v>1</v>
      </c>
      <c r="E321" s="18">
        <v>1</v>
      </c>
      <c r="F321" s="18">
        <v>1</v>
      </c>
      <c r="G321" s="18">
        <v>1</v>
      </c>
      <c r="H321" s="18">
        <v>1</v>
      </c>
      <c r="I321" s="18">
        <v>1</v>
      </c>
      <c r="J321" s="18">
        <v>1</v>
      </c>
      <c r="K321" s="18">
        <v>1</v>
      </c>
      <c r="L321" s="18">
        <v>1</v>
      </c>
      <c r="M321" s="18">
        <v>1</v>
      </c>
      <c r="N321" s="18">
        <v>1</v>
      </c>
      <c r="O321" s="18">
        <v>1</v>
      </c>
      <c r="P321" s="18">
        <v>1</v>
      </c>
      <c r="Q321" s="18">
        <v>1</v>
      </c>
      <c r="R321" s="18">
        <v>1</v>
      </c>
      <c r="S321" s="18">
        <v>1</v>
      </c>
      <c r="T321" s="18">
        <v>1</v>
      </c>
      <c r="U321" s="18">
        <v>1</v>
      </c>
      <c r="V321" s="18">
        <v>1</v>
      </c>
      <c r="W321" s="18">
        <v>1</v>
      </c>
      <c r="X321" s="18">
        <v>1</v>
      </c>
      <c r="Y321" s="18">
        <v>1</v>
      </c>
      <c r="Z321" s="18">
        <v>1</v>
      </c>
      <c r="AA321" s="18">
        <v>1</v>
      </c>
      <c r="AB321" s="18">
        <v>1</v>
      </c>
      <c r="AC321" s="18">
        <v>1</v>
      </c>
      <c r="AD321" s="18">
        <v>1</v>
      </c>
      <c r="AE321" s="18">
        <v>0.88180000000000003</v>
      </c>
      <c r="AF321" s="18">
        <v>0.88180000000000003</v>
      </c>
      <c r="AG321" s="18">
        <v>0.88180000000000003</v>
      </c>
      <c r="AH321" s="18">
        <v>0.88180000000000003</v>
      </c>
      <c r="AI321" s="18">
        <v>0.88180000000000003</v>
      </c>
      <c r="AJ321" s="18">
        <v>0.88180000000000003</v>
      </c>
      <c r="AK321" s="18">
        <v>0.88180000000000003</v>
      </c>
      <c r="AL321" s="18">
        <v>0.88180000000000003</v>
      </c>
      <c r="AM321" s="18">
        <v>0.88180000000000003</v>
      </c>
      <c r="AN321" s="18">
        <v>0.88180000000000003</v>
      </c>
      <c r="AO321" s="18">
        <v>0.88180000000000003</v>
      </c>
      <c r="AP321" s="18">
        <v>0.88180000000000003</v>
      </c>
      <c r="AQ321" s="18">
        <v>1</v>
      </c>
      <c r="AR321" s="18">
        <v>1</v>
      </c>
      <c r="AS321" s="18">
        <v>1</v>
      </c>
      <c r="AT321" s="18">
        <v>1</v>
      </c>
      <c r="AU321" s="18">
        <v>1</v>
      </c>
      <c r="AV321" s="18">
        <v>0.97</v>
      </c>
      <c r="AW321" s="18">
        <v>0.97</v>
      </c>
      <c r="AX321" s="18">
        <v>1</v>
      </c>
      <c r="AY321" s="18">
        <v>1</v>
      </c>
      <c r="AZ321" s="18">
        <v>0.88</v>
      </c>
      <c r="BA321" s="18">
        <v>1</v>
      </c>
      <c r="BB321" s="18">
        <v>1</v>
      </c>
      <c r="BC321" s="18">
        <v>0.95569999999999999</v>
      </c>
      <c r="BD321" s="18">
        <v>0.97260000000000002</v>
      </c>
      <c r="BE321" s="18">
        <v>1</v>
      </c>
      <c r="BF321" s="18">
        <v>1</v>
      </c>
      <c r="BG321" s="18">
        <v>1</v>
      </c>
      <c r="BH321" s="18">
        <v>1</v>
      </c>
      <c r="BI321" s="18">
        <v>1</v>
      </c>
      <c r="BJ321" s="18">
        <v>1</v>
      </c>
      <c r="BK321" s="18">
        <v>1</v>
      </c>
      <c r="BL321" s="18">
        <v>0.98699999999999999</v>
      </c>
      <c r="BM321" s="18">
        <v>0.98</v>
      </c>
      <c r="BN321" s="18">
        <v>0.98</v>
      </c>
      <c r="BO321" s="18">
        <v>0.97599999999999998</v>
      </c>
      <c r="BP321" s="18">
        <v>1</v>
      </c>
      <c r="BQ321" s="18">
        <v>1</v>
      </c>
      <c r="BR321" s="18">
        <v>1</v>
      </c>
      <c r="BS321" s="18">
        <v>1</v>
      </c>
      <c r="BT321" s="18">
        <v>1</v>
      </c>
      <c r="BU321" s="18">
        <v>1</v>
      </c>
      <c r="BV321" s="18">
        <v>1</v>
      </c>
      <c r="BW321" s="18">
        <v>1</v>
      </c>
      <c r="BX321" s="18">
        <v>0.9254</v>
      </c>
      <c r="BY321" s="18">
        <v>0.9254</v>
      </c>
      <c r="BZ321" s="18">
        <v>1</v>
      </c>
      <c r="CA321" s="18">
        <v>1</v>
      </c>
      <c r="CB321" s="18">
        <v>1</v>
      </c>
      <c r="CC321" s="18">
        <v>1</v>
      </c>
      <c r="CD321" s="18">
        <v>1</v>
      </c>
      <c r="CE321" s="18">
        <v>1</v>
      </c>
      <c r="CF321" s="18">
        <v>1</v>
      </c>
      <c r="CG321" s="18">
        <v>1</v>
      </c>
      <c r="CH321" s="18">
        <v>1</v>
      </c>
      <c r="CI321" s="18">
        <v>1</v>
      </c>
      <c r="CJ321" s="18">
        <v>1</v>
      </c>
      <c r="CK321" s="18">
        <v>1</v>
      </c>
      <c r="CL321" s="18">
        <v>1</v>
      </c>
      <c r="CM321" s="18">
        <v>1</v>
      </c>
      <c r="CN321" s="18">
        <v>1</v>
      </c>
      <c r="CO321" s="18">
        <v>1</v>
      </c>
      <c r="CP321" s="18">
        <v>1</v>
      </c>
      <c r="CQ321" s="18">
        <v>1</v>
      </c>
      <c r="CR321" s="18">
        <v>1</v>
      </c>
      <c r="CS321" s="18">
        <v>1</v>
      </c>
      <c r="CT321" s="18">
        <v>1</v>
      </c>
      <c r="CU321" s="18">
        <v>1</v>
      </c>
      <c r="CV321" s="18">
        <v>1</v>
      </c>
      <c r="CW321" s="18">
        <v>1</v>
      </c>
      <c r="CX321" s="18">
        <v>1</v>
      </c>
      <c r="CY321" s="18">
        <v>1</v>
      </c>
      <c r="CZ321" s="18">
        <v>1</v>
      </c>
      <c r="DA321" s="18">
        <v>1</v>
      </c>
      <c r="DB321" s="18">
        <v>1</v>
      </c>
      <c r="DC321" s="18">
        <v>1</v>
      </c>
      <c r="DD321" s="18">
        <v>1</v>
      </c>
      <c r="DE321" s="18">
        <v>1</v>
      </c>
      <c r="DF321" s="18">
        <v>1</v>
      </c>
      <c r="DG321" s="18">
        <v>1</v>
      </c>
      <c r="DH321" s="18">
        <v>1</v>
      </c>
      <c r="DI321" s="18">
        <v>1</v>
      </c>
      <c r="DJ321" s="18">
        <v>0.63349999999999995</v>
      </c>
      <c r="DK321" s="18">
        <v>1</v>
      </c>
      <c r="DL321" s="18">
        <v>1</v>
      </c>
      <c r="DM321" s="18">
        <v>0.85</v>
      </c>
      <c r="DN321" s="18">
        <v>1</v>
      </c>
      <c r="DO321" s="18">
        <v>1</v>
      </c>
      <c r="DP321" s="18">
        <v>1</v>
      </c>
      <c r="DQ321" s="18">
        <v>1</v>
      </c>
      <c r="DR321" s="18">
        <v>1</v>
      </c>
      <c r="DS321" s="18">
        <v>1</v>
      </c>
      <c r="DT321" s="18">
        <v>1</v>
      </c>
      <c r="DU321" s="18">
        <v>1</v>
      </c>
      <c r="DV321" s="18">
        <v>1</v>
      </c>
      <c r="DW321" s="18">
        <v>1</v>
      </c>
      <c r="DX321" s="18">
        <v>1</v>
      </c>
      <c r="DY321" s="18">
        <v>1</v>
      </c>
      <c r="DZ321" s="18">
        <v>1</v>
      </c>
      <c r="EA321" s="18">
        <v>1</v>
      </c>
      <c r="EB321" s="18">
        <v>1</v>
      </c>
      <c r="EC321" s="18">
        <v>1</v>
      </c>
      <c r="ED321" s="18">
        <v>1</v>
      </c>
      <c r="EE321" s="18">
        <v>1</v>
      </c>
      <c r="EF321" s="18">
        <v>1</v>
      </c>
      <c r="EG321" s="18">
        <v>1</v>
      </c>
      <c r="EH321" s="18">
        <v>1</v>
      </c>
      <c r="EI321" s="18">
        <v>0.95</v>
      </c>
      <c r="EJ321" s="18">
        <v>0.95</v>
      </c>
      <c r="EK321" s="18">
        <v>0.95</v>
      </c>
      <c r="EL321" s="18">
        <v>0.95</v>
      </c>
      <c r="EM321" s="18">
        <v>0.75</v>
      </c>
      <c r="EN321" s="18">
        <v>1</v>
      </c>
      <c r="EO321" s="18">
        <v>0.78</v>
      </c>
      <c r="EP321" s="18">
        <v>1</v>
      </c>
      <c r="EQ321" s="18">
        <v>1</v>
      </c>
      <c r="ER321" s="18">
        <v>1</v>
      </c>
      <c r="ES321" s="18">
        <v>1</v>
      </c>
      <c r="ET321" s="18">
        <v>1</v>
      </c>
      <c r="EU321" s="18">
        <v>0.8196</v>
      </c>
      <c r="EV321" s="18">
        <v>0.99250000000000005</v>
      </c>
      <c r="EW321" s="18">
        <v>1</v>
      </c>
    </row>
    <row r="322" spans="1:153" ht="14" x14ac:dyDescent="0.2">
      <c r="A322" s="18" t="s">
        <v>359</v>
      </c>
      <c r="B322" s="18" t="s">
        <v>345</v>
      </c>
      <c r="C322" s="18">
        <v>0.91700000000000004</v>
      </c>
      <c r="D322" s="18">
        <v>0.91700000000000004</v>
      </c>
      <c r="E322" s="18">
        <v>0.91100000000000003</v>
      </c>
      <c r="F322" s="18">
        <v>0.91100000000000003</v>
      </c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1</v>
      </c>
      <c r="AW322" s="18">
        <v>1</v>
      </c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/>
      <c r="DN322" s="18"/>
      <c r="DO322" s="18"/>
      <c r="DP322" s="18"/>
      <c r="DQ322" s="18"/>
      <c r="DR322" s="18"/>
      <c r="DS322" s="18"/>
      <c r="DT322" s="18"/>
      <c r="DU322" s="18"/>
      <c r="DV322" s="18"/>
      <c r="DW322" s="18"/>
      <c r="DX322" s="18"/>
      <c r="DY322" s="18"/>
      <c r="DZ322" s="18"/>
      <c r="EA322" s="18"/>
      <c r="EB322" s="18"/>
      <c r="EC322" s="18"/>
      <c r="ED322" s="18"/>
      <c r="EE322" s="18"/>
      <c r="EF322" s="18"/>
      <c r="EG322" s="18"/>
      <c r="EH322" s="18"/>
      <c r="EI322" s="18"/>
      <c r="EJ322" s="18"/>
      <c r="EK322" s="18"/>
      <c r="EL322" s="18"/>
      <c r="EM322" s="18"/>
      <c r="EN322" s="18"/>
      <c r="EO322" s="18"/>
      <c r="EP322" s="18"/>
      <c r="EQ322" s="18"/>
      <c r="ER322" s="18"/>
      <c r="ES322" s="18"/>
      <c r="ET322" s="18"/>
      <c r="EU322" s="18"/>
      <c r="EV322" s="18"/>
      <c r="EW322" s="18"/>
    </row>
    <row r="323" spans="1:153" ht="14" x14ac:dyDescent="0.2">
      <c r="A323" s="18" t="s">
        <v>360</v>
      </c>
      <c r="B323" s="18" t="s">
        <v>345</v>
      </c>
      <c r="C323" s="18">
        <v>1</v>
      </c>
      <c r="D323" s="18">
        <v>1</v>
      </c>
      <c r="E323" s="18">
        <v>1</v>
      </c>
      <c r="F323" s="18">
        <v>1</v>
      </c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</v>
      </c>
      <c r="AW323" s="18">
        <v>1</v>
      </c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8"/>
      <c r="DS323" s="18"/>
      <c r="DT323" s="18"/>
      <c r="DU323" s="18"/>
      <c r="DV323" s="18"/>
      <c r="DW323" s="18"/>
      <c r="DX323" s="18"/>
      <c r="DY323" s="18"/>
      <c r="DZ323" s="18"/>
      <c r="EA323" s="18"/>
      <c r="EB323" s="18"/>
      <c r="EC323" s="18"/>
      <c r="ED323" s="18"/>
      <c r="EE323" s="18"/>
      <c r="EF323" s="18"/>
      <c r="EG323" s="18"/>
      <c r="EH323" s="18"/>
      <c r="EI323" s="18"/>
      <c r="EJ323" s="18"/>
      <c r="EK323" s="18"/>
      <c r="EL323" s="18"/>
      <c r="EM323" s="18"/>
      <c r="EN323" s="18"/>
      <c r="EO323" s="18"/>
      <c r="EP323" s="18"/>
      <c r="EQ323" s="18"/>
      <c r="ER323" s="18"/>
      <c r="ES323" s="18"/>
      <c r="ET323" s="18"/>
      <c r="EU323" s="18"/>
      <c r="EV323" s="18"/>
      <c r="EW323" s="18"/>
    </row>
    <row r="324" spans="1:153" ht="14" x14ac:dyDescent="0.2">
      <c r="A324" s="18" t="s">
        <v>280</v>
      </c>
      <c r="B324" s="18"/>
      <c r="C324" s="18">
        <v>1</v>
      </c>
      <c r="D324" s="18">
        <v>1</v>
      </c>
      <c r="E324" s="18">
        <v>1</v>
      </c>
      <c r="F324" s="18">
        <v>1</v>
      </c>
      <c r="G324" s="18">
        <v>1</v>
      </c>
      <c r="H324" s="18">
        <v>1</v>
      </c>
      <c r="I324" s="18">
        <v>1</v>
      </c>
      <c r="J324" s="18">
        <v>1</v>
      </c>
      <c r="K324" s="18">
        <v>1</v>
      </c>
      <c r="L324" s="18">
        <v>1</v>
      </c>
      <c r="M324" s="18">
        <v>1</v>
      </c>
      <c r="N324" s="18">
        <v>1</v>
      </c>
      <c r="O324" s="18">
        <v>1</v>
      </c>
      <c r="P324" s="18">
        <v>1</v>
      </c>
      <c r="Q324" s="18">
        <v>1</v>
      </c>
      <c r="R324" s="18">
        <v>1</v>
      </c>
      <c r="S324" s="18">
        <v>1</v>
      </c>
      <c r="T324" s="18">
        <v>1</v>
      </c>
      <c r="U324" s="18">
        <v>1</v>
      </c>
      <c r="V324" s="18">
        <v>1</v>
      </c>
      <c r="W324" s="18">
        <v>1</v>
      </c>
      <c r="X324" s="18">
        <v>1</v>
      </c>
      <c r="Y324" s="18">
        <v>1</v>
      </c>
      <c r="Z324" s="18">
        <v>1</v>
      </c>
      <c r="AA324" s="18">
        <v>1</v>
      </c>
      <c r="AB324" s="18">
        <v>1</v>
      </c>
      <c r="AC324" s="18">
        <v>1</v>
      </c>
      <c r="AD324" s="18">
        <v>1</v>
      </c>
      <c r="AE324" s="18">
        <v>1</v>
      </c>
      <c r="AF324" s="18">
        <v>1</v>
      </c>
      <c r="AG324" s="18">
        <v>1</v>
      </c>
      <c r="AH324" s="18">
        <v>1</v>
      </c>
      <c r="AI324" s="18">
        <v>1</v>
      </c>
      <c r="AJ324" s="18">
        <v>1</v>
      </c>
      <c r="AK324" s="18">
        <v>1</v>
      </c>
      <c r="AL324" s="18">
        <v>1</v>
      </c>
      <c r="AM324" s="18">
        <v>1</v>
      </c>
      <c r="AN324" s="18">
        <v>1</v>
      </c>
      <c r="AO324" s="18">
        <v>1</v>
      </c>
      <c r="AP324" s="18">
        <v>1</v>
      </c>
      <c r="AQ324" s="18">
        <v>1</v>
      </c>
      <c r="AR324" s="18">
        <v>1</v>
      </c>
      <c r="AS324" s="18">
        <v>0</v>
      </c>
      <c r="AT324" s="18">
        <v>0</v>
      </c>
      <c r="AU324" s="18">
        <v>0</v>
      </c>
      <c r="AV324" s="18">
        <v>1</v>
      </c>
      <c r="AW324" s="18">
        <v>1</v>
      </c>
      <c r="AX324" s="18">
        <v>1</v>
      </c>
      <c r="AY324" s="18">
        <v>1</v>
      </c>
      <c r="AZ324" s="18">
        <v>0</v>
      </c>
      <c r="BA324" s="18">
        <v>0</v>
      </c>
      <c r="BB324" s="18">
        <v>0</v>
      </c>
      <c r="BC324" s="18">
        <v>1</v>
      </c>
      <c r="BD324" s="18">
        <v>1</v>
      </c>
      <c r="BE324" s="18">
        <v>1</v>
      </c>
      <c r="BF324" s="18">
        <v>0</v>
      </c>
      <c r="BG324" s="18">
        <v>0</v>
      </c>
      <c r="BH324" s="18">
        <v>0</v>
      </c>
      <c r="BI324" s="18">
        <v>0</v>
      </c>
      <c r="BJ324" s="18">
        <v>0</v>
      </c>
      <c r="BK324" s="18">
        <v>0</v>
      </c>
      <c r="BL324" s="18">
        <v>0</v>
      </c>
      <c r="BM324" s="18">
        <v>0</v>
      </c>
      <c r="BN324" s="18">
        <v>0</v>
      </c>
      <c r="BO324" s="18">
        <v>0</v>
      </c>
      <c r="BP324" s="18">
        <v>0</v>
      </c>
      <c r="BQ324" s="18">
        <v>0</v>
      </c>
      <c r="BR324" s="18">
        <v>1</v>
      </c>
      <c r="BS324" s="18">
        <v>1</v>
      </c>
      <c r="BT324" s="18">
        <v>1</v>
      </c>
      <c r="BU324" s="18">
        <v>1</v>
      </c>
      <c r="BV324" s="18">
        <v>1</v>
      </c>
      <c r="BW324" s="18">
        <v>1</v>
      </c>
      <c r="BX324" s="18">
        <v>1</v>
      </c>
      <c r="BY324" s="18">
        <v>1</v>
      </c>
      <c r="BZ324" s="18">
        <v>1</v>
      </c>
      <c r="CA324" s="18">
        <v>1</v>
      </c>
      <c r="CB324" s="18">
        <v>1</v>
      </c>
      <c r="CC324" s="18">
        <v>1</v>
      </c>
      <c r="CD324" s="18">
        <v>1</v>
      </c>
      <c r="CE324" s="18">
        <v>1</v>
      </c>
      <c r="CF324" s="18">
        <v>1</v>
      </c>
      <c r="CG324" s="18">
        <v>1</v>
      </c>
      <c r="CH324" s="18">
        <v>1</v>
      </c>
      <c r="CI324" s="18">
        <v>0</v>
      </c>
      <c r="CJ324" s="18">
        <v>0</v>
      </c>
      <c r="CK324" s="18">
        <v>1</v>
      </c>
      <c r="CL324" s="18">
        <v>1</v>
      </c>
      <c r="CM324" s="18">
        <v>1</v>
      </c>
      <c r="CN324" s="18">
        <v>1</v>
      </c>
      <c r="CO324" s="18">
        <v>1</v>
      </c>
      <c r="CP324" s="18">
        <v>0</v>
      </c>
      <c r="CQ324" s="18">
        <v>0</v>
      </c>
      <c r="CR324" s="18">
        <v>0</v>
      </c>
      <c r="CS324" s="18">
        <v>0</v>
      </c>
      <c r="CT324" s="18">
        <v>0</v>
      </c>
      <c r="CU324" s="18">
        <v>0</v>
      </c>
      <c r="CV324" s="18">
        <v>0</v>
      </c>
      <c r="CW324" s="18">
        <v>0</v>
      </c>
      <c r="CX324" s="18">
        <v>0</v>
      </c>
      <c r="CY324" s="18">
        <v>0</v>
      </c>
      <c r="CZ324" s="18">
        <v>0</v>
      </c>
      <c r="DA324" s="18">
        <v>0</v>
      </c>
      <c r="DB324" s="18">
        <v>0</v>
      </c>
      <c r="DC324" s="18">
        <v>0</v>
      </c>
      <c r="DD324" s="18">
        <v>0</v>
      </c>
      <c r="DE324" s="18">
        <v>0</v>
      </c>
      <c r="DF324" s="18">
        <v>0</v>
      </c>
      <c r="DG324" s="18">
        <v>0</v>
      </c>
      <c r="DH324" s="18">
        <v>0</v>
      </c>
      <c r="DI324" s="18">
        <v>0</v>
      </c>
      <c r="DJ324" s="18">
        <v>1</v>
      </c>
      <c r="DK324" s="18">
        <v>1</v>
      </c>
      <c r="DL324" s="18">
        <v>1</v>
      </c>
      <c r="DM324" s="18">
        <v>1</v>
      </c>
      <c r="DN324" s="18">
        <v>0</v>
      </c>
      <c r="DO324" s="18">
        <v>0</v>
      </c>
      <c r="DP324" s="18">
        <v>0</v>
      </c>
      <c r="DQ324" s="18">
        <v>0</v>
      </c>
      <c r="DR324" s="18">
        <v>0</v>
      </c>
      <c r="DS324" s="18">
        <v>0</v>
      </c>
      <c r="DT324" s="18">
        <v>0</v>
      </c>
      <c r="DU324" s="18">
        <v>0</v>
      </c>
      <c r="DV324" s="18">
        <v>0</v>
      </c>
      <c r="DW324" s="18">
        <v>0</v>
      </c>
      <c r="DX324" s="18">
        <v>0</v>
      </c>
      <c r="DY324" s="18">
        <v>1</v>
      </c>
      <c r="DZ324" s="18">
        <v>1</v>
      </c>
      <c r="EA324" s="18">
        <v>1</v>
      </c>
      <c r="EB324" s="18">
        <v>0</v>
      </c>
      <c r="EC324" s="18">
        <v>0</v>
      </c>
      <c r="ED324" s="18">
        <v>0</v>
      </c>
      <c r="EE324" s="18">
        <v>0</v>
      </c>
      <c r="EF324" s="18">
        <v>0</v>
      </c>
      <c r="EG324" s="18">
        <v>1</v>
      </c>
      <c r="EH324" s="18">
        <v>0</v>
      </c>
      <c r="EI324" s="18">
        <v>0</v>
      </c>
      <c r="EJ324" s="18">
        <v>0</v>
      </c>
      <c r="EK324" s="18">
        <v>0</v>
      </c>
      <c r="EL324" s="18">
        <v>0</v>
      </c>
      <c r="EM324" s="18">
        <v>0</v>
      </c>
      <c r="EN324" s="18">
        <v>0</v>
      </c>
      <c r="EO324" s="18">
        <v>0</v>
      </c>
      <c r="EP324" s="18">
        <v>0</v>
      </c>
      <c r="EQ324" s="18">
        <v>0</v>
      </c>
      <c r="ER324" s="18">
        <v>1</v>
      </c>
      <c r="ES324" s="18">
        <v>1</v>
      </c>
      <c r="ET324" s="18">
        <v>1</v>
      </c>
      <c r="EU324" s="18">
        <v>1</v>
      </c>
      <c r="EV324" s="18">
        <v>1</v>
      </c>
      <c r="EW324" s="18">
        <v>1</v>
      </c>
    </row>
    <row r="325" spans="1:153" ht="14" x14ac:dyDescent="0.2">
      <c r="A325" s="18" t="s">
        <v>281</v>
      </c>
      <c r="B325" s="18" t="s">
        <v>345</v>
      </c>
      <c r="C325" s="18">
        <v>0.95</v>
      </c>
      <c r="D325" s="18">
        <v>0.95</v>
      </c>
      <c r="E325" s="18">
        <v>0.95</v>
      </c>
      <c r="F325" s="18">
        <v>0.95</v>
      </c>
      <c r="G325" s="18">
        <v>0.95</v>
      </c>
      <c r="H325" s="18">
        <v>0.95</v>
      </c>
      <c r="I325" s="18">
        <v>0.95</v>
      </c>
      <c r="J325" s="18">
        <v>0.95</v>
      </c>
      <c r="K325" s="18">
        <v>0.95</v>
      </c>
      <c r="L325" s="18">
        <v>0.95</v>
      </c>
      <c r="M325" s="18">
        <v>0.95</v>
      </c>
      <c r="N325" s="18">
        <v>0.95</v>
      </c>
      <c r="O325" s="18">
        <v>0.95</v>
      </c>
      <c r="P325" s="18">
        <v>0.95</v>
      </c>
      <c r="Q325" s="18">
        <v>0.95</v>
      </c>
      <c r="R325" s="18">
        <v>0.95</v>
      </c>
      <c r="S325" s="18">
        <v>0.95</v>
      </c>
      <c r="T325" s="18">
        <v>0.95</v>
      </c>
      <c r="U325" s="18">
        <v>0.95</v>
      </c>
      <c r="V325" s="18">
        <v>0.95</v>
      </c>
      <c r="W325" s="18">
        <v>0.95</v>
      </c>
      <c r="X325" s="18">
        <v>0.95</v>
      </c>
      <c r="Y325" s="18">
        <v>0.95</v>
      </c>
      <c r="Z325" s="18">
        <v>0.95</v>
      </c>
      <c r="AA325" s="18">
        <v>0.95</v>
      </c>
      <c r="AB325" s="18">
        <v>0.95</v>
      </c>
      <c r="AC325" s="18">
        <v>0.95</v>
      </c>
      <c r="AD325" s="18">
        <v>0.95</v>
      </c>
      <c r="AE325" s="18">
        <v>0.95</v>
      </c>
      <c r="AF325" s="18">
        <v>0.95</v>
      </c>
      <c r="AG325" s="18">
        <v>0.95</v>
      </c>
      <c r="AH325" s="18">
        <v>0.95</v>
      </c>
      <c r="AI325" s="18">
        <v>0.95</v>
      </c>
      <c r="AJ325" s="18">
        <v>0.95</v>
      </c>
      <c r="AK325" s="18">
        <v>0.95</v>
      </c>
      <c r="AL325" s="18">
        <v>0.95</v>
      </c>
      <c r="AM325" s="18">
        <v>0.95</v>
      </c>
      <c r="AN325" s="18">
        <v>0.95</v>
      </c>
      <c r="AO325" s="18">
        <v>0.95</v>
      </c>
      <c r="AP325" s="18">
        <v>0.95</v>
      </c>
      <c r="AQ325" s="18">
        <v>0.95</v>
      </c>
      <c r="AR325" s="18">
        <v>0.95</v>
      </c>
      <c r="AS325" s="18">
        <v>1</v>
      </c>
      <c r="AT325" s="18">
        <v>1</v>
      </c>
      <c r="AU325" s="18">
        <v>1</v>
      </c>
      <c r="AV325" s="18">
        <v>0.95</v>
      </c>
      <c r="AW325" s="18">
        <v>0.95</v>
      </c>
      <c r="AX325" s="18">
        <v>0.95</v>
      </c>
      <c r="AY325" s="18">
        <v>0.95</v>
      </c>
      <c r="AZ325" s="18">
        <v>1</v>
      </c>
      <c r="BA325" s="18">
        <v>1</v>
      </c>
      <c r="BB325" s="18">
        <v>1</v>
      </c>
      <c r="BC325" s="18">
        <v>0.95</v>
      </c>
      <c r="BD325" s="18">
        <v>0.95</v>
      </c>
      <c r="BE325" s="18">
        <v>0.95</v>
      </c>
      <c r="BF325" s="18">
        <v>1</v>
      </c>
      <c r="BG325" s="18">
        <v>1</v>
      </c>
      <c r="BH325" s="18">
        <v>1</v>
      </c>
      <c r="BI325" s="18">
        <v>1</v>
      </c>
      <c r="BJ325" s="18">
        <v>1</v>
      </c>
      <c r="BK325" s="18">
        <v>1</v>
      </c>
      <c r="BL325" s="18">
        <v>1</v>
      </c>
      <c r="BM325" s="18">
        <v>1</v>
      </c>
      <c r="BN325" s="18">
        <v>1</v>
      </c>
      <c r="BO325" s="18">
        <v>1</v>
      </c>
      <c r="BP325" s="18">
        <v>1</v>
      </c>
      <c r="BQ325" s="18">
        <v>1</v>
      </c>
      <c r="BR325" s="18">
        <v>0.95</v>
      </c>
      <c r="BS325" s="18">
        <v>0.95</v>
      </c>
      <c r="BT325" s="18">
        <v>0.95</v>
      </c>
      <c r="BU325" s="18">
        <v>0.95</v>
      </c>
      <c r="BV325" s="18">
        <v>0.95</v>
      </c>
      <c r="BW325" s="18">
        <v>0.95</v>
      </c>
      <c r="BX325" s="18">
        <v>0.95</v>
      </c>
      <c r="BY325" s="18">
        <v>0.95</v>
      </c>
      <c r="BZ325" s="18">
        <v>0.95</v>
      </c>
      <c r="CA325" s="18">
        <v>0.95</v>
      </c>
      <c r="CB325" s="18">
        <v>0.95</v>
      </c>
      <c r="CC325" s="18">
        <v>0.95</v>
      </c>
      <c r="CD325" s="18">
        <v>0.95</v>
      </c>
      <c r="CE325" s="18">
        <v>0.95</v>
      </c>
      <c r="CF325" s="18">
        <v>0.95</v>
      </c>
      <c r="CG325" s="18">
        <v>0.95</v>
      </c>
      <c r="CH325" s="18">
        <v>0.95</v>
      </c>
      <c r="CI325" s="18">
        <v>1</v>
      </c>
      <c r="CJ325" s="18">
        <v>1</v>
      </c>
      <c r="CK325" s="18">
        <v>0.95</v>
      </c>
      <c r="CL325" s="18">
        <v>0.95</v>
      </c>
      <c r="CM325" s="18">
        <v>0.95</v>
      </c>
      <c r="CN325" s="18">
        <v>0.95</v>
      </c>
      <c r="CO325" s="18">
        <v>0.95</v>
      </c>
      <c r="CP325" s="18">
        <v>1</v>
      </c>
      <c r="CQ325" s="18">
        <v>1</v>
      </c>
      <c r="CR325" s="18">
        <v>1</v>
      </c>
      <c r="CS325" s="18">
        <v>1</v>
      </c>
      <c r="CT325" s="18">
        <v>1</v>
      </c>
      <c r="CU325" s="18">
        <v>1</v>
      </c>
      <c r="CV325" s="18">
        <v>1</v>
      </c>
      <c r="CW325" s="18">
        <v>1</v>
      </c>
      <c r="CX325" s="18">
        <v>1</v>
      </c>
      <c r="CY325" s="18">
        <v>1</v>
      </c>
      <c r="CZ325" s="18">
        <v>1</v>
      </c>
      <c r="DA325" s="18">
        <v>1</v>
      </c>
      <c r="DB325" s="18">
        <v>1</v>
      </c>
      <c r="DC325" s="18">
        <v>1</v>
      </c>
      <c r="DD325" s="18">
        <v>1</v>
      </c>
      <c r="DE325" s="18">
        <v>1</v>
      </c>
      <c r="DF325" s="18">
        <v>1</v>
      </c>
      <c r="DG325" s="18">
        <v>1</v>
      </c>
      <c r="DH325" s="18">
        <v>1</v>
      </c>
      <c r="DI325" s="18">
        <v>1</v>
      </c>
      <c r="DJ325" s="18">
        <f>1-0.2188</f>
        <v>0.78120000000000001</v>
      </c>
      <c r="DK325" s="18">
        <v>0.95</v>
      </c>
      <c r="DL325" s="18">
        <v>0.95</v>
      </c>
      <c r="DM325" s="18">
        <v>0.95</v>
      </c>
      <c r="DN325" s="18">
        <v>1</v>
      </c>
      <c r="DO325" s="18">
        <v>1</v>
      </c>
      <c r="DP325" s="18">
        <v>1</v>
      </c>
      <c r="DQ325" s="18">
        <v>1</v>
      </c>
      <c r="DR325" s="18">
        <v>1</v>
      </c>
      <c r="DS325" s="18">
        <v>1</v>
      </c>
      <c r="DT325" s="18">
        <v>1</v>
      </c>
      <c r="DU325" s="18">
        <v>1</v>
      </c>
      <c r="DV325" s="18">
        <v>1</v>
      </c>
      <c r="DW325" s="18">
        <v>1</v>
      </c>
      <c r="DX325" s="18">
        <v>1</v>
      </c>
      <c r="DY325" s="18">
        <v>0.95</v>
      </c>
      <c r="DZ325" s="18">
        <v>0.95</v>
      </c>
      <c r="EA325" s="18">
        <v>0.95</v>
      </c>
      <c r="EB325" s="18">
        <v>1</v>
      </c>
      <c r="EC325" s="18">
        <v>1</v>
      </c>
      <c r="ED325" s="18">
        <v>1</v>
      </c>
      <c r="EE325" s="18">
        <v>1</v>
      </c>
      <c r="EF325" s="18">
        <v>1</v>
      </c>
      <c r="EG325" s="18">
        <v>0.95</v>
      </c>
      <c r="EH325" s="18">
        <v>1</v>
      </c>
      <c r="EI325" s="18">
        <v>1</v>
      </c>
      <c r="EJ325" s="18">
        <v>1</v>
      </c>
      <c r="EK325" s="18">
        <v>1</v>
      </c>
      <c r="EL325" s="18">
        <v>1</v>
      </c>
      <c r="EM325" s="18">
        <v>1</v>
      </c>
      <c r="EN325" s="18">
        <v>1</v>
      </c>
      <c r="EO325" s="18">
        <v>1</v>
      </c>
      <c r="EP325" s="18">
        <v>1</v>
      </c>
      <c r="EQ325" s="18">
        <v>1</v>
      </c>
      <c r="ER325" s="18">
        <v>0.95</v>
      </c>
      <c r="ES325" s="18">
        <v>0.95</v>
      </c>
      <c r="ET325" s="18">
        <v>0.95</v>
      </c>
      <c r="EU325" s="18">
        <v>0.95</v>
      </c>
      <c r="EV325" s="18">
        <f>1-123/EV8</f>
        <v>0.94754797441364602</v>
      </c>
      <c r="EW325" s="18">
        <v>0.95</v>
      </c>
    </row>
    <row r="326" spans="1:153" ht="14" x14ac:dyDescent="0.2">
      <c r="A326" s="18" t="s">
        <v>282</v>
      </c>
      <c r="B326" s="18" t="s">
        <v>343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>
        <f>0.43*AS20</f>
        <v>110742.34928116888</v>
      </c>
      <c r="AT326" s="18">
        <f>0.43*AT20</f>
        <v>20042.84993118991</v>
      </c>
      <c r="AU326" s="18">
        <v>0</v>
      </c>
      <c r="AV326" s="18">
        <v>0</v>
      </c>
      <c r="AW326" s="18">
        <v>0</v>
      </c>
      <c r="AX326" s="18"/>
      <c r="AY326" s="18"/>
      <c r="AZ326" s="18">
        <v>0</v>
      </c>
      <c r="BA326" s="18">
        <v>0</v>
      </c>
      <c r="BB326" s="18">
        <v>0</v>
      </c>
      <c r="BC326" s="18"/>
      <c r="BD326" s="18"/>
      <c r="BE326" s="18"/>
      <c r="BF326" s="18">
        <v>0</v>
      </c>
      <c r="BG326" s="18">
        <v>0</v>
      </c>
      <c r="BH326" s="18">
        <v>0</v>
      </c>
      <c r="BI326" s="18">
        <v>0</v>
      </c>
      <c r="BJ326" s="18">
        <v>0</v>
      </c>
      <c r="BK326" s="18">
        <v>0</v>
      </c>
      <c r="BL326" s="18"/>
      <c r="BM326" s="18"/>
      <c r="BN326" s="18"/>
      <c r="BO326" s="18"/>
      <c r="BP326" s="18">
        <v>0</v>
      </c>
      <c r="BQ326" s="18">
        <v>0</v>
      </c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>
        <v>0</v>
      </c>
      <c r="CY326" s="18">
        <v>0</v>
      </c>
      <c r="CZ326" s="18">
        <v>0</v>
      </c>
      <c r="DA326" s="18">
        <v>0</v>
      </c>
      <c r="DB326" s="18">
        <v>0</v>
      </c>
      <c r="DC326" s="18">
        <v>0</v>
      </c>
      <c r="DD326" s="18">
        <v>0</v>
      </c>
      <c r="DE326" s="18">
        <v>0</v>
      </c>
      <c r="DF326" s="18">
        <v>0</v>
      </c>
      <c r="DG326" s="18">
        <v>0</v>
      </c>
      <c r="DH326" s="18">
        <v>0</v>
      </c>
      <c r="DI326" s="18">
        <v>0</v>
      </c>
      <c r="DJ326" s="18">
        <v>0</v>
      </c>
      <c r="DK326" s="18"/>
      <c r="DL326" s="18"/>
      <c r="DM326" s="18"/>
      <c r="DN326" s="18">
        <v>4</v>
      </c>
      <c r="DO326" s="18">
        <v>4</v>
      </c>
      <c r="DP326" s="18"/>
      <c r="DQ326" s="18"/>
      <c r="DR326" s="18"/>
      <c r="DS326" s="18"/>
      <c r="DT326" s="18"/>
      <c r="DU326" s="18"/>
      <c r="DV326" s="18"/>
      <c r="DW326" s="18"/>
      <c r="DX326" s="18"/>
      <c r="DY326" s="18"/>
      <c r="DZ326" s="18"/>
      <c r="EA326" s="18"/>
      <c r="EB326" s="18"/>
      <c r="EC326" s="18"/>
      <c r="ED326" s="18"/>
      <c r="EE326" s="18"/>
      <c r="EF326" s="18"/>
      <c r="EG326" s="18"/>
      <c r="EH326" s="18"/>
      <c r="EI326" s="18"/>
      <c r="EJ326" s="18"/>
      <c r="EK326" s="18"/>
      <c r="EL326" s="18"/>
      <c r="EM326" s="18"/>
      <c r="EN326" s="18"/>
      <c r="EO326" s="18"/>
      <c r="EP326" s="18"/>
      <c r="EQ326" s="18"/>
      <c r="ER326" s="18"/>
      <c r="ES326" s="18"/>
      <c r="ET326" s="18"/>
      <c r="EU326" s="18"/>
      <c r="EV326" s="18"/>
      <c r="EW326" s="18"/>
    </row>
    <row r="327" spans="1:153" ht="14" x14ac:dyDescent="0.2">
      <c r="A327" s="18" t="s">
        <v>302</v>
      </c>
      <c r="B327" s="18" t="s">
        <v>345</v>
      </c>
      <c r="C327" s="18">
        <v>1</v>
      </c>
      <c r="D327" s="18">
        <v>1</v>
      </c>
      <c r="E327" s="18">
        <v>1</v>
      </c>
      <c r="F327" s="18">
        <v>1</v>
      </c>
      <c r="G327" s="18">
        <v>1</v>
      </c>
      <c r="H327" s="18">
        <v>1</v>
      </c>
      <c r="I327" s="18">
        <v>1</v>
      </c>
      <c r="J327" s="18">
        <v>1</v>
      </c>
      <c r="K327" s="18">
        <v>1</v>
      </c>
      <c r="L327" s="18">
        <v>1</v>
      </c>
      <c r="M327" s="18">
        <v>1</v>
      </c>
      <c r="N327" s="18">
        <v>1</v>
      </c>
      <c r="O327" s="18">
        <v>1</v>
      </c>
      <c r="P327" s="18">
        <v>1</v>
      </c>
      <c r="Q327" s="18">
        <v>1</v>
      </c>
      <c r="R327" s="18">
        <v>1</v>
      </c>
      <c r="S327" s="18">
        <v>1</v>
      </c>
      <c r="T327" s="18">
        <v>1</v>
      </c>
      <c r="U327" s="18">
        <v>1</v>
      </c>
      <c r="V327" s="18">
        <v>1</v>
      </c>
      <c r="W327" s="18">
        <v>1</v>
      </c>
      <c r="X327" s="18">
        <v>1</v>
      </c>
      <c r="Y327" s="18">
        <v>1</v>
      </c>
      <c r="Z327" s="18">
        <v>1</v>
      </c>
      <c r="AA327" s="18">
        <v>1</v>
      </c>
      <c r="AB327" s="18">
        <v>1</v>
      </c>
      <c r="AC327" s="18">
        <v>1</v>
      </c>
      <c r="AD327" s="18">
        <v>1</v>
      </c>
      <c r="AE327" s="18">
        <v>1</v>
      </c>
      <c r="AF327" s="18">
        <v>1</v>
      </c>
      <c r="AG327" s="18">
        <v>1</v>
      </c>
      <c r="AH327" s="18">
        <v>1</v>
      </c>
      <c r="AI327" s="18">
        <v>1</v>
      </c>
      <c r="AJ327" s="18">
        <v>1</v>
      </c>
      <c r="AK327" s="18">
        <v>1</v>
      </c>
      <c r="AL327" s="18">
        <v>1</v>
      </c>
      <c r="AM327" s="18">
        <v>1</v>
      </c>
      <c r="AN327" s="18">
        <v>1</v>
      </c>
      <c r="AO327" s="18">
        <v>1</v>
      </c>
      <c r="AP327" s="18">
        <v>1</v>
      </c>
      <c r="AQ327" s="18">
        <v>1</v>
      </c>
      <c r="AR327" s="18">
        <v>1</v>
      </c>
      <c r="AS327" s="18">
        <v>1</v>
      </c>
      <c r="AT327" s="18">
        <v>1</v>
      </c>
      <c r="AU327" s="18">
        <v>1</v>
      </c>
      <c r="AV327" s="18">
        <v>1</v>
      </c>
      <c r="AW327" s="18">
        <v>1</v>
      </c>
      <c r="AX327" s="18">
        <v>1</v>
      </c>
      <c r="AY327" s="18">
        <v>1</v>
      </c>
      <c r="AZ327" s="18">
        <v>0.82609999999999995</v>
      </c>
      <c r="BA327" s="18">
        <v>1</v>
      </c>
      <c r="BB327" s="18">
        <v>1</v>
      </c>
      <c r="BC327" s="18">
        <v>1</v>
      </c>
      <c r="BD327" s="18">
        <v>1</v>
      </c>
      <c r="BE327" s="18">
        <v>1</v>
      </c>
      <c r="BF327" s="18">
        <v>1</v>
      </c>
      <c r="BG327" s="18">
        <v>1</v>
      </c>
      <c r="BH327" s="18">
        <v>1</v>
      </c>
      <c r="BI327" s="18">
        <v>1</v>
      </c>
      <c r="BJ327" s="18">
        <v>1</v>
      </c>
      <c r="BK327" s="18">
        <v>1</v>
      </c>
      <c r="BL327" s="18">
        <v>1</v>
      </c>
      <c r="BM327" s="18">
        <v>1</v>
      </c>
      <c r="BN327" s="18">
        <v>1</v>
      </c>
      <c r="BO327" s="18">
        <v>1</v>
      </c>
      <c r="BP327" s="18">
        <v>1</v>
      </c>
      <c r="BQ327" s="18">
        <v>1</v>
      </c>
      <c r="BR327" s="18">
        <v>1</v>
      </c>
      <c r="BS327" s="18">
        <v>1</v>
      </c>
      <c r="BT327" s="18">
        <v>1</v>
      </c>
      <c r="BU327" s="18">
        <v>1</v>
      </c>
      <c r="BV327" s="18">
        <v>1</v>
      </c>
      <c r="BW327" s="18">
        <v>1</v>
      </c>
      <c r="BX327" s="18">
        <v>1</v>
      </c>
      <c r="BY327" s="18">
        <v>1</v>
      </c>
      <c r="BZ327" s="18">
        <v>1</v>
      </c>
      <c r="CA327" s="18">
        <v>1</v>
      </c>
      <c r="CB327" s="18">
        <v>1</v>
      </c>
      <c r="CC327" s="18">
        <v>1</v>
      </c>
      <c r="CD327" s="18">
        <v>1</v>
      </c>
      <c r="CE327" s="18">
        <v>1</v>
      </c>
      <c r="CF327" s="18">
        <v>1</v>
      </c>
      <c r="CG327" s="18">
        <v>1</v>
      </c>
      <c r="CH327" s="18">
        <v>1</v>
      </c>
      <c r="CI327" s="18">
        <v>1</v>
      </c>
      <c r="CJ327" s="18">
        <v>1</v>
      </c>
      <c r="CK327" s="18">
        <v>1</v>
      </c>
      <c r="CL327" s="18">
        <v>1</v>
      </c>
      <c r="CM327" s="18">
        <v>1</v>
      </c>
      <c r="CN327" s="18">
        <v>1</v>
      </c>
      <c r="CO327" s="18">
        <v>1</v>
      </c>
      <c r="CP327" s="18">
        <v>1</v>
      </c>
      <c r="CQ327" s="18">
        <v>1</v>
      </c>
      <c r="CR327" s="18">
        <v>1</v>
      </c>
      <c r="CS327" s="18">
        <v>1</v>
      </c>
      <c r="CT327" s="18">
        <v>1</v>
      </c>
      <c r="CU327" s="18">
        <v>1</v>
      </c>
      <c r="CV327" s="18">
        <v>1</v>
      </c>
      <c r="CW327" s="18">
        <v>1</v>
      </c>
      <c r="CX327" s="18">
        <v>1</v>
      </c>
      <c r="CY327" s="18">
        <v>1</v>
      </c>
      <c r="CZ327" s="18">
        <v>1</v>
      </c>
      <c r="DA327" s="18">
        <v>1</v>
      </c>
      <c r="DB327" s="18">
        <v>1</v>
      </c>
      <c r="DC327" s="18">
        <v>1</v>
      </c>
      <c r="DD327" s="18">
        <v>1</v>
      </c>
      <c r="DE327" s="18">
        <v>1</v>
      </c>
      <c r="DF327" s="18">
        <v>1</v>
      </c>
      <c r="DG327" s="18">
        <v>1</v>
      </c>
      <c r="DH327" s="18">
        <v>1</v>
      </c>
      <c r="DI327" s="18">
        <v>1</v>
      </c>
      <c r="DJ327" s="18">
        <v>1</v>
      </c>
      <c r="DK327" s="18">
        <v>1</v>
      </c>
      <c r="DL327" s="18">
        <v>1</v>
      </c>
      <c r="DM327" s="18">
        <v>1</v>
      </c>
      <c r="DN327" s="18">
        <v>1</v>
      </c>
      <c r="DO327" s="18">
        <v>1</v>
      </c>
      <c r="DP327" s="18">
        <v>1</v>
      </c>
      <c r="DQ327" s="18">
        <v>1</v>
      </c>
      <c r="DR327" s="18">
        <v>1</v>
      </c>
      <c r="DS327" s="18">
        <v>1</v>
      </c>
      <c r="DT327" s="18">
        <v>1</v>
      </c>
      <c r="DU327" s="18">
        <v>1</v>
      </c>
      <c r="DV327" s="18">
        <v>1</v>
      </c>
      <c r="DW327" s="18">
        <v>1</v>
      </c>
      <c r="DX327" s="18">
        <v>1</v>
      </c>
      <c r="DY327" s="18">
        <v>1</v>
      </c>
      <c r="DZ327" s="18">
        <v>1</v>
      </c>
      <c r="EA327" s="18">
        <v>1</v>
      </c>
      <c r="EB327" s="18">
        <v>1</v>
      </c>
      <c r="EC327" s="18">
        <v>1</v>
      </c>
      <c r="ED327" s="18">
        <v>1</v>
      </c>
      <c r="EE327" s="18">
        <v>1</v>
      </c>
      <c r="EF327" s="18">
        <v>1</v>
      </c>
      <c r="EG327" s="18">
        <v>1</v>
      </c>
      <c r="EH327" s="18">
        <v>1</v>
      </c>
      <c r="EI327" s="18">
        <v>1</v>
      </c>
      <c r="EJ327" s="18">
        <v>1</v>
      </c>
      <c r="EK327" s="18">
        <v>1</v>
      </c>
      <c r="EL327" s="18">
        <v>1</v>
      </c>
      <c r="EM327" s="18">
        <v>1</v>
      </c>
      <c r="EN327" s="18">
        <v>1</v>
      </c>
      <c r="EO327" s="18">
        <v>1</v>
      </c>
      <c r="EP327" s="18">
        <v>1</v>
      </c>
      <c r="EQ327" s="18">
        <v>1</v>
      </c>
      <c r="ER327" s="18">
        <v>1</v>
      </c>
      <c r="ES327" s="18">
        <v>1</v>
      </c>
      <c r="ET327" s="18">
        <v>1</v>
      </c>
      <c r="EU327" s="18">
        <v>1</v>
      </c>
      <c r="EV327" s="18">
        <v>1</v>
      </c>
      <c r="EW327" s="18">
        <v>1</v>
      </c>
    </row>
    <row r="328" spans="1:153" ht="14" x14ac:dyDescent="0.2">
      <c r="A328" s="18" t="s">
        <v>480</v>
      </c>
      <c r="B328" s="18"/>
      <c r="C328" s="18">
        <v>0.78</v>
      </c>
      <c r="D328" s="18">
        <v>0.78</v>
      </c>
      <c r="E328" s="18">
        <v>0.78</v>
      </c>
      <c r="F328" s="18">
        <v>0.78</v>
      </c>
      <c r="G328" s="18">
        <v>0.78</v>
      </c>
      <c r="H328" s="18">
        <v>0.78</v>
      </c>
      <c r="I328" s="18">
        <v>0.78</v>
      </c>
      <c r="J328" s="18">
        <v>0.78</v>
      </c>
      <c r="K328" s="18">
        <v>0.78</v>
      </c>
      <c r="L328" s="18">
        <v>0.78</v>
      </c>
      <c r="M328" s="18">
        <v>0.78</v>
      </c>
      <c r="N328" s="18">
        <v>0.78</v>
      </c>
      <c r="O328" s="18">
        <v>0.78</v>
      </c>
      <c r="P328" s="18">
        <v>0.78</v>
      </c>
      <c r="Q328" s="18">
        <v>0.78</v>
      </c>
      <c r="R328" s="18">
        <v>0.78</v>
      </c>
      <c r="S328" s="18">
        <v>0.78</v>
      </c>
      <c r="T328" s="18">
        <v>0.78</v>
      </c>
      <c r="U328" s="18">
        <v>0.78</v>
      </c>
      <c r="V328" s="18">
        <v>0.78</v>
      </c>
      <c r="W328" s="18">
        <v>0.78</v>
      </c>
      <c r="X328" s="18">
        <v>0.78</v>
      </c>
      <c r="Y328" s="18">
        <v>0.78</v>
      </c>
      <c r="Z328" s="18">
        <v>0.78</v>
      </c>
      <c r="AA328" s="18">
        <v>0.78</v>
      </c>
      <c r="AB328" s="18">
        <v>0.78</v>
      </c>
      <c r="AC328" s="18">
        <v>0.78</v>
      </c>
      <c r="AD328" s="18">
        <v>0.78</v>
      </c>
      <c r="AE328" s="18">
        <v>0.78</v>
      </c>
      <c r="AF328" s="18">
        <v>0.78</v>
      </c>
      <c r="AG328" s="18">
        <v>0.78</v>
      </c>
      <c r="AH328" s="18">
        <v>0.78</v>
      </c>
      <c r="AI328" s="18">
        <v>0.78</v>
      </c>
      <c r="AJ328" s="18">
        <v>0.78</v>
      </c>
      <c r="AK328" s="18">
        <v>0.78</v>
      </c>
      <c r="AL328" s="18">
        <v>0.78</v>
      </c>
      <c r="AM328" s="18">
        <v>0.78</v>
      </c>
      <c r="AN328" s="18">
        <v>0.78</v>
      </c>
      <c r="AO328" s="18">
        <v>0.78</v>
      </c>
      <c r="AP328" s="18">
        <v>0.78</v>
      </c>
      <c r="AQ328" s="18">
        <v>0.78</v>
      </c>
      <c r="AR328" s="18">
        <v>0.78</v>
      </c>
      <c r="AS328" s="18">
        <v>1</v>
      </c>
      <c r="AT328" s="18">
        <v>1</v>
      </c>
      <c r="AU328" s="18">
        <v>1</v>
      </c>
      <c r="AV328" s="18">
        <v>0.78</v>
      </c>
      <c r="AW328" s="18">
        <v>0.78</v>
      </c>
      <c r="AX328" s="18">
        <v>1</v>
      </c>
      <c r="AY328" s="18">
        <v>1</v>
      </c>
      <c r="AZ328" s="18">
        <v>1</v>
      </c>
      <c r="BA328" s="18">
        <v>1</v>
      </c>
      <c r="BB328" s="18">
        <v>1</v>
      </c>
      <c r="BC328" s="18">
        <v>0.78</v>
      </c>
      <c r="BD328" s="18">
        <v>0.78</v>
      </c>
      <c r="BE328" s="18">
        <v>0.78</v>
      </c>
      <c r="BF328" s="18">
        <v>1</v>
      </c>
      <c r="BG328" s="18">
        <v>1</v>
      </c>
      <c r="BH328" s="18">
        <v>1</v>
      </c>
      <c r="BI328" s="18">
        <v>1</v>
      </c>
      <c r="BJ328" s="18">
        <v>1</v>
      </c>
      <c r="BK328" s="18">
        <v>1</v>
      </c>
      <c r="BL328" s="18">
        <v>0.78</v>
      </c>
      <c r="BM328" s="18">
        <v>0.78</v>
      </c>
      <c r="BN328" s="18">
        <v>0.78</v>
      </c>
      <c r="BO328" s="18">
        <v>0.78</v>
      </c>
      <c r="BP328" s="18">
        <v>1</v>
      </c>
      <c r="BQ328" s="18">
        <v>1</v>
      </c>
      <c r="BR328" s="18">
        <v>0.78</v>
      </c>
      <c r="BS328" s="18">
        <v>0.78</v>
      </c>
      <c r="BT328" s="18">
        <v>0.78</v>
      </c>
      <c r="BU328" s="18">
        <v>0.78</v>
      </c>
      <c r="BV328" s="18">
        <v>0.78</v>
      </c>
      <c r="BW328" s="18">
        <v>0.78</v>
      </c>
      <c r="BX328" s="18">
        <v>0.78</v>
      </c>
      <c r="BY328" s="18">
        <v>0.78</v>
      </c>
      <c r="BZ328" s="18">
        <v>0.78</v>
      </c>
      <c r="CA328" s="18">
        <v>0.78</v>
      </c>
      <c r="CB328" s="18">
        <v>0.78</v>
      </c>
      <c r="CC328" s="18">
        <v>0.78</v>
      </c>
      <c r="CD328" s="18">
        <v>0.78</v>
      </c>
      <c r="CE328" s="18">
        <v>0.78</v>
      </c>
      <c r="CF328" s="18">
        <v>0.78</v>
      </c>
      <c r="CG328" s="18">
        <v>0.78</v>
      </c>
      <c r="CH328" s="18">
        <v>0.78</v>
      </c>
      <c r="CI328" s="18">
        <v>0.78</v>
      </c>
      <c r="CJ328" s="18">
        <v>0.78</v>
      </c>
      <c r="CK328" s="18">
        <v>0.78</v>
      </c>
      <c r="CL328" s="18">
        <v>0.78</v>
      </c>
      <c r="CM328" s="18">
        <v>0.78</v>
      </c>
      <c r="CN328" s="18">
        <v>0.78</v>
      </c>
      <c r="CO328" s="18">
        <v>0.78</v>
      </c>
      <c r="CP328" s="18">
        <v>0.78</v>
      </c>
      <c r="CQ328" s="18">
        <v>0.78</v>
      </c>
      <c r="CR328" s="18">
        <v>0.78</v>
      </c>
      <c r="CS328" s="18">
        <v>0.78</v>
      </c>
      <c r="CT328" s="18">
        <v>0.78</v>
      </c>
      <c r="CU328" s="18">
        <v>0.78</v>
      </c>
      <c r="CV328" s="18">
        <v>0.78</v>
      </c>
      <c r="CW328" s="18">
        <v>0.78</v>
      </c>
      <c r="CX328" s="18">
        <v>1</v>
      </c>
      <c r="CY328" s="18">
        <v>1</v>
      </c>
      <c r="CZ328" s="18">
        <v>1</v>
      </c>
      <c r="DA328" s="18">
        <v>1</v>
      </c>
      <c r="DB328" s="18">
        <v>1</v>
      </c>
      <c r="DC328" s="18">
        <v>1</v>
      </c>
      <c r="DD328" s="18">
        <v>1</v>
      </c>
      <c r="DE328" s="18">
        <v>1</v>
      </c>
      <c r="DF328" s="18">
        <v>1</v>
      </c>
      <c r="DG328" s="18">
        <v>1</v>
      </c>
      <c r="DH328" s="18">
        <v>1</v>
      </c>
      <c r="DI328" s="18">
        <v>1</v>
      </c>
      <c r="DJ328" s="18">
        <v>1</v>
      </c>
      <c r="DK328" s="18">
        <v>0.78</v>
      </c>
      <c r="DL328" s="18">
        <v>0.78</v>
      </c>
      <c r="DM328" s="18">
        <v>0.78</v>
      </c>
      <c r="DN328" s="18">
        <v>1</v>
      </c>
      <c r="DO328" s="18">
        <v>1</v>
      </c>
      <c r="DP328" s="18">
        <v>1</v>
      </c>
      <c r="DQ328" s="18">
        <v>1</v>
      </c>
      <c r="DR328" s="18">
        <v>1</v>
      </c>
      <c r="DS328" s="18">
        <v>1</v>
      </c>
      <c r="DT328" s="18">
        <v>1</v>
      </c>
      <c r="DU328" s="18">
        <v>1</v>
      </c>
      <c r="DV328" s="18">
        <v>1</v>
      </c>
      <c r="DW328" s="18">
        <v>1</v>
      </c>
      <c r="DX328" s="18">
        <v>1</v>
      </c>
      <c r="DY328" s="18">
        <v>0.78</v>
      </c>
      <c r="DZ328" s="18">
        <v>0.78</v>
      </c>
      <c r="EA328" s="18">
        <v>0.78</v>
      </c>
      <c r="EB328" s="18">
        <v>1</v>
      </c>
      <c r="EC328" s="18">
        <v>1</v>
      </c>
      <c r="ED328" s="18">
        <v>1</v>
      </c>
      <c r="EE328" s="18">
        <v>1</v>
      </c>
      <c r="EF328" s="18">
        <v>0.78</v>
      </c>
      <c r="EG328" s="18">
        <v>0.78</v>
      </c>
      <c r="EH328" s="18">
        <v>0.78</v>
      </c>
      <c r="EI328" s="18">
        <v>1</v>
      </c>
      <c r="EJ328" s="18">
        <v>1</v>
      </c>
      <c r="EK328" s="18">
        <v>1</v>
      </c>
      <c r="EL328" s="18">
        <v>1</v>
      </c>
      <c r="EM328" s="18">
        <v>1</v>
      </c>
      <c r="EN328" s="18">
        <v>1</v>
      </c>
      <c r="EO328" s="18">
        <v>1</v>
      </c>
      <c r="EP328" s="18">
        <v>1</v>
      </c>
      <c r="EQ328" s="18">
        <v>1</v>
      </c>
      <c r="ER328" s="18">
        <v>0.78</v>
      </c>
      <c r="ES328" s="18">
        <v>0.78</v>
      </c>
      <c r="ET328" s="18">
        <v>0.78</v>
      </c>
      <c r="EU328" s="18">
        <v>0.78</v>
      </c>
      <c r="EV328" s="18">
        <v>0.78</v>
      </c>
      <c r="EW328" s="18">
        <v>0.78</v>
      </c>
    </row>
    <row r="329" spans="1:153" ht="14" x14ac:dyDescent="0.2">
      <c r="A329" s="18" t="s">
        <v>395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>
        <v>0</v>
      </c>
      <c r="BD329" s="18"/>
      <c r="BE329" s="18"/>
      <c r="BF329" s="18">
        <v>5755</v>
      </c>
      <c r="BG329" s="18">
        <v>5402</v>
      </c>
      <c r="BH329" s="18">
        <v>13561</v>
      </c>
      <c r="BI329" s="18">
        <v>1395</v>
      </c>
      <c r="BJ329" s="18">
        <v>296</v>
      </c>
      <c r="BK329" s="18">
        <v>691</v>
      </c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  <c r="DI329" s="18"/>
      <c r="DJ329" s="18"/>
      <c r="DK329" s="18"/>
      <c r="DL329" s="18"/>
      <c r="DM329" s="18"/>
      <c r="DN329" s="18"/>
      <c r="DO329" s="18"/>
      <c r="DP329" s="18"/>
      <c r="DQ329" s="18"/>
      <c r="DR329" s="18"/>
      <c r="DS329" s="18"/>
      <c r="DT329" s="18"/>
      <c r="DU329" s="18"/>
      <c r="DV329" s="18"/>
      <c r="DW329" s="18"/>
      <c r="DX329" s="18"/>
      <c r="DY329" s="18"/>
      <c r="DZ329" s="18"/>
      <c r="EA329" s="18"/>
      <c r="EB329" s="18"/>
      <c r="EC329" s="18"/>
      <c r="ED329" s="18"/>
      <c r="EE329" s="18"/>
      <c r="EF329" s="18"/>
      <c r="EG329" s="18"/>
      <c r="EH329" s="18"/>
      <c r="EI329" s="18"/>
      <c r="EJ329" s="18"/>
      <c r="EK329" s="18"/>
      <c r="EL329" s="18"/>
      <c r="EM329" s="18"/>
      <c r="EN329" s="18"/>
      <c r="EO329" s="18"/>
      <c r="EP329" s="18"/>
      <c r="EQ329" s="18"/>
      <c r="ER329" s="18"/>
      <c r="ES329" s="18"/>
      <c r="ET329" s="18"/>
      <c r="EU329" s="18"/>
      <c r="EV329" s="18"/>
      <c r="EW329" s="18"/>
    </row>
    <row r="330" spans="1:153" ht="14" x14ac:dyDescent="0.2">
      <c r="A330" s="18" t="s">
        <v>828</v>
      </c>
      <c r="B330" s="18"/>
      <c r="C330" s="18">
        <v>0</v>
      </c>
      <c r="D330" s="18">
        <v>0</v>
      </c>
      <c r="E330" s="18">
        <v>0</v>
      </c>
      <c r="F330" s="18">
        <v>0</v>
      </c>
      <c r="G330" s="18">
        <v>1.1068694999999962E-2</v>
      </c>
      <c r="H330" s="24">
        <v>1.1068694999999962E-2</v>
      </c>
      <c r="I330" s="24">
        <v>1.1068694999999962E-2</v>
      </c>
      <c r="J330" s="24">
        <v>1.1068694999999962E-2</v>
      </c>
      <c r="K330" s="24">
        <v>1.1068694999999962E-2</v>
      </c>
      <c r="L330" s="24">
        <v>1.1068694999999962E-2</v>
      </c>
      <c r="M330" s="24">
        <v>1.1068694999999962E-2</v>
      </c>
      <c r="N330" s="24">
        <v>1.1068694999999962E-2</v>
      </c>
      <c r="O330" s="24">
        <v>1.1068694999999962E-2</v>
      </c>
      <c r="P330" s="24">
        <v>1.1068694999999962E-2</v>
      </c>
      <c r="Q330" s="24">
        <v>1.1068694999999962E-2</v>
      </c>
      <c r="R330" s="24">
        <v>1.1068694999999962E-2</v>
      </c>
      <c r="S330" s="24">
        <v>0.14011491799999998</v>
      </c>
      <c r="T330" s="24">
        <v>0.14011491799999998</v>
      </c>
      <c r="U330" s="24">
        <v>0.14011491799999998</v>
      </c>
      <c r="V330" s="24">
        <v>0.14011491799999998</v>
      </c>
      <c r="W330" s="24">
        <v>0.14011491799999998</v>
      </c>
      <c r="X330" s="24">
        <v>0.14011491799999998</v>
      </c>
      <c r="Y330" s="24">
        <v>0.14011491799999998</v>
      </c>
      <c r="Z330" s="24">
        <v>0.14011491799999998</v>
      </c>
      <c r="AA330" s="24">
        <v>0.14011491799999998</v>
      </c>
      <c r="AB330" s="24">
        <v>0.14011491799999998</v>
      </c>
      <c r="AC330" s="24">
        <v>0.14011491799999998</v>
      </c>
      <c r="AD330" s="24">
        <v>0.14011491799999998</v>
      </c>
      <c r="AE330" s="18">
        <v>0</v>
      </c>
      <c r="AF330" s="18">
        <v>0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  <c r="AL330" s="18">
        <v>0</v>
      </c>
      <c r="AM330" s="18">
        <v>0</v>
      </c>
      <c r="AN330" s="18">
        <v>0</v>
      </c>
      <c r="AO330" s="18">
        <v>0</v>
      </c>
      <c r="AP330" s="18">
        <v>0</v>
      </c>
      <c r="AQ330" s="24">
        <v>1.5206901999999967E-2</v>
      </c>
      <c r="AR330" s="18">
        <v>5.9982194000000044E-2</v>
      </c>
      <c r="AS330" s="18">
        <v>0</v>
      </c>
      <c r="AT330" s="18">
        <v>0</v>
      </c>
      <c r="AU330" s="24">
        <v>0</v>
      </c>
      <c r="AV330" s="18">
        <v>0</v>
      </c>
      <c r="AW330" s="18">
        <v>0</v>
      </c>
      <c r="AX330" s="18">
        <v>0</v>
      </c>
      <c r="AY330" s="18">
        <v>0</v>
      </c>
      <c r="AZ330" s="18">
        <v>0</v>
      </c>
      <c r="BA330" s="18">
        <v>0</v>
      </c>
      <c r="BB330" s="18">
        <v>0</v>
      </c>
      <c r="BC330" s="18">
        <v>0</v>
      </c>
      <c r="BD330" s="18">
        <v>0</v>
      </c>
      <c r="BE330" s="18">
        <v>0</v>
      </c>
      <c r="BF330" s="18">
        <v>1.0286921708185053E-2</v>
      </c>
      <c r="BG330" s="18">
        <v>0.01</v>
      </c>
      <c r="BH330" s="18">
        <v>5.2828090244677467E-3</v>
      </c>
      <c r="BI330" s="18">
        <v>4.91460781289436E-3</v>
      </c>
      <c r="BJ330" s="18">
        <v>5.96406796675475E-3</v>
      </c>
      <c r="BK330" s="18">
        <v>2.8360199632859111E-3</v>
      </c>
      <c r="BL330" s="18">
        <v>1.3000000000000012E-2</v>
      </c>
      <c r="BM330" s="18">
        <v>2.0000000000000018E-2</v>
      </c>
      <c r="BN330" s="18">
        <v>2.0000000000000018E-2</v>
      </c>
      <c r="BO330" s="18">
        <v>2.4000000000000021E-2</v>
      </c>
      <c r="BP330" s="18">
        <v>0</v>
      </c>
      <c r="BQ330" s="18">
        <v>0</v>
      </c>
      <c r="BR330" s="18">
        <v>0</v>
      </c>
      <c r="BS330" s="18">
        <v>0</v>
      </c>
      <c r="BT330" s="18">
        <v>0</v>
      </c>
      <c r="BU330" s="18">
        <v>0</v>
      </c>
      <c r="BV330" s="18">
        <v>0</v>
      </c>
      <c r="BW330" s="18">
        <v>0</v>
      </c>
      <c r="BX330" s="18">
        <v>0</v>
      </c>
      <c r="BY330" s="18">
        <v>0</v>
      </c>
      <c r="BZ330" s="18">
        <v>0</v>
      </c>
      <c r="CA330" s="18">
        <v>0</v>
      </c>
      <c r="CB330" s="18">
        <v>0</v>
      </c>
      <c r="CC330" s="18">
        <v>0</v>
      </c>
      <c r="CD330" s="18">
        <v>0</v>
      </c>
      <c r="CE330" s="18">
        <v>0</v>
      </c>
      <c r="CF330" s="18">
        <v>0</v>
      </c>
      <c r="CG330" s="18">
        <v>0</v>
      </c>
      <c r="CH330" s="18">
        <v>0.01</v>
      </c>
      <c r="CI330" s="18">
        <v>0.36099999999999999</v>
      </c>
      <c r="CJ330" s="18">
        <v>0.15700000000000003</v>
      </c>
      <c r="CK330" s="18">
        <v>5.3999999999999604E-3</v>
      </c>
      <c r="CL330" s="18">
        <v>3.9000000000000146E-3</v>
      </c>
      <c r="CM330" s="18">
        <v>9.000000000000119E-4</v>
      </c>
      <c r="CN330" s="18">
        <v>0</v>
      </c>
      <c r="CO330" s="18">
        <v>6.0000000000004494E-4</v>
      </c>
      <c r="CP330" s="18">
        <v>0</v>
      </c>
      <c r="CQ330" s="18">
        <v>0</v>
      </c>
      <c r="CR330" s="18">
        <v>0</v>
      </c>
      <c r="CS330" s="18">
        <v>0</v>
      </c>
      <c r="CT330" s="18">
        <v>3.0000000000000027E-3</v>
      </c>
      <c r="CU330" s="18">
        <v>8.2999999999999963E-2</v>
      </c>
      <c r="CV330" s="18">
        <v>7.5999999999999956E-2</v>
      </c>
      <c r="CW330" s="18">
        <v>8.0999999999999961E-2</v>
      </c>
      <c r="CX330" s="18">
        <v>0</v>
      </c>
      <c r="CY330" s="18">
        <v>0</v>
      </c>
      <c r="CZ330" s="18">
        <v>0</v>
      </c>
      <c r="DA330" s="18">
        <v>0</v>
      </c>
      <c r="DB330" s="18">
        <v>0</v>
      </c>
      <c r="DC330" s="18">
        <v>0</v>
      </c>
      <c r="DD330" s="18">
        <v>0</v>
      </c>
      <c r="DE330" s="18">
        <v>0</v>
      </c>
      <c r="DF330" s="18">
        <v>0</v>
      </c>
      <c r="DG330" s="18">
        <v>0</v>
      </c>
      <c r="DH330" s="18">
        <v>0</v>
      </c>
      <c r="DI330" s="18">
        <v>0</v>
      </c>
      <c r="DJ330" s="18">
        <v>0</v>
      </c>
      <c r="DK330" s="18">
        <v>0</v>
      </c>
      <c r="DL330" s="18">
        <v>0</v>
      </c>
      <c r="DM330" s="18">
        <v>0</v>
      </c>
      <c r="DN330" s="18">
        <v>0</v>
      </c>
      <c r="DO330" s="18">
        <v>0</v>
      </c>
      <c r="DP330" s="18">
        <v>0</v>
      </c>
      <c r="DQ330" s="18">
        <v>0</v>
      </c>
      <c r="DR330" s="18">
        <v>0</v>
      </c>
      <c r="DS330" s="18">
        <v>0</v>
      </c>
      <c r="DT330" s="18">
        <v>0</v>
      </c>
      <c r="DU330" s="18">
        <v>0</v>
      </c>
      <c r="DV330" s="18">
        <v>0</v>
      </c>
      <c r="DW330" s="18">
        <v>0</v>
      </c>
      <c r="DX330" s="18">
        <v>0</v>
      </c>
      <c r="DY330" s="18">
        <v>8.3799999999999986E-2</v>
      </c>
      <c r="DZ330" s="18">
        <v>0.12019999999999997</v>
      </c>
      <c r="EA330" s="18">
        <v>0.11799999999999999</v>
      </c>
      <c r="EB330" s="18">
        <v>0</v>
      </c>
      <c r="EC330" s="18">
        <v>0</v>
      </c>
      <c r="ED330" s="18">
        <v>0</v>
      </c>
      <c r="EE330" s="18">
        <v>0</v>
      </c>
      <c r="EF330" s="18">
        <v>0</v>
      </c>
      <c r="EG330" s="18">
        <v>0</v>
      </c>
      <c r="EH330" s="18">
        <v>0</v>
      </c>
      <c r="EI330" s="18">
        <v>0</v>
      </c>
      <c r="EJ330" s="18">
        <v>0</v>
      </c>
      <c r="EK330" s="18">
        <v>0</v>
      </c>
      <c r="EL330" s="18">
        <v>0</v>
      </c>
      <c r="EM330" s="18">
        <v>0</v>
      </c>
      <c r="EN330" s="18">
        <v>0</v>
      </c>
      <c r="EO330" s="18">
        <v>0</v>
      </c>
      <c r="EP330" s="18">
        <v>0</v>
      </c>
      <c r="EQ330" s="18">
        <v>0</v>
      </c>
      <c r="ER330" s="18">
        <v>8.3799999999999986E-2</v>
      </c>
      <c r="ES330" s="18">
        <v>0</v>
      </c>
      <c r="ET330" s="18">
        <v>0</v>
      </c>
      <c r="EU330" s="18">
        <v>0.17000000000000004</v>
      </c>
      <c r="EV330" s="18">
        <v>0</v>
      </c>
      <c r="EW330" s="18">
        <v>4.8999999999999998E-3</v>
      </c>
    </row>
    <row r="331" spans="1:153" ht="14" x14ac:dyDescent="0.2">
      <c r="A331" s="18" t="s">
        <v>829</v>
      </c>
      <c r="B331" s="18"/>
      <c r="C331" s="18">
        <v>0</v>
      </c>
      <c r="D331" s="18">
        <v>0</v>
      </c>
      <c r="E331" s="18">
        <v>0</v>
      </c>
      <c r="F331" s="18">
        <v>0</v>
      </c>
      <c r="G331" s="18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24"/>
      <c r="AR331" s="18"/>
      <c r="AS331" s="18"/>
      <c r="AT331" s="18"/>
      <c r="AU331" s="24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  <c r="DI331" s="18"/>
      <c r="DJ331" s="18"/>
      <c r="DK331" s="18"/>
      <c r="DL331" s="18"/>
      <c r="DM331" s="18"/>
      <c r="DN331" s="18"/>
      <c r="DO331" s="18"/>
      <c r="DP331" s="18"/>
      <c r="DQ331" s="18"/>
      <c r="DR331" s="18"/>
      <c r="DS331" s="18"/>
      <c r="DT331" s="18"/>
      <c r="DU331" s="18"/>
      <c r="DV331" s="18"/>
      <c r="DW331" s="18"/>
      <c r="DX331" s="18"/>
      <c r="DY331" s="18"/>
      <c r="DZ331" s="18"/>
      <c r="EA331" s="18"/>
      <c r="EB331" s="18"/>
      <c r="EC331" s="18"/>
      <c r="ED331" s="18"/>
      <c r="EE331" s="18"/>
      <c r="EF331" s="18"/>
      <c r="EG331" s="18"/>
      <c r="EH331" s="18"/>
      <c r="EI331" s="18"/>
      <c r="EJ331" s="18"/>
      <c r="EK331" s="18"/>
      <c r="EL331" s="18"/>
      <c r="EM331" s="18"/>
      <c r="EN331" s="18"/>
      <c r="EO331" s="18"/>
      <c r="EP331" s="18"/>
      <c r="EQ331" s="18"/>
      <c r="ER331" s="18"/>
      <c r="ES331" s="18"/>
      <c r="ET331" s="18"/>
      <c r="EU331" s="18"/>
      <c r="EV331" s="18"/>
      <c r="EW331" s="18"/>
    </row>
    <row r="332" spans="1:153" x14ac:dyDescent="0.2"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Q332" s="29"/>
      <c r="AU332" s="29"/>
    </row>
    <row r="333" spans="1:153" x14ac:dyDescent="0.2"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Q333" s="29"/>
      <c r="AU333" s="29"/>
    </row>
    <row r="334" spans="1:153" x14ac:dyDescent="0.2"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Q334" s="29"/>
      <c r="AU334" s="29"/>
    </row>
    <row r="335" spans="1:153" x14ac:dyDescent="0.2"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</row>
    <row r="336" spans="1:153" x14ac:dyDescent="0.2"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</row>
    <row r="337" spans="8:30" x14ac:dyDescent="0.2"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</row>
    <row r="338" spans="8:30" x14ac:dyDescent="0.2"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</row>
    <row r="339" spans="8:30" x14ac:dyDescent="0.2"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</row>
    <row r="340" spans="8:30" x14ac:dyDescent="0.2"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</row>
    <row r="341" spans="8:30" x14ac:dyDescent="0.2"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D8B7-A0F1-BE47-A404-46DA2BB3111E}">
  <dimension ref="A1:B52"/>
  <sheetViews>
    <sheetView topLeftCell="A35" workbookViewId="0">
      <selection activeCell="C60" sqref="C60"/>
    </sheetView>
  </sheetViews>
  <sheetFormatPr baseColWidth="10" defaultRowHeight="16" x14ac:dyDescent="0.2"/>
  <cols>
    <col min="2" max="2" width="85.5" style="4" customWidth="1"/>
  </cols>
  <sheetData>
    <row r="1" spans="1:2" x14ac:dyDescent="0.2">
      <c r="A1" s="7" t="s">
        <v>826</v>
      </c>
      <c r="B1" s="8" t="s">
        <v>837</v>
      </c>
    </row>
    <row r="2" spans="1:2" x14ac:dyDescent="0.2">
      <c r="A2" s="9" t="s">
        <v>1</v>
      </c>
      <c r="B2" s="6" t="s">
        <v>835</v>
      </c>
    </row>
    <row r="3" spans="1:2" x14ac:dyDescent="0.2">
      <c r="A3" s="9" t="s">
        <v>291</v>
      </c>
      <c r="B3" s="6" t="s">
        <v>835</v>
      </c>
    </row>
    <row r="4" spans="1:2" x14ac:dyDescent="0.2">
      <c r="A4" s="9" t="s">
        <v>292</v>
      </c>
      <c r="B4" s="6" t="s">
        <v>835</v>
      </c>
    </row>
    <row r="5" spans="1:2" x14ac:dyDescent="0.2">
      <c r="A5" s="9" t="s">
        <v>293</v>
      </c>
      <c r="B5" s="6" t="s">
        <v>835</v>
      </c>
    </row>
    <row r="6" spans="1:2" x14ac:dyDescent="0.2">
      <c r="A6" s="9" t="s">
        <v>295</v>
      </c>
      <c r="B6" s="6" t="s">
        <v>835</v>
      </c>
    </row>
    <row r="7" spans="1:2" x14ac:dyDescent="0.2">
      <c r="A7" s="9" t="s">
        <v>299</v>
      </c>
      <c r="B7" s="6" t="s">
        <v>835</v>
      </c>
    </row>
    <row r="8" spans="1:2" x14ac:dyDescent="0.2">
      <c r="A8" s="9" t="s">
        <v>380</v>
      </c>
      <c r="B8" s="6" t="s">
        <v>835</v>
      </c>
    </row>
    <row r="9" spans="1:2" x14ac:dyDescent="0.2">
      <c r="A9" s="10" t="s">
        <v>297</v>
      </c>
      <c r="B9" s="6" t="s">
        <v>835</v>
      </c>
    </row>
    <row r="10" spans="1:2" x14ac:dyDescent="0.2">
      <c r="A10" s="9" t="s">
        <v>366</v>
      </c>
      <c r="B10" s="6" t="s">
        <v>835</v>
      </c>
    </row>
    <row r="11" spans="1:2" x14ac:dyDescent="0.2">
      <c r="A11" s="9" t="s">
        <v>300</v>
      </c>
      <c r="B11" s="6" t="s">
        <v>835</v>
      </c>
    </row>
    <row r="12" spans="1:2" x14ac:dyDescent="0.2">
      <c r="A12" s="9" t="s">
        <v>386</v>
      </c>
      <c r="B12" s="6" t="s">
        <v>835</v>
      </c>
    </row>
    <row r="13" spans="1:2" x14ac:dyDescent="0.2">
      <c r="A13" s="9" t="s">
        <v>396</v>
      </c>
      <c r="B13" s="6" t="s">
        <v>835</v>
      </c>
    </row>
    <row r="14" spans="1:2" x14ac:dyDescent="0.2">
      <c r="A14" s="9" t="s">
        <v>399</v>
      </c>
      <c r="B14" s="6" t="s">
        <v>835</v>
      </c>
    </row>
    <row r="15" spans="1:2" x14ac:dyDescent="0.2">
      <c r="A15" s="9" t="s">
        <v>404</v>
      </c>
      <c r="B15" s="6" t="s">
        <v>835</v>
      </c>
    </row>
    <row r="16" spans="1:2" x14ac:dyDescent="0.2">
      <c r="A16" s="9" t="s">
        <v>387</v>
      </c>
      <c r="B16" s="6" t="s">
        <v>835</v>
      </c>
    </row>
    <row r="17" spans="1:2" x14ac:dyDescent="0.2">
      <c r="A17" s="9" t="s">
        <v>402</v>
      </c>
      <c r="B17" s="6" t="s">
        <v>835</v>
      </c>
    </row>
    <row r="18" spans="1:2" x14ac:dyDescent="0.2">
      <c r="A18" s="9" t="s">
        <v>413</v>
      </c>
      <c r="B18" s="6" t="s">
        <v>835</v>
      </c>
    </row>
    <row r="19" spans="1:2" x14ac:dyDescent="0.2">
      <c r="A19" s="9" t="s">
        <v>420</v>
      </c>
      <c r="B19" s="6" t="s">
        <v>835</v>
      </c>
    </row>
    <row r="20" spans="1:2" x14ac:dyDescent="0.2">
      <c r="A20" s="9" t="s">
        <v>426</v>
      </c>
      <c r="B20" s="6" t="s">
        <v>835</v>
      </c>
    </row>
    <row r="21" spans="1:2" x14ac:dyDescent="0.2">
      <c r="A21" s="9" t="s">
        <v>427</v>
      </c>
      <c r="B21" s="6" t="s">
        <v>835</v>
      </c>
    </row>
    <row r="22" spans="1:2" x14ac:dyDescent="0.2">
      <c r="A22" s="9" t="s">
        <v>428</v>
      </c>
      <c r="B22" s="6" t="s">
        <v>835</v>
      </c>
    </row>
    <row r="23" spans="1:2" x14ac:dyDescent="0.2">
      <c r="A23" s="9" t="s">
        <v>870</v>
      </c>
      <c r="B23" s="6" t="s">
        <v>835</v>
      </c>
    </row>
    <row r="24" spans="1:2" x14ac:dyDescent="0.2">
      <c r="A24" s="9" t="s">
        <v>871</v>
      </c>
      <c r="B24" s="6" t="s">
        <v>835</v>
      </c>
    </row>
    <row r="25" spans="1:2" x14ac:dyDescent="0.2">
      <c r="A25" s="9" t="s">
        <v>848</v>
      </c>
      <c r="B25" s="6" t="s">
        <v>835</v>
      </c>
    </row>
    <row r="26" spans="1:2" x14ac:dyDescent="0.2">
      <c r="A26" s="9" t="s">
        <v>859</v>
      </c>
      <c r="B26" s="6" t="s">
        <v>835</v>
      </c>
    </row>
    <row r="27" spans="1:2" x14ac:dyDescent="0.2">
      <c r="A27" s="9" t="s">
        <v>864</v>
      </c>
      <c r="B27" s="6" t="s">
        <v>835</v>
      </c>
    </row>
    <row r="28" spans="1:2" x14ac:dyDescent="0.2">
      <c r="A28" s="9" t="s">
        <v>430</v>
      </c>
      <c r="B28" s="6" t="s">
        <v>835</v>
      </c>
    </row>
    <row r="29" spans="1:2" x14ac:dyDescent="0.2">
      <c r="A29" s="9" t="s">
        <v>437</v>
      </c>
      <c r="B29" s="6" t="s">
        <v>835</v>
      </c>
    </row>
    <row r="30" spans="1:2" x14ac:dyDescent="0.2">
      <c r="A30" s="9" t="s">
        <v>443</v>
      </c>
      <c r="B30" s="6" t="s">
        <v>835</v>
      </c>
    </row>
    <row r="31" spans="1:2" ht="30" x14ac:dyDescent="0.2">
      <c r="A31" s="9" t="s">
        <v>445</v>
      </c>
      <c r="B31" s="6" t="s">
        <v>838</v>
      </c>
    </row>
    <row r="32" spans="1:2" ht="30" x14ac:dyDescent="0.2">
      <c r="A32" s="9" t="s">
        <v>449</v>
      </c>
      <c r="B32" s="6" t="s">
        <v>838</v>
      </c>
    </row>
    <row r="33" spans="1:2" ht="30" x14ac:dyDescent="0.2">
      <c r="A33" s="9" t="s">
        <v>450</v>
      </c>
      <c r="B33" s="6" t="s">
        <v>838</v>
      </c>
    </row>
    <row r="34" spans="1:2" x14ac:dyDescent="0.2">
      <c r="A34" s="9" t="s">
        <v>451</v>
      </c>
      <c r="B34" s="6" t="s">
        <v>835</v>
      </c>
    </row>
    <row r="35" spans="1:2" x14ac:dyDescent="0.2">
      <c r="A35" s="9" t="s">
        <v>459</v>
      </c>
      <c r="B35" s="6" t="s">
        <v>835</v>
      </c>
    </row>
    <row r="36" spans="1:2" x14ac:dyDescent="0.2">
      <c r="A36" s="9" t="s">
        <v>463</v>
      </c>
      <c r="B36" s="6" t="s">
        <v>835</v>
      </c>
    </row>
    <row r="37" spans="1:2" x14ac:dyDescent="0.2">
      <c r="A37" s="9" t="s">
        <v>391</v>
      </c>
      <c r="B37" s="6" t="s">
        <v>835</v>
      </c>
    </row>
    <row r="38" spans="1:2" ht="30" x14ac:dyDescent="0.2">
      <c r="A38" s="9" t="s">
        <v>473</v>
      </c>
      <c r="B38" s="6" t="s">
        <v>836</v>
      </c>
    </row>
    <row r="39" spans="1:2" ht="30" x14ac:dyDescent="0.2">
      <c r="A39" s="9" t="s">
        <v>476</v>
      </c>
      <c r="B39" s="6" t="s">
        <v>836</v>
      </c>
    </row>
    <row r="40" spans="1:2" ht="30" x14ac:dyDescent="0.2">
      <c r="A40" s="9" t="s">
        <v>478</v>
      </c>
      <c r="B40" s="6" t="s">
        <v>836</v>
      </c>
    </row>
    <row r="41" spans="1:2" x14ac:dyDescent="0.2">
      <c r="A41" s="9" t="s">
        <v>496</v>
      </c>
      <c r="B41" s="6" t="s">
        <v>835</v>
      </c>
    </row>
    <row r="42" spans="1:2" x14ac:dyDescent="0.2">
      <c r="A42" s="9" t="s">
        <v>503</v>
      </c>
      <c r="B42" s="6" t="s">
        <v>835</v>
      </c>
    </row>
    <row r="43" spans="1:2" x14ac:dyDescent="0.2">
      <c r="A43" s="5" t="s">
        <v>873</v>
      </c>
      <c r="B43" s="6" t="s">
        <v>835</v>
      </c>
    </row>
    <row r="44" spans="1:2" x14ac:dyDescent="0.2">
      <c r="A44" s="5" t="s">
        <v>878</v>
      </c>
      <c r="B44" s="6" t="s">
        <v>835</v>
      </c>
    </row>
    <row r="45" spans="1:2" x14ac:dyDescent="0.2">
      <c r="A45" s="5" t="s">
        <v>881</v>
      </c>
      <c r="B45" s="6" t="s">
        <v>835</v>
      </c>
    </row>
    <row r="46" spans="1:2" x14ac:dyDescent="0.2">
      <c r="A46" s="5" t="s">
        <v>885</v>
      </c>
      <c r="B46" s="6" t="s">
        <v>835</v>
      </c>
    </row>
    <row r="47" spans="1:2" x14ac:dyDescent="0.2">
      <c r="A47" s="5" t="s">
        <v>890</v>
      </c>
      <c r="B47" s="6" t="s">
        <v>835</v>
      </c>
    </row>
    <row r="48" spans="1:2" x14ac:dyDescent="0.2">
      <c r="A48" s="5" t="s">
        <v>894</v>
      </c>
      <c r="B48" s="6" t="s">
        <v>835</v>
      </c>
    </row>
    <row r="49" spans="1:2" x14ac:dyDescent="0.2">
      <c r="A49" s="5" t="s">
        <v>899</v>
      </c>
      <c r="B49" s="6" t="s">
        <v>835</v>
      </c>
    </row>
    <row r="50" spans="1:2" x14ac:dyDescent="0.2">
      <c r="A50" s="5" t="s">
        <v>903</v>
      </c>
      <c r="B50" s="6" t="s">
        <v>835</v>
      </c>
    </row>
    <row r="51" spans="1:2" x14ac:dyDescent="0.2">
      <c r="A51" s="5" t="s">
        <v>905</v>
      </c>
      <c r="B51" s="6" t="s">
        <v>835</v>
      </c>
    </row>
    <row r="52" spans="1:2" x14ac:dyDescent="0.2">
      <c r="A52" s="5" t="s">
        <v>908</v>
      </c>
      <c r="B52" s="6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python_inputs</vt:lpstr>
      <vt:lpstr>read_me </vt:lpstr>
      <vt:lpstr>vertical_input</vt:lpstr>
      <vt:lpstr>adjustment_explanation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Annelise Gill-Wiehl</cp:lastModifiedBy>
  <dcterms:created xsi:type="dcterms:W3CDTF">2022-04-13T01:00:46Z</dcterms:created>
  <dcterms:modified xsi:type="dcterms:W3CDTF">2023-12-12T21:21:51Z</dcterms:modified>
</cp:coreProperties>
</file>