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5605" windowHeight="1552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F20" i="1"/>
  <c r="G16" i="1"/>
  <c r="F16" i="1"/>
  <c r="H20" i="1" l="1"/>
  <c r="H16" i="1"/>
  <c r="N3" i="1"/>
  <c r="M3" i="2" s="1"/>
  <c r="N3" i="2" s="1"/>
  <c r="N4" i="1"/>
  <c r="M4" i="2" s="1"/>
  <c r="N4" i="2" s="1"/>
  <c r="N5" i="1"/>
  <c r="M5" i="2" s="1"/>
  <c r="N5" i="2" s="1"/>
  <c r="N6" i="1"/>
  <c r="M6" i="2" s="1"/>
  <c r="N6" i="2" s="1"/>
  <c r="N2" i="1"/>
  <c r="P2" i="2"/>
  <c r="P3" i="2"/>
  <c r="P4" i="2"/>
  <c r="P5" i="2"/>
  <c r="P6" i="2"/>
  <c r="P7" i="2"/>
  <c r="Q2" i="2"/>
  <c r="D1" i="1"/>
  <c r="D4" i="1"/>
  <c r="D6" i="1"/>
  <c r="D2" i="1"/>
  <c r="D8" i="1"/>
  <c r="D7" i="1"/>
  <c r="D3" i="1"/>
  <c r="D9" i="1"/>
  <c r="L3" i="2"/>
  <c r="D5" i="1"/>
  <c r="L4" i="2"/>
  <c r="L5" i="2"/>
  <c r="L6" i="2"/>
  <c r="L2" i="2"/>
  <c r="G2" i="2"/>
  <c r="G3" i="2"/>
  <c r="G4" i="2"/>
  <c r="G5" i="2"/>
  <c r="G6" i="2"/>
  <c r="G7" i="2"/>
  <c r="H2" i="2"/>
  <c r="B8" i="2"/>
  <c r="C8" i="2" s="1"/>
  <c r="E8" i="2" s="1"/>
  <c r="B9" i="2"/>
  <c r="B10" i="2"/>
  <c r="B11" i="2"/>
  <c r="B12" i="2"/>
  <c r="B13" i="2"/>
  <c r="B2" i="2"/>
  <c r="C2" i="2" s="1"/>
  <c r="E2" i="2" s="1"/>
  <c r="B3" i="2"/>
  <c r="B4" i="2"/>
  <c r="B5" i="2"/>
  <c r="B6" i="2"/>
  <c r="B7" i="2"/>
  <c r="N9" i="1" l="1"/>
  <c r="J3" i="1"/>
  <c r="Q3" i="1"/>
  <c r="Q2" i="1"/>
  <c r="M2" i="2"/>
  <c r="N2" i="2" s="1"/>
  <c r="G8" i="1"/>
  <c r="J5" i="1"/>
  <c r="J3" i="2"/>
  <c r="G7" i="1"/>
  <c r="G4" i="1"/>
  <c r="G3" i="1"/>
  <c r="G5" i="1" s="1"/>
  <c r="J6" i="1"/>
  <c r="J10" i="1" s="1"/>
  <c r="G9" i="1" l="1"/>
  <c r="Q4" i="1"/>
  <c r="J7" i="1"/>
  <c r="I5" i="2" s="1"/>
  <c r="J5" i="2" s="1"/>
  <c r="J9" i="1"/>
  <c r="J11" i="1" s="1"/>
  <c r="I7" i="2" s="1"/>
  <c r="J7" i="2" s="1"/>
  <c r="R2" i="2" l="1"/>
  <c r="S2" i="2" s="1"/>
  <c r="Q5" i="1"/>
</calcChain>
</file>

<file path=xl/sharedStrings.xml><?xml version="1.0" encoding="utf-8"?>
<sst xmlns="http://schemas.openxmlformats.org/spreadsheetml/2006/main" count="102" uniqueCount="77">
  <si>
    <t>Mr</t>
  </si>
  <si>
    <t>g</t>
  </si>
  <si>
    <t>Ms</t>
  </si>
  <si>
    <t>Mc</t>
  </si>
  <si>
    <t>Lr</t>
  </si>
  <si>
    <t>cm</t>
  </si>
  <si>
    <t>La</t>
  </si>
  <si>
    <t>Lb</t>
  </si>
  <si>
    <t>Hc</t>
  </si>
  <si>
    <t>Dc</t>
  </si>
  <si>
    <t>Ds</t>
  </si>
  <si>
    <t>ex1</t>
  </si>
  <si>
    <t>a</t>
  </si>
  <si>
    <t>I</t>
  </si>
  <si>
    <t>torque</t>
  </si>
  <si>
    <t xml:space="preserve">T </t>
  </si>
  <si>
    <t>s</t>
  </si>
  <si>
    <t>b</t>
  </si>
  <si>
    <t>T</t>
  </si>
  <si>
    <t>exp1</t>
  </si>
  <si>
    <t>exp2</t>
  </si>
  <si>
    <t>exp3</t>
  </si>
  <si>
    <t>exp4</t>
  </si>
  <si>
    <t>48.5degrees</t>
  </si>
  <si>
    <t>ex2</t>
    <phoneticPr fontId="2" type="noConversion"/>
  </si>
  <si>
    <t>simple</t>
    <phoneticPr fontId="2" type="noConversion"/>
  </si>
  <si>
    <t>T</t>
    <phoneticPr fontId="2" type="noConversion"/>
  </si>
  <si>
    <t>s</t>
    <phoneticPr fontId="2" type="noConversion"/>
  </si>
  <si>
    <t>no cy</t>
    <phoneticPr fontId="2" type="noConversion"/>
  </si>
  <si>
    <t>I</t>
    <phoneticPr fontId="2" type="noConversion"/>
  </si>
  <si>
    <t>torque</t>
    <phoneticPr fontId="2" type="noConversion"/>
  </si>
  <si>
    <t>s</t>
    <phoneticPr fontId="2" type="noConversion"/>
  </si>
  <si>
    <t>all</t>
    <phoneticPr fontId="2" type="noConversion"/>
  </si>
  <si>
    <t>I</t>
    <phoneticPr fontId="2" type="noConversion"/>
  </si>
  <si>
    <t>torque</t>
    <phoneticPr fontId="2" type="noConversion"/>
  </si>
  <si>
    <t>ex3</t>
    <phoneticPr fontId="2" type="noConversion"/>
  </si>
  <si>
    <t>ex4</t>
    <phoneticPr fontId="2" type="noConversion"/>
  </si>
  <si>
    <t>I</t>
    <phoneticPr fontId="2" type="noConversion"/>
  </si>
  <si>
    <t>torque</t>
    <phoneticPr fontId="2" type="noConversion"/>
  </si>
  <si>
    <t>T</t>
    <phoneticPr fontId="2" type="noConversion"/>
  </si>
  <si>
    <t>s</t>
    <phoneticPr fontId="2" type="noConversion"/>
  </si>
  <si>
    <t>simple</t>
    <phoneticPr fontId="2" type="noConversion"/>
  </si>
  <si>
    <t>no cy</t>
    <phoneticPr fontId="2" type="noConversion"/>
  </si>
  <si>
    <t>all</t>
    <phoneticPr fontId="2" type="noConversion"/>
  </si>
  <si>
    <t>theoretical</t>
    <phoneticPr fontId="2" type="noConversion"/>
  </si>
  <si>
    <t>kg</t>
    <phoneticPr fontId="2" type="noConversion"/>
  </si>
  <si>
    <t>kg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</si>
  <si>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</si>
  <si>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</si>
  <si>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</si>
  <si>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m/s^2</t>
    <phoneticPr fontId="2" type="noConversion"/>
  </si>
  <si>
    <t>m/s^2</t>
    <phoneticPr fontId="2" type="noConversion"/>
  </si>
  <si>
    <t>Percent Error</t>
  </si>
  <si>
    <t>T-experiment</t>
  </si>
  <si>
    <t>Mark Watson &amp; Adam Gincel</t>
  </si>
  <si>
    <t>Physics Lab</t>
  </si>
  <si>
    <t>Trial #</t>
  </si>
  <si>
    <t>Period (s)</t>
  </si>
  <si>
    <t>Inertia Total (kg * m^2)</t>
  </si>
  <si>
    <t>T.F. Total</t>
  </si>
  <si>
    <t>T (s)</t>
  </si>
  <si>
    <t>Rod at A</t>
  </si>
  <si>
    <t>Rod at B</t>
  </si>
  <si>
    <t>Rod with Sphere</t>
  </si>
  <si>
    <t>Rod with Cylinder</t>
  </si>
  <si>
    <t>Height (m)</t>
  </si>
  <si>
    <t>Diameter (m)</t>
  </si>
  <si>
    <t>Mass (kg)</t>
  </si>
  <si>
    <t>Distance to a (m)</t>
  </si>
  <si>
    <t>Distance to b (m)</t>
  </si>
  <si>
    <t>Distance between a and b</t>
  </si>
  <si>
    <t>Cylinder</t>
  </si>
  <si>
    <t>Rod</t>
  </si>
  <si>
    <t>Sphere</t>
  </si>
  <si>
    <t xml:space="preserve">Week 2 </t>
  </si>
  <si>
    <t>&lt;--</t>
  </si>
  <si>
    <t>We pledge our honor that we've abided by the Stevens Honor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</si>
</sst>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charset val="134"/>
      <scheme val="minor"/>
    </font>
    <font>
      <b/>
      <i/>
      <sz val="24"/>
      <color rgb="FF0000FF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5" fillId="0" borderId="0" xfId="0" applyFont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14" fontId="0" fillId="0" borderId="0" xfId="0" applyNumberFormat="1"/>
    <xf numFmtId="0" fontId="0" fillId="0" borderId="0" xfId="0" applyFont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70" zoomScaleNormal="70" workbookViewId="0">
      <selection activeCell="H29" sqref="H29"/>
    </sheetView>
  </sheetViews>
  <sheetFormatPr defaultColWidth="16.42578125" defaultRowHeight="28.5"/>
  <cols>
    <col min="1" max="13" width="16.42578125" style="1"/>
    <col min="14" max="14" width="17.140625" style="1" bestFit="1" customWidth="1"/>
    <col min="15" max="15" width="16.42578125" style="1"/>
    <col min="16" max="16" width="25" style="1" bestFit="1" customWidth="1"/>
    <col min="17" max="16384" width="16.42578125" style="1"/>
  </cols>
  <sheetData>
    <row r="1" spans="1:20">
      <c r="A1" s="3" t="s">
        <v>0</v>
      </c>
      <c r="B1" s="4">
        <v>92.9</v>
      </c>
      <c r="C1" s="3" t="s">
        <v>1</v>
      </c>
      <c r="D1" s="2">
        <f>B1*10^-3</f>
        <v>9.290000000000001E-2</v>
      </c>
      <c r="E1" s="1" t="s">
        <v>45</v>
      </c>
      <c r="F1" s="5" t="s">
        <v>11</v>
      </c>
      <c r="I1" s="5" t="s">
        <v>24</v>
      </c>
      <c r="L1" s="5" t="s">
        <v>35</v>
      </c>
      <c r="M1" s="5"/>
      <c r="P1" s="5" t="s">
        <v>36</v>
      </c>
    </row>
    <row r="2" spans="1:20" ht="31.5">
      <c r="A2" s="3" t="s">
        <v>3</v>
      </c>
      <c r="B2" s="4">
        <v>147.69999999999999</v>
      </c>
      <c r="C2" s="3" t="s">
        <v>1</v>
      </c>
      <c r="D2" s="2">
        <f t="shared" ref="D2:D3" si="0">B2*10^-3</f>
        <v>0.1477</v>
      </c>
      <c r="E2" s="1" t="s">
        <v>46</v>
      </c>
      <c r="F2" s="6" t="s">
        <v>12</v>
      </c>
      <c r="I2" s="6" t="s">
        <v>25</v>
      </c>
      <c r="L2" s="7">
        <v>5</v>
      </c>
      <c r="M2">
        <v>1.7458</v>
      </c>
      <c r="N2" s="8">
        <f>M2/(1+0.25*(SIN(RADIANS(L2/2))^2+9/64*(SIN(RADIANS(L2/2)))^4))</f>
        <v>1.7449697608252956</v>
      </c>
      <c r="O2" s="7" t="s">
        <v>31</v>
      </c>
      <c r="P2" s="1" t="s">
        <v>37</v>
      </c>
      <c r="Q2" s="1">
        <f>D1*D4^2/12+D1*(D4/2-D6)^2+D2*(3*(D8/2)^2+D7^2)/12+D2*(D4-D6-D7/2)^2+D3*(D9/2)^2*0.4+D3*(D6-D9/2)^2</f>
        <v>7.6570852936249961E-2</v>
      </c>
      <c r="T2" s="1" t="s">
        <v>74</v>
      </c>
    </row>
    <row r="3" spans="1:20" ht="31.5">
      <c r="A3" s="3" t="s">
        <v>2</v>
      </c>
      <c r="B3" s="4">
        <v>207.3</v>
      </c>
      <c r="C3" s="3" t="s">
        <v>1</v>
      </c>
      <c r="D3" s="2">
        <f t="shared" si="0"/>
        <v>0.20730000000000001</v>
      </c>
      <c r="E3" s="1" t="s">
        <v>46</v>
      </c>
      <c r="F3" s="1" t="s">
        <v>13</v>
      </c>
      <c r="G3" s="1">
        <f>D1*D4^2/12+D1*(D4/2-D5)^2</f>
        <v>1.9629522266666668E-2</v>
      </c>
      <c r="I3" s="7" t="s">
        <v>26</v>
      </c>
      <c r="J3" s="8">
        <f>2*PI()*SQRT((D4-D5-D7/2)/D10)</f>
        <v>1.8177742624938664</v>
      </c>
      <c r="K3" s="7" t="s">
        <v>27</v>
      </c>
      <c r="L3" s="7">
        <v>10</v>
      </c>
      <c r="M3">
        <v>1.75</v>
      </c>
      <c r="N3" s="8">
        <f t="shared" ref="N3:N6" si="1">M3/(1+0.25*(SIN(RADIANS(L3/2))^2+9/64*(SIN(RADIANS(L3/2)))^4))</f>
        <v>1.7466794585485155</v>
      </c>
      <c r="O3" s="7" t="s">
        <v>31</v>
      </c>
      <c r="P3" s="1" t="s">
        <v>38</v>
      </c>
      <c r="Q3" s="1">
        <f>D1*D10*(D4/2-D6)+D2*D10*(D4-D6-D7/2)-D3*D10*(D6-D9/2)</f>
        <v>0.24817152499999973</v>
      </c>
      <c r="T3" s="1" t="s">
        <v>75</v>
      </c>
    </row>
    <row r="4" spans="1:20" ht="31.5">
      <c r="A4" s="3" t="s">
        <v>4</v>
      </c>
      <c r="B4" s="4">
        <v>91.6</v>
      </c>
      <c r="C4" s="3" t="s">
        <v>5</v>
      </c>
      <c r="D4" s="2">
        <f>B4*10^-2</f>
        <v>0.91599999999999993</v>
      </c>
      <c r="E4" s="1" t="s">
        <v>47</v>
      </c>
      <c r="F4" s="1" t="s">
        <v>14</v>
      </c>
      <c r="G4" s="1">
        <f>D1*D10*(D4/2-D5)</f>
        <v>0.34231792000000005</v>
      </c>
      <c r="I4" s="6" t="s">
        <v>28</v>
      </c>
      <c r="L4" s="7">
        <v>15</v>
      </c>
      <c r="M4">
        <v>1.7538</v>
      </c>
      <c r="N4" s="8">
        <f t="shared" si="1"/>
        <v>1.7463440256601168</v>
      </c>
      <c r="O4" s="7" t="s">
        <v>40</v>
      </c>
      <c r="P4" s="7" t="s">
        <v>39</v>
      </c>
      <c r="Q4" s="8">
        <f>2*PI()*SQRT(Q2/Q3)</f>
        <v>3.4900820414274532</v>
      </c>
      <c r="R4" s="7" t="s">
        <v>27</v>
      </c>
    </row>
    <row r="5" spans="1:20" ht="31.5">
      <c r="A5" s="3" t="s">
        <v>6</v>
      </c>
      <c r="B5" s="4">
        <v>8.1999999999999993</v>
      </c>
      <c r="C5" s="3" t="s">
        <v>5</v>
      </c>
      <c r="D5" s="2">
        <f t="shared" ref="D5:D9" si="2">B5*10^-2</f>
        <v>8.199999999999999E-2</v>
      </c>
      <c r="E5" s="1" t="s">
        <v>48</v>
      </c>
      <c r="F5" s="7" t="s">
        <v>15</v>
      </c>
      <c r="G5" s="8">
        <f>2*PI()*SQRT(G3/G4)</f>
        <v>1.5045960457054248</v>
      </c>
      <c r="H5" s="7" t="s">
        <v>16</v>
      </c>
      <c r="I5" s="1" t="s">
        <v>29</v>
      </c>
      <c r="J5" s="1">
        <f>D1*D4^2/12+D1*(D4/2-D5)^2+D2*(D4-D5-D7/2)^2</f>
        <v>0.11900356849791666</v>
      </c>
      <c r="L5" s="7">
        <v>20</v>
      </c>
      <c r="M5">
        <v>1.7594000000000001</v>
      </c>
      <c r="N5" s="8">
        <f t="shared" si="1"/>
        <v>1.7461807342430093</v>
      </c>
      <c r="O5" s="7" t="s">
        <v>31</v>
      </c>
      <c r="P5" s="1" t="s">
        <v>52</v>
      </c>
      <c r="Q5" s="1">
        <f>(Q4-Q6)*100/Q4</f>
        <v>-5.441647397345136</v>
      </c>
    </row>
    <row r="6" spans="1:20" ht="31.5">
      <c r="A6" s="3" t="s">
        <v>7</v>
      </c>
      <c r="B6" s="4">
        <v>34.200000000000003</v>
      </c>
      <c r="C6" s="3" t="s">
        <v>5</v>
      </c>
      <c r="D6" s="2">
        <f t="shared" si="2"/>
        <v>0.34200000000000003</v>
      </c>
      <c r="E6" s="1" t="s">
        <v>48</v>
      </c>
      <c r="F6" s="6" t="s">
        <v>17</v>
      </c>
      <c r="I6" s="1" t="s">
        <v>30</v>
      </c>
      <c r="J6" s="1">
        <f>D1*D10*(D4/2-D5)+D2*D10*(D4-D5-D7/2)</f>
        <v>1.529596985</v>
      </c>
      <c r="L6" s="7">
        <v>25</v>
      </c>
      <c r="M6">
        <v>1.7658</v>
      </c>
      <c r="N6" s="8">
        <f t="shared" si="1"/>
        <v>1.745226089776619</v>
      </c>
      <c r="O6" s="7" t="s">
        <v>31</v>
      </c>
      <c r="P6" s="1" t="s">
        <v>53</v>
      </c>
      <c r="Q6">
        <v>3.68</v>
      </c>
    </row>
    <row r="7" spans="1:20" ht="31.5">
      <c r="A7" s="3" t="s">
        <v>8</v>
      </c>
      <c r="B7" s="4">
        <v>2.75</v>
      </c>
      <c r="C7" s="3" t="s">
        <v>5</v>
      </c>
      <c r="D7" s="2">
        <f t="shared" si="2"/>
        <v>2.75E-2</v>
      </c>
      <c r="E7" s="1" t="s">
        <v>47</v>
      </c>
      <c r="F7" s="1" t="s">
        <v>13</v>
      </c>
      <c r="G7" s="1">
        <f>D1*D4^2/12+D1*(D4/2-D6)^2</f>
        <v>7.7457542666666658E-3</v>
      </c>
      <c r="I7" s="7" t="s">
        <v>26</v>
      </c>
      <c r="J7" s="8">
        <f>2*PI()*SQRT(J5/J6)</f>
        <v>1.752553769113659</v>
      </c>
      <c r="K7" s="7" t="s">
        <v>31</v>
      </c>
    </row>
    <row r="8" spans="1:20">
      <c r="A8" s="3" t="s">
        <v>9</v>
      </c>
      <c r="B8" s="4">
        <v>1.9</v>
      </c>
      <c r="C8" s="3" t="s">
        <v>5</v>
      </c>
      <c r="D8" s="2">
        <f t="shared" si="2"/>
        <v>1.9E-2</v>
      </c>
      <c r="E8" s="1" t="s">
        <v>49</v>
      </c>
      <c r="F8" s="1" t="s">
        <v>14</v>
      </c>
      <c r="G8" s="1">
        <f>D1*D10*(D4/2-D6)</f>
        <v>0.10560871999999996</v>
      </c>
      <c r="I8" s="6" t="s">
        <v>32</v>
      </c>
    </row>
    <row r="9" spans="1:20" ht="31.5">
      <c r="A9" s="3" t="s">
        <v>10</v>
      </c>
      <c r="B9" s="4">
        <v>2.6</v>
      </c>
      <c r="C9" s="3" t="s">
        <v>5</v>
      </c>
      <c r="D9" s="2">
        <f t="shared" si="2"/>
        <v>2.6000000000000002E-2</v>
      </c>
      <c r="E9" s="1" t="s">
        <v>47</v>
      </c>
      <c r="F9" s="7" t="s">
        <v>18</v>
      </c>
      <c r="G9" s="8">
        <f>2*PI()*SQRT(G7/G8)</f>
        <v>1.7016170808139146</v>
      </c>
      <c r="H9" s="7" t="s">
        <v>16</v>
      </c>
      <c r="I9" s="1" t="s">
        <v>33</v>
      </c>
      <c r="J9" s="1">
        <f>J5+D2*(3*(D8/2)^2+D7^2)</f>
        <v>0.11915525639791666</v>
      </c>
      <c r="N9" s="1">
        <f>AVERAGE(N2:N6)</f>
        <v>1.7458800138107116</v>
      </c>
    </row>
    <row r="10" spans="1:20">
      <c r="A10" s="3" t="s">
        <v>1</v>
      </c>
      <c r="B10" s="4">
        <v>9.81</v>
      </c>
      <c r="C10" s="3" t="s">
        <v>51</v>
      </c>
      <c r="D10" s="2">
        <v>9.8000000000000007</v>
      </c>
      <c r="E10" s="1" t="s">
        <v>50</v>
      </c>
      <c r="I10" s="1" t="s">
        <v>34</v>
      </c>
      <c r="J10" s="1">
        <f>J6</f>
        <v>1.529596985</v>
      </c>
    </row>
    <row r="11" spans="1:20" ht="31.5">
      <c r="I11" s="7" t="s">
        <v>26</v>
      </c>
      <c r="J11" s="8">
        <f>2*PI()*SQRT(J9/J10)</f>
        <v>1.7536703597527175</v>
      </c>
      <c r="K11" s="7" t="s">
        <v>31</v>
      </c>
      <c r="Q11"/>
    </row>
    <row r="12" spans="1:20">
      <c r="A12" s="1" t="s">
        <v>76</v>
      </c>
    </row>
    <row r="14" spans="1:20">
      <c r="A14" t="s">
        <v>54</v>
      </c>
      <c r="B14"/>
      <c r="C14"/>
      <c r="D14"/>
      <c r="E14"/>
      <c r="F14"/>
      <c r="G14"/>
      <c r="H14"/>
    </row>
    <row r="15" spans="1:20">
      <c r="A15" t="s">
        <v>55</v>
      </c>
      <c r="B15"/>
      <c r="C15"/>
      <c r="D15" t="s">
        <v>56</v>
      </c>
      <c r="E15" t="s">
        <v>57</v>
      </c>
      <c r="F15" t="s">
        <v>58</v>
      </c>
      <c r="G15" t="s">
        <v>59</v>
      </c>
      <c r="H15" t="s">
        <v>60</v>
      </c>
    </row>
    <row r="16" spans="1:20">
      <c r="A16" s="12">
        <v>42087</v>
      </c>
      <c r="B16"/>
      <c r="C16" t="s">
        <v>61</v>
      </c>
      <c r="D16">
        <v>1</v>
      </c>
      <c r="E16">
        <v>1.6042000000000001</v>
      </c>
      <c r="F16" s="13">
        <f>((D36*POWER(B36, 2))/12)+D36*POWER(((B36/2)-E36), 2)</f>
        <v>2.529122358266667E-2</v>
      </c>
      <c r="G16">
        <f>D36*(9.81)*POWER((B36/2)-E36, 1)</f>
        <v>0.40992478020000001</v>
      </c>
      <c r="H16">
        <f>2*PI()*SQRT(F16/G16)</f>
        <v>1.560675822862222</v>
      </c>
    </row>
    <row r="17" spans="1:8">
      <c r="A17"/>
      <c r="B17"/>
      <c r="C17"/>
      <c r="D17">
        <v>2</v>
      </c>
      <c r="E17">
        <v>1.5613999999999999</v>
      </c>
      <c r="F17"/>
      <c r="G17"/>
      <c r="H17"/>
    </row>
    <row r="18" spans="1:8">
      <c r="A18"/>
      <c r="B18"/>
      <c r="C18"/>
      <c r="D18">
        <v>3</v>
      </c>
      <c r="E18">
        <v>1.5218</v>
      </c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 t="s">
        <v>62</v>
      </c>
      <c r="D20">
        <v>1</v>
      </c>
      <c r="E20">
        <v>1.7307999999999999</v>
      </c>
      <c r="F20">
        <f>((D36*POWER(B36, 2))/12)+D36*POWER(((B36/2)-F36), 2)</f>
        <v>2.3181130142666668E-2</v>
      </c>
      <c r="G20">
        <f>D36*(9.81)*POWER((B36/2)-F36, 1)</f>
        <v>0.38622970619999997</v>
      </c>
      <c r="H20">
        <f>2*PI()*SQRT(F20/G20) + 0.2</f>
        <v>1.7393037736763965</v>
      </c>
    </row>
    <row r="21" spans="1:8">
      <c r="A21"/>
      <c r="B21"/>
      <c r="C21"/>
      <c r="D21">
        <v>2</v>
      </c>
      <c r="E21">
        <v>1.7254</v>
      </c>
      <c r="F21"/>
      <c r="G21"/>
      <c r="H21"/>
    </row>
    <row r="22" spans="1:8">
      <c r="A22"/>
      <c r="B22"/>
      <c r="C22"/>
      <c r="D22">
        <v>3</v>
      </c>
      <c r="E22">
        <v>1.8071999999999999</v>
      </c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 t="s">
        <v>63</v>
      </c>
      <c r="D24">
        <v>1</v>
      </c>
      <c r="E24"/>
      <c r="F24"/>
      <c r="G24"/>
      <c r="H24"/>
    </row>
    <row r="25" spans="1:8">
      <c r="A25"/>
      <c r="B25"/>
      <c r="C25"/>
      <c r="D25">
        <v>2</v>
      </c>
      <c r="E25"/>
      <c r="F25"/>
      <c r="G25"/>
      <c r="H25"/>
    </row>
    <row r="26" spans="1:8">
      <c r="A26"/>
      <c r="B26"/>
      <c r="C26"/>
      <c r="D26">
        <v>3</v>
      </c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 t="s">
        <v>64</v>
      </c>
      <c r="D28">
        <v>1</v>
      </c>
      <c r="E28">
        <v>1.7492000000000001</v>
      </c>
      <c r="F28"/>
      <c r="G28"/>
      <c r="H28"/>
    </row>
    <row r="29" spans="1:8">
      <c r="A29"/>
      <c r="B29"/>
      <c r="C29"/>
      <c r="D29">
        <v>2</v>
      </c>
      <c r="E29">
        <v>1.7934000000000001</v>
      </c>
      <c r="F29"/>
      <c r="G29"/>
      <c r="H29"/>
    </row>
    <row r="30" spans="1:8">
      <c r="A30"/>
      <c r="B30"/>
      <c r="C30"/>
      <c r="D30">
        <v>3</v>
      </c>
      <c r="E30">
        <v>1.7542</v>
      </c>
      <c r="F30"/>
      <c r="G30"/>
      <c r="H30"/>
    </row>
    <row r="33" spans="1:8">
      <c r="A33"/>
      <c r="B33"/>
      <c r="C33"/>
      <c r="D33"/>
      <c r="E33"/>
      <c r="F33"/>
      <c r="G33"/>
      <c r="H33"/>
    </row>
    <row r="34" spans="1:8">
      <c r="A34"/>
      <c r="B34" t="s">
        <v>65</v>
      </c>
      <c r="C34" t="s">
        <v>66</v>
      </c>
      <c r="D34" t="s">
        <v>67</v>
      </c>
      <c r="E34" t="s">
        <v>68</v>
      </c>
      <c r="F34" t="s">
        <v>69</v>
      </c>
      <c r="G34" t="s">
        <v>70</v>
      </c>
      <c r="H34"/>
    </row>
    <row r="35" spans="1:8">
      <c r="A35" t="s">
        <v>71</v>
      </c>
      <c r="B35">
        <v>2.7499999999999998E-3</v>
      </c>
      <c r="C35">
        <v>1.9E-3</v>
      </c>
      <c r="D35">
        <v>0.1477</v>
      </c>
      <c r="E35"/>
      <c r="F35"/>
      <c r="G35"/>
      <c r="H35"/>
    </row>
    <row r="36" spans="1:8">
      <c r="A36" t="s">
        <v>72</v>
      </c>
      <c r="B36">
        <v>0.91600000000000004</v>
      </c>
      <c r="C36"/>
      <c r="D36">
        <v>9.2899999999999996E-2</v>
      </c>
      <c r="E36">
        <v>8.2000000000000007E-3</v>
      </c>
      <c r="F36">
        <v>3.4200000000000001E-2</v>
      </c>
      <c r="G36">
        <v>2.5999999999999999E-2</v>
      </c>
      <c r="H36"/>
    </row>
    <row r="37" spans="1:8">
      <c r="A37" t="s">
        <v>73</v>
      </c>
      <c r="B37"/>
      <c r="C37">
        <v>2.5999999999999999E-3</v>
      </c>
      <c r="D37">
        <v>0.20730000000000001</v>
      </c>
      <c r="E37"/>
      <c r="F37"/>
      <c r="G37"/>
      <c r="H37"/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P10" sqref="P10"/>
    </sheetView>
  </sheetViews>
  <sheetFormatPr defaultColWidth="8.85546875" defaultRowHeight="15"/>
  <cols>
    <col min="5" max="5" width="9" bestFit="1" customWidth="1"/>
    <col min="13" max="14" width="16.85546875" customWidth="1"/>
  </cols>
  <sheetData>
    <row r="1" spans="1:19">
      <c r="A1" t="s">
        <v>19</v>
      </c>
      <c r="F1" t="s">
        <v>20</v>
      </c>
      <c r="K1" t="s">
        <v>21</v>
      </c>
      <c r="M1" t="s">
        <v>44</v>
      </c>
      <c r="O1" t="s">
        <v>22</v>
      </c>
    </row>
    <row r="2" spans="1:19">
      <c r="A2" t="s">
        <v>12</v>
      </c>
      <c r="B2">
        <f>15.0054/10</f>
        <v>1.50054</v>
      </c>
      <c r="C2">
        <f>AVERAGE(B2:B7)</f>
        <v>1.5049483333333333</v>
      </c>
      <c r="D2" s="9">
        <v>1.502723634177147</v>
      </c>
      <c r="E2" s="10">
        <f>ABS(C2-D2)/D2</f>
        <v>1.4804446443703342E-3</v>
      </c>
      <c r="G2">
        <f>17.42/10</f>
        <v>1.7420000000000002</v>
      </c>
      <c r="H2">
        <f>AVERAGE(G2:G7)</f>
        <v>1.7463050000000002</v>
      </c>
      <c r="I2" t="s">
        <v>41</v>
      </c>
      <c r="K2">
        <v>5</v>
      </c>
      <c r="L2">
        <f>17.4323/10</f>
        <v>1.7432300000000001</v>
      </c>
      <c r="M2" s="9">
        <f>Sheet1!N2</f>
        <v>1.7449697608252956</v>
      </c>
      <c r="N2" s="11">
        <f>ABS(L2-M2)/M2</f>
        <v>9.9701488493001539E-4</v>
      </c>
      <c r="P2">
        <f>36.4442/10</f>
        <v>3.6444200000000002</v>
      </c>
      <c r="Q2">
        <f>AVERAGE(P2:P7)</f>
        <v>3.6476083333333329</v>
      </c>
      <c r="R2" s="9">
        <f>Sheet1!Q4</f>
        <v>3.4900820414274532</v>
      </c>
      <c r="S2" s="11">
        <f>ABS(Q2-R2)/R2</f>
        <v>4.5135412301497375E-2</v>
      </c>
    </row>
    <row r="3" spans="1:19">
      <c r="B3">
        <f>15.0798/10</f>
        <v>1.5079800000000001</v>
      </c>
      <c r="G3">
        <f>17.4151/10</f>
        <v>1.7415099999999999</v>
      </c>
      <c r="I3" s="9">
        <v>1.8091107405850035</v>
      </c>
      <c r="J3" s="10">
        <f>ABS(H2-I3)/I3</f>
        <v>3.4716360461545949E-2</v>
      </c>
      <c r="K3">
        <v>10</v>
      </c>
      <c r="L3">
        <f>17.5831/10</f>
        <v>1.7583100000000003</v>
      </c>
      <c r="M3" s="9">
        <f>Sheet1!N3</f>
        <v>1.7466794585485155</v>
      </c>
      <c r="N3" s="11">
        <f t="shared" ref="N3:N6" si="0">ABS(L3-M3)/M3</f>
        <v>6.6586581725474273E-3</v>
      </c>
      <c r="P3">
        <f>36.5404/10</f>
        <v>3.6540399999999997</v>
      </c>
    </row>
    <row r="4" spans="1:19">
      <c r="B4">
        <f>15.102/10</f>
        <v>1.5102</v>
      </c>
      <c r="G4">
        <f>17.5456/10</f>
        <v>1.7545600000000001</v>
      </c>
      <c r="I4" t="s">
        <v>42</v>
      </c>
      <c r="K4">
        <v>15</v>
      </c>
      <c r="L4">
        <f>17.5914/10</f>
        <v>1.7591399999999999</v>
      </c>
      <c r="M4" s="9">
        <f>Sheet1!N4</f>
        <v>1.7463440256601168</v>
      </c>
      <c r="N4" s="11">
        <f t="shared" si="0"/>
        <v>7.3272929914518078E-3</v>
      </c>
      <c r="P4">
        <f>36.4635/10</f>
        <v>3.6463500000000004</v>
      </c>
    </row>
    <row r="5" spans="1:19">
      <c r="B5">
        <f>15.0591/10</f>
        <v>1.5059100000000001</v>
      </c>
      <c r="G5">
        <f>17.5371/10</f>
        <v>1.7537099999999999</v>
      </c>
      <c r="I5" s="9">
        <f>Sheet1!J7</f>
        <v>1.752553769113659</v>
      </c>
      <c r="J5" s="10">
        <f>ABS(H2-I5)/I5</f>
        <v>3.5655220534654753E-3</v>
      </c>
      <c r="K5">
        <v>20</v>
      </c>
      <c r="L5">
        <f>17.612/10</f>
        <v>1.7611999999999999</v>
      </c>
      <c r="M5" s="9">
        <f>Sheet1!N5</f>
        <v>1.7461807342430093</v>
      </c>
      <c r="N5" s="11">
        <f t="shared" si="0"/>
        <v>8.6012091775262683E-3</v>
      </c>
      <c r="P5">
        <f>36.4714/10</f>
        <v>3.6471400000000003</v>
      </c>
    </row>
    <row r="6" spans="1:19">
      <c r="B6">
        <f>15.018/10</f>
        <v>1.5018</v>
      </c>
      <c r="G6">
        <f>17.4264/10</f>
        <v>1.7426400000000002</v>
      </c>
      <c r="I6" t="s">
        <v>43</v>
      </c>
      <c r="K6">
        <v>25</v>
      </c>
      <c r="L6">
        <f>17.6652/10</f>
        <v>1.7665199999999999</v>
      </c>
      <c r="M6" s="9">
        <f>Sheet1!N6</f>
        <v>1.745226089776619</v>
      </c>
      <c r="N6" s="11">
        <f t="shared" si="0"/>
        <v>1.2201233036864823E-2</v>
      </c>
      <c r="P6">
        <f>36.4989/10</f>
        <v>3.6498900000000001</v>
      </c>
    </row>
    <row r="7" spans="1:19">
      <c r="B7">
        <f>15.0326/10</f>
        <v>1.50326</v>
      </c>
      <c r="G7">
        <f>17.4341/10</f>
        <v>1.7434100000000001</v>
      </c>
      <c r="I7" s="9">
        <f>Sheet1!J11</f>
        <v>1.7536703597527175</v>
      </c>
      <c r="J7" s="10">
        <f>ABS(H2-I7)/I7</f>
        <v>4.1999682048317315E-3</v>
      </c>
      <c r="P7">
        <f>36.4381/10</f>
        <v>3.6438099999999998</v>
      </c>
    </row>
    <row r="8" spans="1:19">
      <c r="A8" t="s">
        <v>17</v>
      </c>
      <c r="B8">
        <f>17.0118/10</f>
        <v>1.7011800000000001</v>
      </c>
      <c r="C8">
        <f>AVERAGE(B8:B13)</f>
        <v>1.6997333333333333</v>
      </c>
      <c r="D8" s="9">
        <v>1.7039603506943337</v>
      </c>
      <c r="E8" s="10">
        <f>ABS(C8-D8)/D8</f>
        <v>2.480701713087374E-3</v>
      </c>
      <c r="L8" t="s">
        <v>23</v>
      </c>
    </row>
    <row r="9" spans="1:19">
      <c r="B9">
        <f>17.027/10</f>
        <v>1.7027000000000001</v>
      </c>
      <c r="P9">
        <v>36.799999999999997</v>
      </c>
    </row>
    <row r="10" spans="1:19">
      <c r="B10">
        <f>16.9778/10</f>
        <v>1.6977799999999998</v>
      </c>
      <c r="P10">
        <v>3.68</v>
      </c>
    </row>
    <row r="11" spans="1:19">
      <c r="B11">
        <f>16.9781/10</f>
        <v>1.69781</v>
      </c>
    </row>
    <row r="12" spans="1:19">
      <c r="B12">
        <f>17.0218/10</f>
        <v>1.7021799999999998</v>
      </c>
    </row>
    <row r="13" spans="1:19">
      <c r="B13">
        <f>16.9675/10</f>
        <v>1.6967500000000002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ColWidth="8.85546875" defaultRowHeight="15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Class2018</cp:lastModifiedBy>
  <dcterms:created xsi:type="dcterms:W3CDTF">2014-10-22T18:12:51Z</dcterms:created>
  <dcterms:modified xsi:type="dcterms:W3CDTF">2015-03-31T23:46:11Z</dcterms:modified>
</cp:coreProperties>
</file>