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53222"/>
  <mc:AlternateContent xmlns:mc="http://schemas.openxmlformats.org/markup-compatibility/2006">
    <mc:Choice Requires="x15">
      <x15ac:absPath xmlns:x15ac="http://schemas.microsoft.com/office/spreadsheetml/2010/11/ac" url="C:\Users\Adam\Documents\0 - School Work\Junior\Spring\FE535\"/>
    </mc:Choice>
  </mc:AlternateContent>
  <bookViews>
    <workbookView xWindow="0" yWindow="0" windowWidth="28800" windowHeight="12210"/>
  </bookViews>
  <sheets>
    <sheet name="Yield Curve Builder Homework" sheetId="1" r:id="rId1"/>
    <sheet name="Compatibility Report" sheetId="2" r:id="rId2"/>
  </sheets>
  <externalReferences>
    <externalReference r:id="rId3"/>
    <externalReference r:id="rId4"/>
    <externalReference r:id="rId5"/>
  </externalReferences>
  <definedNames>
    <definedName name="alpha">'[1]Illiquid Option Model'!$AM$14</definedName>
    <definedName name="ARCopyArea">#REF!</definedName>
    <definedName name="ARPasteOutput">#REF!</definedName>
    <definedName name="ARRunFlag">#REF!</definedName>
    <definedName name="beginFoFReturns">#REF!</definedName>
    <definedName name="beginSubfundReturns">#REF!</definedName>
    <definedName name="beta">'[1]Illiquid Option Model'!$AM$15</definedName>
    <definedName name="case">#REF!</definedName>
    <definedName name="caseNumber">#REF!</definedName>
    <definedName name="citiStrats">#REF!</definedName>
    <definedName name="cliquetPriceAvgPrice">#REF!</definedName>
    <definedName name="cliquetPriceAvgPriceInBPS">#REF!</definedName>
    <definedName name="cliquetPriceCaseNum">#REF!</definedName>
    <definedName name="cliquetPriceDV01">#REF!</definedName>
    <definedName name="cliquetPriceHedge">#REF!</definedName>
    <definedName name="cliquetPriceJKRateOut">#REF!</definedName>
    <definedName name="cliquetPricePDout">#REF!</definedName>
    <definedName name="cliquetPriceRunFlag">#REF!</definedName>
    <definedName name="cliquetPriceStdDev">#REF!</definedName>
    <definedName name="cliquetPriceTailOut">#REF!</definedName>
    <definedName name="cliquetRatePDOut">#REF!</definedName>
    <definedName name="cliquetRateRunFlag">#REF!</definedName>
    <definedName name="completedVolSurface">#REF!</definedName>
    <definedName name="corrEntry">'[1]Illiquid Option Model'!$AP$26</definedName>
    <definedName name="epsilon">[2]Main!$C$2</definedName>
    <definedName name="fit">[3]START!$O$49</definedName>
    <definedName name="fundingRate">'[1]Illiquid Option Model'!$AP$21</definedName>
    <definedName name="FundName">[3]START!$Q$32</definedName>
    <definedName name="hedgeCostRate">'[1]Illiquid Option Model'!$AP$22</definedName>
    <definedName name="hedgeSkip">'[1]Illiquid Option Model'!$C$22</definedName>
    <definedName name="HFRXCalibAlphaReducedFlag">#REF!</definedName>
    <definedName name="HFRXCalibOptionAvgCost">#REF!</definedName>
    <definedName name="HFRXCalibOptionAvgCostalpha">#REF!</definedName>
    <definedName name="HFRXCalibOptionAvgCostnoalpha">#REF!</definedName>
    <definedName name="HFRXCalibOptionCase">#REF!</definedName>
    <definedName name="HFRXCalibOptionFundSpread">#REF!</definedName>
    <definedName name="HFRXCalibOptionHRalpha">#REF!</definedName>
    <definedName name="HFRXCalibOptionInput">#REF!</definedName>
    <definedName name="HFRXCalibOptionLibor">#REF!</definedName>
    <definedName name="HFRXCalibOptionTail">#REF!</definedName>
    <definedName name="HFRXCalibOptionTailalpha">#REF!</definedName>
    <definedName name="HFRXCalibOptionTailnoalpha">#REF!</definedName>
    <definedName name="HFRXCalibRunFlag">#REF!</definedName>
    <definedName name="hurdleStart">#REF!</definedName>
    <definedName name="mu">'[1]Illiquid Option Model'!$AM$11</definedName>
    <definedName name="numManagers">'[1]Portfolio-Input-Detailed'!$G$1</definedName>
    <definedName name="numMonths">'[1]Illiquid Option Model'!$C$21</definedName>
    <definedName name="optionModelComboRunFlag">#REF!</definedName>
    <definedName name="optionModelSpreadRunFlag">#REF!</definedName>
    <definedName name="optModelComboAvgCost">#REF!</definedName>
    <definedName name="optModelComboDWAverage">#REF!</definedName>
    <definedName name="optModelComboDWStdev">#REF!</definedName>
    <definedName name="optModelComboHedgeAmount">#REF!</definedName>
    <definedName name="optModelComboJKRateOut">#REF!</definedName>
    <definedName name="optModelComboNumberOfHedges">#REF!</definedName>
    <definedName name="optModelComboPNLPathOut">#REF!</definedName>
    <definedName name="optModelComboPriceCDFOut">#REF!</definedName>
    <definedName name="optModelComboTailOut">#REF!</definedName>
    <definedName name="optModelSpreadAvgCost">#REF!</definedName>
    <definedName name="optModelSpreadDWAverage">#REF!</definedName>
    <definedName name="optModelSpreadDWStdev">#REF!</definedName>
    <definedName name="optModelSpreadHedgeAmount">#REF!</definedName>
    <definedName name="optModelSpreadJKRateOut">#REF!</definedName>
    <definedName name="optModelSpreadNumberOfHedges">#REF!</definedName>
    <definedName name="optModelSpreadPNLPathOut">#REF!</definedName>
    <definedName name="optModelSpreadPriceCDFOut">#REF!</definedName>
    <definedName name="optModelSpreadTailOut">#REF!</definedName>
    <definedName name="optStrike">'[1]Illiquid Option Model'!$D$4</definedName>
    <definedName name="percentile99HR">'[1]Illiquid Option Model'!$I$39</definedName>
    <definedName name="RunHestonCalibration">#REF!</definedName>
    <definedName name="SPXCalibOptionAvgCost">#REF!</definedName>
    <definedName name="SPXCalibOptionCase">#REF!</definedName>
    <definedName name="SPXCalibOptionInput">#REF!</definedName>
    <definedName name="SPXCalibOptionOutput">#REF!</definedName>
    <definedName name="SPXCalibOptionTail">#REF!</definedName>
    <definedName name="SPXCalibRunFlag">#REF!</definedName>
    <definedName name="startFNames">'[1]Grid Sender'!$A$13</definedName>
    <definedName name="startOutputFiles">'[1]Grid Sender'!$C$13</definedName>
    <definedName name="stratMapping">'[1]Portfolio-Input-Detailed'!$G$2</definedName>
    <definedName name="tmphistdata">#REF!</definedName>
    <definedName name="tmpMLE">#REF!</definedName>
    <definedName name="tmpParams">#REF!</definedName>
    <definedName name="valDate">'[1]Illiquid Option Model'!$B$8</definedName>
    <definedName name="vol">'[1]Illiquid Option Model'!$AM$12</definedName>
    <definedName name="volInit">'[1]Illiquid Option Model'!$AM$13</definedName>
    <definedName name="XMLDirName">'[1]Portfolio-Input-Detailed'!$G$3</definedName>
  </definedNames>
  <calcPr calcId="152511" calcMode="manual" calcCompleted="0" calcOnSave="0"/>
</workbook>
</file>

<file path=xl/calcChain.xml><?xml version="1.0" encoding="utf-8"?>
<calcChain xmlns="http://schemas.openxmlformats.org/spreadsheetml/2006/main">
  <c r="L23" i="1" l="1"/>
  <c r="L21" i="1"/>
  <c r="O11" i="1"/>
  <c r="O10" i="1"/>
  <c r="O9" i="1"/>
  <c r="O8" i="1"/>
  <c r="O7" i="1"/>
  <c r="O6" i="1"/>
  <c r="O5" i="1"/>
  <c r="N11" i="1"/>
  <c r="N10" i="1"/>
  <c r="N9" i="1"/>
  <c r="N8" i="1"/>
  <c r="N7" i="1"/>
  <c r="N6" i="1"/>
  <c r="N5" i="1"/>
  <c r="M11" i="1"/>
  <c r="M10" i="1"/>
  <c r="M9" i="1"/>
  <c r="M7" i="1"/>
  <c r="M6" i="1"/>
  <c r="M5" i="1"/>
  <c r="J22" i="1"/>
  <c r="J21" i="1"/>
  <c r="J20" i="1"/>
  <c r="J19" i="1"/>
  <c r="J18" i="1"/>
  <c r="J17" i="1"/>
  <c r="J16" i="1"/>
  <c r="J15" i="1"/>
  <c r="J14" i="1"/>
  <c r="J13" i="1"/>
  <c r="J12" i="1"/>
  <c r="J11" i="1"/>
  <c r="J10" i="1"/>
  <c r="J8" i="1"/>
  <c r="J7" i="1"/>
  <c r="J6" i="1"/>
  <c r="J5" i="1"/>
  <c r="I22" i="1"/>
  <c r="I21" i="1"/>
  <c r="I20" i="1"/>
  <c r="I19" i="1"/>
  <c r="I18" i="1"/>
  <c r="I17" i="1"/>
  <c r="I16" i="1"/>
  <c r="I15" i="1"/>
  <c r="I14" i="1"/>
  <c r="I13" i="1"/>
  <c r="I12" i="1"/>
  <c r="I11" i="1"/>
  <c r="I10" i="1"/>
  <c r="I8" i="1"/>
  <c r="I7" i="1"/>
  <c r="I6" i="1"/>
  <c r="I5" i="1"/>
  <c r="H22" i="1"/>
  <c r="H21" i="1"/>
  <c r="H20" i="1"/>
  <c r="H19" i="1"/>
  <c r="H18" i="1"/>
  <c r="H17" i="1"/>
  <c r="H16" i="1"/>
  <c r="H15" i="1"/>
  <c r="H14" i="1"/>
  <c r="H13" i="1"/>
  <c r="H12" i="1"/>
  <c r="H11" i="1"/>
  <c r="H10" i="1"/>
  <c r="G15" i="1"/>
  <c r="G14" i="1"/>
  <c r="G13" i="1"/>
  <c r="G12" i="1"/>
  <c r="G11" i="1"/>
  <c r="G10" i="1"/>
  <c r="H8" i="1"/>
  <c r="H7" i="1"/>
  <c r="H6" i="1"/>
  <c r="H5" i="1"/>
  <c r="M8" i="1"/>
  <c r="D21" i="1" l="1"/>
  <c r="D19" i="1"/>
  <c r="D17" i="1"/>
</calcChain>
</file>

<file path=xl/sharedStrings.xml><?xml version="1.0" encoding="utf-8"?>
<sst xmlns="http://schemas.openxmlformats.org/spreadsheetml/2006/main" count="115" uniqueCount="80">
  <si>
    <t>T0</t>
  </si>
  <si>
    <t>%</t>
  </si>
  <si>
    <t>T</t>
  </si>
  <si>
    <t>A</t>
  </si>
  <si>
    <t>CASH</t>
  </si>
  <si>
    <t>1W</t>
  </si>
  <si>
    <t>1M</t>
  </si>
  <si>
    <t>2M</t>
  </si>
  <si>
    <t>3M</t>
  </si>
  <si>
    <t>FUTURES</t>
  </si>
  <si>
    <t>SWAPS</t>
  </si>
  <si>
    <t>2yr</t>
  </si>
  <si>
    <t>Market Input Check</t>
  </si>
  <si>
    <t>2.5yr</t>
  </si>
  <si>
    <t>3yr</t>
  </si>
  <si>
    <t>DV01</t>
  </si>
  <si>
    <t>3.5yr</t>
  </si>
  <si>
    <t>4yr</t>
  </si>
  <si>
    <t>Swap Rate</t>
  </si>
  <si>
    <t>4.5yr</t>
  </si>
  <si>
    <t>5yr</t>
  </si>
  <si>
    <t>Delta T</t>
  </si>
  <si>
    <t>df</t>
  </si>
  <si>
    <t>yield</t>
  </si>
  <si>
    <t>MAR(3M-6M)</t>
  </si>
  <si>
    <t>Dec 1 2016</t>
  </si>
  <si>
    <t>JUN(6M-9M)</t>
  </si>
  <si>
    <t>SEP(9M-12M)</t>
  </si>
  <si>
    <t>DEC(12M-15M)</t>
  </si>
  <si>
    <t>MAR(15M-18M)</t>
  </si>
  <si>
    <t>JUN(18M-21M)</t>
  </si>
  <si>
    <t>ln(df)</t>
  </si>
  <si>
    <t>Adam Gincel</t>
  </si>
  <si>
    <t>FE535</t>
  </si>
  <si>
    <t>I pledge my honor that I have abided by the Stevens Honor System.</t>
  </si>
  <si>
    <t>df (discount factor)</t>
  </si>
  <si>
    <t>6M</t>
  </si>
  <si>
    <t>9M</t>
  </si>
  <si>
    <t>12M</t>
  </si>
  <si>
    <t>15M</t>
  </si>
  <si>
    <t>18M</t>
  </si>
  <si>
    <t>21M</t>
  </si>
  <si>
    <t>24M</t>
  </si>
  <si>
    <t>30M</t>
  </si>
  <si>
    <t>36M</t>
  </si>
  <si>
    <t>42M</t>
  </si>
  <si>
    <t>48M</t>
  </si>
  <si>
    <t>54M</t>
  </si>
  <si>
    <t>60M</t>
  </si>
  <si>
    <t>Compatibility Report for HW1_rea.xls</t>
  </si>
  <si>
    <t>Run on 2/5/2017 21:26</t>
  </si>
  <si>
    <t>If the workbook is saved in an earlier file format or opened in an earlier version of Microsoft Excel, the listed features will not be available.</t>
  </si>
  <si>
    <t>Minor loss of fidelity</t>
  </si>
  <si>
    <t># of occurrences</t>
  </si>
  <si>
    <t>Version</t>
  </si>
  <si>
    <t>Some formulas in this workbook are linked to other workbooks that are closed. When these formulas are recalculated in earlier versions of Excel without opening the linked workbooks, characters beyond the 255-character limit cannot be returned.</t>
  </si>
  <si>
    <t>Excel 97-2003</t>
  </si>
  <si>
    <t>86
Defined Names</t>
  </si>
  <si>
    <t>Some cells or styles in this workbook contain formatting that is not supported by the selected file format. These formats will be converted to the closest format available.</t>
  </si>
  <si>
    <t>0M</t>
  </si>
  <si>
    <t>df from 0 to Y</t>
  </si>
  <si>
    <t>--</t>
  </si>
  <si>
    <t>S*DVO1 = 1 - df(0, 3Y)</t>
  </si>
  <si>
    <t xml:space="preserve">DV01 = </t>
  </si>
  <si>
    <t>S = (1 - df(0, 3Y)) / DVO1</t>
  </si>
  <si>
    <t>df (X, Y) = df(0, Y) / df(0, X)</t>
  </si>
  <si>
    <r>
      <t xml:space="preserve">df (0, Y) = df (0, X) / (1 + </t>
    </r>
    <r>
      <rPr>
        <sz val="10"/>
        <rFont val="Calibri"/>
        <family val="2"/>
      </rPr>
      <t>δx-y * Lx-y)</t>
    </r>
  </si>
  <si>
    <t xml:space="preserve">df(0, T) = </t>
  </si>
  <si>
    <t>Swap df formula:</t>
  </si>
  <si>
    <t>Futures df formula:</t>
  </si>
  <si>
    <t>LIBOR df formula:</t>
  </si>
  <si>
    <r>
      <t xml:space="preserve">df(0, T) = 1 / (1 + </t>
    </r>
    <r>
      <rPr>
        <sz val="10"/>
        <rFont val="Calibri"/>
        <family val="2"/>
      </rPr>
      <t>δi * Li)</t>
    </r>
  </si>
  <si>
    <t>Ti &lt; T &lt; Ti+1</t>
  </si>
  <si>
    <t>A = (Ti+1 - T) / (Ti+1 - Ti)</t>
  </si>
  <si>
    <t>B = 1 - A</t>
  </si>
  <si>
    <t>ln(df of T) = Aln(Ti) + Bln(Ti+1)</t>
  </si>
  <si>
    <t>df = exp(ln(df of T))</t>
  </si>
  <si>
    <t>*for some reason, at least my copy of excel does not update cells that reference other cells if the referenced cell changes</t>
  </si>
  <si>
    <t>*pressing enter on the equation that is referencing a cell again "refreshes" the cell, and it shows the appropriate value.</t>
  </si>
  <si>
    <r>
      <t xml:space="preserve">            </t>
    </r>
    <r>
      <rPr>
        <sz val="10"/>
        <color theme="0"/>
        <rFont val="Arial"/>
        <family val="2"/>
      </rPr>
      <t>`</t>
    </r>
    <r>
      <rPr>
        <sz val="10"/>
        <rFont val="Arial"/>
        <family val="2"/>
      </rPr>
      <t>= (90/360)*(G10+G11+G12+G13+G14+G15) + (1/2)*(H16+H17+H18)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</si>
</sst>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_-* #,##0_-;\-* #,##0_-;_-* &quot;-&quot;_-;_-@_-"/>
    <numFmt numFmtId="165" formatCode="_-* #,##0.00_-;\-* #,##0.00_-;_-* &quot;-&quot;??_-;_-@_-"/>
    <numFmt numFmtId="166" formatCode="0.000000"/>
    <numFmt numFmtId="167" formatCode="0.00000"/>
    <numFmt numFmtId="168" formatCode="0.0000000"/>
    <numFmt numFmtId="169" formatCode="0.000000000"/>
    <numFmt numFmtId="170" formatCode="0.00000000000"/>
    <numFmt numFmtId="171" formatCode="0.0"/>
    <numFmt numFmtId="172" formatCode="0.0000%"/>
    <numFmt numFmtId="173" formatCode="_([$€-2]* #,##0.00_);_([$€-2]* \(#,##0.00\);_([$€-2]* &quot;-&quot;??_)"/>
    <numFmt numFmtId="174" formatCode="#,##0_%_);\(#,##0\)_%;#,##0_%_);@_%_)"/>
    <numFmt numFmtId="175" formatCode="#,##0.00_%_);\(#,##0.00\)_%;#,##0.00_%_);@_%_)"/>
    <numFmt numFmtId="176" formatCode="&quot;£&quot;#,##0_%_);\(&quot;£&quot;#,##0\)_%;&quot;£&quot;#,##0_%_);@_%_)"/>
    <numFmt numFmtId="177" formatCode="&quot;£&quot;#,##0.00_%_);\(&quot;£&quot;#,##0.00\)_%;&quot;£&quot;#,##0.00_%_);@_%_)"/>
    <numFmt numFmtId="178" formatCode="m/d/yy_%_)"/>
    <numFmt numFmtId="179" formatCode="0_%_);\(0\)_%;0_%_);@_%_)"/>
    <numFmt numFmtId="180" formatCode="0.0\%_);\(0.0\%\);0.0\%_);@_%_)"/>
    <numFmt numFmtId="181" formatCode="0.0\x_)_);&quot;NM&quot;_x_)_);0.0\x_)_);@_%_)"/>
    <numFmt numFmtId="182" formatCode="_-&quot;L.&quot;\ * #,##0_-;\-&quot;L.&quot;\ * #,##0_-;_-&quot;L.&quot;\ * &quot;-&quot;_-;_-@_-"/>
    <numFmt numFmtId="183" formatCode="_-&quot;L.&quot;\ * #,##0.00_-;\-&quot;L.&quot;\ * #,##0.00_-;_-&quot;L.&quot;\ * &quot;-&quot;??_-;_-@_-"/>
    <numFmt numFmtId="184" formatCode="m/d/yy\ h:mm:ss"/>
  </numFmts>
  <fonts count="26">
    <font>
      <sz val="10"/>
      <name val="Arial"/>
      <family val="2"/>
    </font>
    <font>
      <sz val="10"/>
      <name val="Arial"/>
      <family val="2"/>
    </font>
    <font>
      <b/>
      <sz val="10"/>
      <name val="MS Sans Serif"/>
      <family val="2"/>
    </font>
    <font>
      <sz val="8"/>
      <name val="Palatino"/>
      <family val="1"/>
    </font>
    <font>
      <sz val="8"/>
      <name val="Times New Roman"/>
      <family val="1"/>
    </font>
    <font>
      <sz val="6"/>
      <color indexed="16"/>
      <name val="Palatino"/>
      <family val="1"/>
    </font>
    <font>
      <sz val="18"/>
      <name val="Helvetica-Black"/>
      <family val="2"/>
    </font>
    <font>
      <i/>
      <sz val="14"/>
      <name val="Palatino"/>
      <family val="1"/>
    </font>
    <font>
      <sz val="10"/>
      <color indexed="9"/>
      <name val="Arial"/>
      <family val="2"/>
    </font>
    <font>
      <sz val="10"/>
      <color indexed="16"/>
      <name val="Helvetica-Black"/>
      <family val="2"/>
    </font>
    <font>
      <sz val="10"/>
      <color indexed="8"/>
      <name val="Arial"/>
      <family val="2"/>
    </font>
    <font>
      <sz val="14"/>
      <name val="Arial"/>
      <family val="2"/>
    </font>
    <font>
      <i/>
      <sz val="10"/>
      <name val="Arial"/>
      <family val="2"/>
    </font>
    <font>
      <b/>
      <sz val="9"/>
      <name val="Arial"/>
      <family val="2"/>
    </font>
    <font>
      <sz val="18"/>
      <name val="Arial"/>
      <family val="2"/>
    </font>
    <font>
      <b/>
      <sz val="10"/>
      <name val="Arial"/>
      <family val="2"/>
    </font>
    <font>
      <b/>
      <sz val="9"/>
      <name val="Palatino"/>
      <family val="1"/>
    </font>
    <font>
      <sz val="9"/>
      <color indexed="21"/>
      <name val="Helvetica-Black"/>
      <family val="2"/>
    </font>
    <font>
      <b/>
      <sz val="8"/>
      <name val="Arial"/>
      <family val="2"/>
    </font>
    <font>
      <sz val="8"/>
      <name val="Arial"/>
      <family val="2"/>
    </font>
    <font>
      <sz val="8"/>
      <name val="Arial"/>
      <family val="2"/>
    </font>
    <font>
      <b/>
      <sz val="10"/>
      <name val="Arial"/>
      <family val="2"/>
    </font>
    <font>
      <b/>
      <i/>
      <sz val="10"/>
      <color indexed="10"/>
      <name val="Arial"/>
      <family val="2"/>
    </font>
    <font>
      <b/>
      <sz val="12"/>
      <name val="Arial"/>
      <family val="2"/>
    </font>
    <font>
      <sz val="10"/>
      <color theme="0"/>
      <name val="Arial"/>
      <family val="2"/>
    </font>
    <font>
      <sz val="10"/>
      <name val="Calibri"/>
      <family val="2"/>
    </font>
  </fonts>
  <fills count="8">
    <fill>
      <patternFill patternType="none"/>
    </fill>
    <fill>
      <patternFill patternType="gray125"/>
    </fill>
    <fill>
      <patternFill patternType="solid">
        <fgColor indexed="9"/>
      </patternFill>
    </fill>
    <fill>
      <patternFill patternType="solid">
        <fgColor indexed="26"/>
        <bgColor indexed="64"/>
      </patternFill>
    </fill>
    <fill>
      <patternFill patternType="solid">
        <fgColor indexed="16"/>
        <bgColor indexed="64"/>
      </patternFill>
    </fill>
    <fill>
      <patternFill patternType="solid">
        <fgColor indexed="8"/>
        <bgColor indexed="64"/>
      </patternFill>
    </fill>
    <fill>
      <patternFill patternType="solid">
        <fgColor rgb="FF92D050"/>
        <bgColor indexed="64"/>
      </patternFill>
    </fill>
    <fill>
      <patternFill patternType="solid">
        <fgColor theme="0"/>
        <bgColor indexed="64"/>
      </patternFill>
    </fill>
  </fills>
  <borders count="36">
    <border>
      <left/>
      <right/>
      <top/>
      <bottom/>
      <diagonal/>
    </border>
    <border>
      <left/>
      <right/>
      <top/>
      <bottom style="dotted">
        <color indexed="64"/>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s>
  <cellStyleXfs count="61">
    <xf numFmtId="0" fontId="0" fillId="0" borderId="0"/>
    <xf numFmtId="0" fontId="1" fillId="0" borderId="0"/>
    <xf numFmtId="174" fontId="3" fillId="0" borderId="0" applyFont="0" applyFill="0" applyBorder="0" applyAlignment="0" applyProtection="0">
      <alignment horizontal="right"/>
    </xf>
    <xf numFmtId="175" fontId="3" fillId="0" borderId="0" applyFont="0" applyFill="0" applyBorder="0" applyAlignment="0" applyProtection="0">
      <alignment horizontal="right"/>
    </xf>
    <xf numFmtId="176"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Font="0" applyFill="0" applyBorder="0" applyAlignment="0" applyProtection="0"/>
    <xf numFmtId="179" fontId="3" fillId="0" borderId="1" applyNumberFormat="0" applyFont="0" applyFill="0" applyAlignment="0" applyProtection="0"/>
    <xf numFmtId="173" fontId="1" fillId="0" borderId="0" applyFont="0" applyFill="0" applyBorder="0" applyAlignment="0" applyProtection="0"/>
    <xf numFmtId="0" fontId="4" fillId="0" borderId="0" applyFill="0" applyBorder="0" applyProtection="0">
      <alignment horizontal="left"/>
    </xf>
    <xf numFmtId="180" fontId="3" fillId="0" borderId="0" applyFont="0" applyFill="0" applyBorder="0" applyAlignment="0" applyProtection="0">
      <alignment horizontal="right"/>
    </xf>
    <xf numFmtId="0" fontId="5" fillId="0" borderId="0" applyProtection="0">
      <alignment horizontal="right"/>
    </xf>
    <xf numFmtId="0" fontId="6" fillId="0" borderId="0" applyProtection="0">
      <alignment horizontal="left"/>
    </xf>
    <xf numFmtId="0" fontId="7" fillId="0" borderId="0" applyProtection="0">
      <alignment horizontal="left"/>
    </xf>
    <xf numFmtId="0" fontId="1" fillId="0" borderId="0" applyNumberFormat="0" applyFont="0" applyFill="0" applyBorder="0" applyAlignment="0" applyProtection="0"/>
    <xf numFmtId="0" fontId="1" fillId="3" borderId="2" applyNumberFormat="0" applyFont="0">
      <protection locked="0"/>
    </xf>
    <xf numFmtId="164" fontId="8" fillId="0" borderId="0" applyFont="0" applyFill="0" applyBorder="0" applyAlignment="0" applyProtection="0"/>
    <xf numFmtId="165" fontId="8" fillId="0" borderId="0" applyFont="0" applyFill="0" applyBorder="0" applyAlignment="0" applyProtection="0"/>
    <xf numFmtId="181" fontId="3" fillId="0" borderId="0" applyFont="0" applyFill="0" applyBorder="0" applyAlignment="0" applyProtection="0">
      <alignment horizontal="right"/>
    </xf>
    <xf numFmtId="1" fontId="9" fillId="0" borderId="0" applyProtection="0">
      <alignment horizontal="right" vertical="center"/>
    </xf>
    <xf numFmtId="172" fontId="1" fillId="0" borderId="0" applyFont="0" applyFill="0" applyBorder="0" applyAlignment="0" applyProtection="0"/>
    <xf numFmtId="0" fontId="1" fillId="0" borderId="4" applyNumberFormat="0" applyFont="0" applyFill="0" applyAlignment="0" applyProtection="0"/>
    <xf numFmtId="0" fontId="1" fillId="0" borderId="5" applyNumberFormat="0" applyFont="0" applyFill="0" applyAlignment="0" applyProtection="0"/>
    <xf numFmtId="0" fontId="1" fillId="0" borderId="6" applyNumberFormat="0" applyFont="0" applyFill="0" applyAlignment="0" applyProtection="0"/>
    <xf numFmtId="0" fontId="1" fillId="0" borderId="7" applyNumberFormat="0" applyFont="0" applyFill="0" applyAlignment="0" applyProtection="0"/>
    <xf numFmtId="0" fontId="1" fillId="0" borderId="8" applyNumberFormat="0" applyFont="0" applyFill="0" applyAlignment="0" applyProtection="0"/>
    <xf numFmtId="0" fontId="1" fillId="2" borderId="0" applyNumberFormat="0" applyFont="0" applyBorder="0" applyAlignment="0" applyProtection="0"/>
    <xf numFmtId="0" fontId="1" fillId="0" borderId="9" applyNumberFormat="0" applyFont="0" applyFill="0" applyAlignment="0" applyProtection="0"/>
    <xf numFmtId="0" fontId="1" fillId="0" borderId="10" applyNumberFormat="0" applyFont="0" applyFill="0" applyAlignment="0" applyProtection="0"/>
    <xf numFmtId="46" fontId="1" fillId="0" borderId="0" applyFont="0" applyFill="0" applyBorder="0" applyAlignment="0" applyProtection="0"/>
    <xf numFmtId="0" fontId="10" fillId="0" borderId="0" applyNumberFormat="0" applyFill="0" applyBorder="0" applyAlignment="0" applyProtection="0"/>
    <xf numFmtId="0" fontId="1" fillId="0" borderId="11" applyNumberFormat="0" applyFont="0" applyFill="0" applyAlignment="0" applyProtection="0"/>
    <xf numFmtId="0" fontId="1" fillId="0" borderId="12" applyNumberFormat="0" applyFont="0" applyFill="0" applyAlignment="0" applyProtection="0"/>
    <xf numFmtId="0" fontId="1" fillId="0" borderId="3" applyNumberFormat="0" applyFont="0" applyFill="0" applyAlignment="0" applyProtection="0"/>
    <xf numFmtId="0" fontId="1" fillId="0" borderId="13" applyNumberFormat="0" applyFont="0" applyFill="0" applyAlignment="0" applyProtection="0"/>
    <xf numFmtId="0" fontId="1" fillId="0" borderId="3" applyNumberFormat="0" applyFont="0" applyFill="0" applyAlignment="0" applyProtection="0"/>
    <xf numFmtId="0" fontId="1" fillId="0" borderId="0" applyNumberFormat="0" applyFont="0" applyFill="0" applyBorder="0" applyProtection="0">
      <alignment horizontal="center"/>
    </xf>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Protection="0">
      <alignment horizontal="left"/>
    </xf>
    <xf numFmtId="0" fontId="1" fillId="2" borderId="0" applyNumberFormat="0" applyFont="0" applyBorder="0" applyAlignment="0" applyProtection="0"/>
    <xf numFmtId="0" fontId="14" fillId="0" borderId="0" applyNumberFormat="0" applyFill="0" applyBorder="0" applyAlignment="0" applyProtection="0"/>
    <xf numFmtId="0" fontId="10" fillId="0" borderId="0" applyNumberFormat="0" applyFill="0" applyBorder="0" applyAlignment="0" applyProtection="0"/>
    <xf numFmtId="0" fontId="1" fillId="0" borderId="14" applyNumberFormat="0" applyFont="0" applyFill="0" applyAlignment="0" applyProtection="0"/>
    <xf numFmtId="0" fontId="1" fillId="0" borderId="15" applyNumberFormat="0" applyFont="0" applyFill="0" applyAlignment="0" applyProtection="0"/>
    <xf numFmtId="184" fontId="1" fillId="0" borderId="0" applyFont="0" applyFill="0" applyBorder="0" applyAlignment="0" applyProtection="0"/>
    <xf numFmtId="0" fontId="1" fillId="0" borderId="16" applyNumberFormat="0" applyFont="0" applyFill="0" applyAlignment="0" applyProtection="0"/>
    <xf numFmtId="0" fontId="1" fillId="0" borderId="17" applyNumberFormat="0" applyFont="0" applyFill="0" applyAlignment="0" applyProtection="0"/>
    <xf numFmtId="0" fontId="1" fillId="0" borderId="18" applyNumberFormat="0" applyFont="0" applyFill="0" applyAlignment="0" applyProtection="0"/>
    <xf numFmtId="0" fontId="1" fillId="0" borderId="19" applyNumberFormat="0" applyFont="0" applyFill="0" applyAlignment="0" applyProtection="0"/>
    <xf numFmtId="0" fontId="1" fillId="0" borderId="20" applyNumberFormat="0" applyFont="0" applyFill="0" applyAlignment="0" applyProtection="0"/>
    <xf numFmtId="0" fontId="2" fillId="0" borderId="0" applyNumberFormat="0" applyFill="0" applyBorder="0" applyAlignment="0" applyProtection="0"/>
    <xf numFmtId="0" fontId="16" fillId="0" borderId="0" applyBorder="0" applyProtection="0">
      <alignment vertical="center"/>
    </xf>
    <xf numFmtId="179" fontId="16" fillId="0" borderId="21" applyBorder="0" applyProtection="0">
      <alignment horizontal="right" vertical="center"/>
    </xf>
    <xf numFmtId="0" fontId="17" fillId="4" borderId="0" applyBorder="0" applyProtection="0">
      <alignment horizontal="centerContinuous" vertical="center"/>
    </xf>
    <xf numFmtId="0" fontId="17" fillId="5" borderId="21" applyBorder="0" applyProtection="0">
      <alignment horizontal="centerContinuous" vertical="center"/>
    </xf>
    <xf numFmtId="0" fontId="18" fillId="0" borderId="0" applyBorder="0" applyProtection="0">
      <alignment horizontal="left"/>
    </xf>
    <xf numFmtId="0" fontId="13" fillId="0" borderId="0" applyFill="0" applyBorder="0" applyProtection="0">
      <alignment horizontal="left"/>
    </xf>
    <xf numFmtId="0" fontId="19" fillId="0" borderId="22" applyFill="0" applyBorder="0" applyProtection="0">
      <alignment horizontal="left" vertical="top"/>
    </xf>
    <xf numFmtId="182" fontId="8" fillId="0" borderId="0" applyFont="0" applyFill="0" applyBorder="0" applyAlignment="0" applyProtection="0"/>
    <xf numFmtId="183" fontId="8" fillId="0" borderId="0" applyFont="0" applyFill="0" applyBorder="0" applyAlignment="0" applyProtection="0"/>
  </cellStyleXfs>
  <cellXfs count="82">
    <xf numFmtId="0" fontId="0" fillId="0" borderId="0" xfId="0"/>
    <xf numFmtId="0" fontId="0" fillId="0" borderId="0" xfId="0" applyAlignment="1">
      <alignment horizontal="center"/>
    </xf>
    <xf numFmtId="0" fontId="0" fillId="0" borderId="0" xfId="0" applyBorder="1"/>
    <xf numFmtId="0" fontId="21" fillId="0" borderId="23" xfId="0" applyFont="1" applyBorder="1" applyAlignment="1">
      <alignment horizontal="center"/>
    </xf>
    <xf numFmtId="0" fontId="21" fillId="0" borderId="24" xfId="0" applyFont="1" applyBorder="1" applyAlignment="1">
      <alignment horizontal="center"/>
    </xf>
    <xf numFmtId="168" fontId="0" fillId="0" borderId="0" xfId="0" applyNumberFormat="1" applyAlignment="1">
      <alignment horizontal="center"/>
    </xf>
    <xf numFmtId="0" fontId="21" fillId="0" borderId="25" xfId="0" applyFont="1" applyBorder="1" applyAlignment="1">
      <alignment horizontal="center"/>
    </xf>
    <xf numFmtId="167" fontId="0" fillId="0" borderId="26" xfId="0" applyNumberFormat="1" applyBorder="1" applyAlignment="1">
      <alignment horizontal="center"/>
    </xf>
    <xf numFmtId="166" fontId="21" fillId="0" borderId="0" xfId="0" applyNumberFormat="1" applyFont="1" applyBorder="1" applyAlignment="1">
      <alignment horizontal="center"/>
    </xf>
    <xf numFmtId="166" fontId="21" fillId="0" borderId="27" xfId="0" applyNumberFormat="1" applyFont="1" applyBorder="1" applyAlignment="1">
      <alignment horizontal="center"/>
    </xf>
    <xf numFmtId="166" fontId="21" fillId="0" borderId="28" xfId="0" applyNumberFormat="1" applyFont="1" applyBorder="1" applyAlignment="1">
      <alignment horizontal="center"/>
    </xf>
    <xf numFmtId="0" fontId="0" fillId="0" borderId="26" xfId="0" applyBorder="1"/>
    <xf numFmtId="167" fontId="0" fillId="6" borderId="24" xfId="0" applyNumberFormat="1" applyFill="1" applyBorder="1" applyAlignment="1">
      <alignment horizontal="center"/>
    </xf>
    <xf numFmtId="169" fontId="0" fillId="6" borderId="24" xfId="0" applyNumberFormat="1" applyFill="1" applyBorder="1"/>
    <xf numFmtId="0" fontId="0" fillId="6" borderId="24" xfId="0" applyFill="1" applyBorder="1"/>
    <xf numFmtId="167" fontId="0" fillId="6" borderId="25" xfId="0" applyNumberFormat="1" applyFill="1" applyBorder="1" applyAlignment="1">
      <alignment horizontal="center"/>
    </xf>
    <xf numFmtId="169" fontId="0" fillId="6" borderId="25" xfId="0" applyNumberFormat="1" applyFill="1" applyBorder="1"/>
    <xf numFmtId="0" fontId="0" fillId="6" borderId="25" xfId="0" applyFill="1" applyBorder="1"/>
    <xf numFmtId="167" fontId="0" fillId="6" borderId="26" xfId="0" applyNumberFormat="1" applyFill="1" applyBorder="1" applyAlignment="1">
      <alignment horizontal="center"/>
    </xf>
    <xf numFmtId="0" fontId="0" fillId="6" borderId="26" xfId="0" applyFill="1" applyBorder="1" applyAlignment="1">
      <alignment horizontal="center"/>
    </xf>
    <xf numFmtId="169" fontId="0" fillId="6" borderId="26" xfId="0" applyNumberFormat="1" applyFill="1" applyBorder="1"/>
    <xf numFmtId="168" fontId="0" fillId="6" borderId="26" xfId="0" applyNumberFormat="1" applyFill="1" applyBorder="1" applyAlignment="1">
      <alignment horizontal="center"/>
    </xf>
    <xf numFmtId="0" fontId="0" fillId="6" borderId="24" xfId="0" applyFill="1" applyBorder="1" applyAlignment="1">
      <alignment horizontal="center"/>
    </xf>
    <xf numFmtId="168" fontId="0" fillId="6" borderId="24" xfId="0" applyNumberFormat="1" applyFill="1" applyBorder="1" applyAlignment="1">
      <alignment horizontal="center"/>
    </xf>
    <xf numFmtId="0" fontId="0" fillId="6" borderId="25" xfId="0" applyFill="1" applyBorder="1" applyAlignment="1">
      <alignment horizontal="center"/>
    </xf>
    <xf numFmtId="171" fontId="0" fillId="6" borderId="26" xfId="0" applyNumberFormat="1" applyFill="1" applyBorder="1" applyAlignment="1">
      <alignment horizontal="center"/>
    </xf>
    <xf numFmtId="171" fontId="0" fillId="6" borderId="24" xfId="0" applyNumberFormat="1" applyFill="1" applyBorder="1" applyAlignment="1">
      <alignment horizontal="center"/>
    </xf>
    <xf numFmtId="171" fontId="0" fillId="6" borderId="25" xfId="0" applyNumberFormat="1" applyFill="1" applyBorder="1" applyAlignment="1">
      <alignment horizontal="center"/>
    </xf>
    <xf numFmtId="169" fontId="23" fillId="6" borderId="25" xfId="0" applyNumberFormat="1" applyFont="1" applyFill="1" applyBorder="1" applyAlignment="1">
      <alignment horizontal="center"/>
    </xf>
    <xf numFmtId="170" fontId="0" fillId="6" borderId="26" xfId="0" applyNumberFormat="1" applyFill="1" applyBorder="1"/>
    <xf numFmtId="170" fontId="0" fillId="6" borderId="24" xfId="0" applyNumberFormat="1" applyFill="1" applyBorder="1"/>
    <xf numFmtId="170" fontId="0" fillId="6" borderId="25" xfId="0" applyNumberFormat="1" applyFill="1" applyBorder="1"/>
    <xf numFmtId="0" fontId="15" fillId="0" borderId="23" xfId="0" applyFont="1" applyBorder="1" applyAlignment="1">
      <alignment horizontal="center"/>
    </xf>
    <xf numFmtId="0" fontId="15" fillId="0" borderId="0" xfId="0" applyNumberFormat="1" applyFont="1" applyAlignment="1">
      <alignment vertical="top" wrapText="1"/>
    </xf>
    <xf numFmtId="0" fontId="0" fillId="0" borderId="0" xfId="0" applyNumberFormat="1" applyAlignment="1">
      <alignment vertical="top" wrapText="1"/>
    </xf>
    <xf numFmtId="0" fontId="0" fillId="0" borderId="29" xfId="0" applyNumberFormat="1" applyBorder="1" applyAlignment="1">
      <alignment vertical="top" wrapText="1"/>
    </xf>
    <xf numFmtId="0" fontId="0" fillId="0" borderId="30" xfId="0" applyNumberFormat="1" applyBorder="1" applyAlignment="1">
      <alignment vertical="top" wrapText="1"/>
    </xf>
    <xf numFmtId="0" fontId="1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0" xfId="0" applyNumberFormat="1" applyBorder="1" applyAlignment="1">
      <alignment horizontal="center" vertical="top" wrapText="1"/>
    </xf>
    <xf numFmtId="0" fontId="0" fillId="0" borderId="31" xfId="0" applyNumberFormat="1" applyBorder="1" applyAlignment="1">
      <alignment horizontal="center" vertical="top" wrapText="1"/>
    </xf>
    <xf numFmtId="0" fontId="0" fillId="6" borderId="0" xfId="0" applyFill="1"/>
    <xf numFmtId="0" fontId="0" fillId="6" borderId="0" xfId="0" quotePrefix="1" applyFill="1" applyAlignment="1">
      <alignment horizontal="center"/>
    </xf>
    <xf numFmtId="171" fontId="0" fillId="7" borderId="0" xfId="0" applyNumberFormat="1" applyFill="1" applyBorder="1" applyAlignment="1">
      <alignment horizontal="center"/>
    </xf>
    <xf numFmtId="0" fontId="0" fillId="6" borderId="32" xfId="0" applyFill="1" applyBorder="1"/>
    <xf numFmtId="169" fontId="0" fillId="0" borderId="24" xfId="0" applyNumberFormat="1" applyBorder="1"/>
    <xf numFmtId="0" fontId="15" fillId="0" borderId="33" xfId="0" applyFont="1" applyBorder="1" applyAlignment="1">
      <alignment horizontal="center"/>
    </xf>
    <xf numFmtId="0" fontId="0" fillId="7" borderId="26" xfId="0" quotePrefix="1" applyFill="1" applyBorder="1" applyAlignment="1">
      <alignment horizontal="center"/>
    </xf>
    <xf numFmtId="170" fontId="0" fillId="7" borderId="26" xfId="0" applyNumberFormat="1" applyFill="1" applyBorder="1"/>
    <xf numFmtId="170" fontId="0" fillId="7" borderId="24" xfId="0" applyNumberFormat="1" applyFill="1" applyBorder="1"/>
    <xf numFmtId="170" fontId="0" fillId="7" borderId="25" xfId="0" applyNumberFormat="1" applyFill="1" applyBorder="1"/>
    <xf numFmtId="169" fontId="0" fillId="7" borderId="26" xfId="0" applyNumberFormat="1" applyFill="1" applyBorder="1"/>
    <xf numFmtId="169" fontId="0" fillId="7" borderId="24" xfId="0" applyNumberFormat="1" applyFill="1" applyBorder="1"/>
    <xf numFmtId="169" fontId="0" fillId="7" borderId="25" xfId="0" applyNumberFormat="1" applyFill="1" applyBorder="1"/>
    <xf numFmtId="168" fontId="0" fillId="6" borderId="24" xfId="0" applyNumberFormat="1" applyFont="1" applyFill="1" applyBorder="1" applyAlignment="1">
      <alignment horizontal="center"/>
    </xf>
    <xf numFmtId="168" fontId="0" fillId="0" borderId="0" xfId="0" applyNumberFormat="1"/>
    <xf numFmtId="0" fontId="0" fillId="6" borderId="25" xfId="0" quotePrefix="1" applyFill="1" applyBorder="1" applyAlignment="1">
      <alignment horizontal="center"/>
    </xf>
    <xf numFmtId="166" fontId="21" fillId="0" borderId="34" xfId="0" applyNumberFormat="1" applyFont="1" applyBorder="1" applyAlignment="1">
      <alignment horizontal="center"/>
    </xf>
    <xf numFmtId="0" fontId="21" fillId="0" borderId="35" xfId="0" applyFont="1" applyBorder="1" applyAlignment="1">
      <alignment horizontal="center"/>
    </xf>
    <xf numFmtId="0" fontId="21" fillId="0" borderId="32" xfId="0" applyFont="1" applyBorder="1" applyAlignment="1">
      <alignment horizontal="center"/>
    </xf>
    <xf numFmtId="0" fontId="21" fillId="0" borderId="34" xfId="0" applyFont="1" applyBorder="1" applyAlignment="1">
      <alignment horizontal="center"/>
    </xf>
    <xf numFmtId="0" fontId="0" fillId="0" borderId="32" xfId="0" applyBorder="1" applyAlignment="1">
      <alignment horizontal="center"/>
    </xf>
    <xf numFmtId="0" fontId="0" fillId="0" borderId="34" xfId="0" applyBorder="1" applyAlignment="1">
      <alignment horizontal="center"/>
    </xf>
    <xf numFmtId="0" fontId="0" fillId="0" borderId="32" xfId="0" applyBorder="1"/>
    <xf numFmtId="0" fontId="0" fillId="0" borderId="28" xfId="0" applyBorder="1"/>
    <xf numFmtId="0" fontId="0" fillId="0" borderId="33" xfId="0" applyBorder="1"/>
    <xf numFmtId="0" fontId="18" fillId="0" borderId="23" xfId="0" applyFont="1" applyFill="1" applyBorder="1" applyAlignment="1">
      <alignment horizontal="center"/>
    </xf>
    <xf numFmtId="0" fontId="21" fillId="0" borderId="26"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15" fillId="0" borderId="26" xfId="0" applyFont="1" applyBorder="1" applyAlignment="1">
      <alignment horizontal="center"/>
    </xf>
    <xf numFmtId="0" fontId="15" fillId="0" borderId="24" xfId="0" applyFont="1" applyBorder="1" applyAlignment="1">
      <alignment horizontal="center"/>
    </xf>
    <xf numFmtId="0" fontId="15" fillId="0" borderId="25" xfId="0" applyFont="1" applyBorder="1" applyAlignment="1">
      <alignment horizontal="center"/>
    </xf>
    <xf numFmtId="0" fontId="12" fillId="0" borderId="32" xfId="0" applyFont="1" applyBorder="1" applyAlignment="1">
      <alignment horizontal="center"/>
    </xf>
    <xf numFmtId="166" fontId="22" fillId="6" borderId="0" xfId="0" applyNumberFormat="1" applyFont="1" applyFill="1" applyBorder="1" applyAlignment="1">
      <alignment horizontal="center"/>
    </xf>
    <xf numFmtId="0" fontId="22" fillId="0" borderId="24" xfId="0" applyFont="1" applyBorder="1" applyAlignment="1">
      <alignment horizontal="center"/>
    </xf>
    <xf numFmtId="0" fontId="15" fillId="0" borderId="23" xfId="0" applyFont="1" applyFill="1" applyBorder="1" applyAlignment="1">
      <alignment horizontal="center"/>
    </xf>
    <xf numFmtId="0" fontId="18" fillId="0" borderId="23" xfId="0" quotePrefix="1" applyFont="1" applyFill="1" applyBorder="1" applyAlignment="1">
      <alignment horizontal="center"/>
    </xf>
    <xf numFmtId="0" fontId="0" fillId="0" borderId="23" xfId="0" applyBorder="1"/>
    <xf numFmtId="0" fontId="0" fillId="0" borderId="23" xfId="0" applyBorder="1" applyAlignment="1">
      <alignment horizontal="center"/>
    </xf>
    <xf numFmtId="0" fontId="12" fillId="0" borderId="24" xfId="0" applyFont="1" applyBorder="1" applyAlignment="1">
      <alignment horizontal="center"/>
    </xf>
    <xf numFmtId="0" fontId="19" fillId="0" borderId="0" xfId="0" applyFont="1"/>
  </cellXfs>
  <cellStyles count="61">
    <cellStyle name="_GARCH Calibration" xfId="1"/>
    <cellStyle name="Comma 0" xfId="2"/>
    <cellStyle name="Comma 2" xfId="3"/>
    <cellStyle name="Currency 0" xfId="4"/>
    <cellStyle name="Currency 2" xfId="5"/>
    <cellStyle name="Date Aligned" xfId="6"/>
    <cellStyle name="Dotted Line" xfId="7"/>
    <cellStyle name="Euro" xfId="8"/>
    <cellStyle name="Footnote" xfId="9"/>
    <cellStyle name="Hard Percent" xfId="10"/>
    <cellStyle name="Header" xfId="11"/>
    <cellStyle name="Heading 2" xfId="12" builtinId="17" customBuiltin="1"/>
    <cellStyle name="Heading 3" xfId="13" builtinId="18" customBuiltin="1"/>
    <cellStyle name="HELV" xfId="14"/>
    <cellStyle name="Input" xfId="15" builtinId="20" customBuiltin="1"/>
    <cellStyle name="Migliaia (0)_GEVA amortizing swap" xfId="16"/>
    <cellStyle name="Migliaia_GEVA amortizing swap" xfId="17"/>
    <cellStyle name="Multiple" xfId="18"/>
    <cellStyle name="Normal" xfId="0" builtinId="0"/>
    <cellStyle name="Page Number" xfId="19"/>
    <cellStyle name="RISKbigPercent" xfId="20"/>
    <cellStyle name="RISKblandrEdge" xfId="21"/>
    <cellStyle name="RISKblCorner" xfId="22"/>
    <cellStyle name="RISKbottomEdge" xfId="23"/>
    <cellStyle name="RISKbrCorner" xfId="24"/>
    <cellStyle name="RISKdarkBoxed" xfId="25"/>
    <cellStyle name="RISKdarkShade" xfId="26"/>
    <cellStyle name="RISKdbottomEdge" xfId="27"/>
    <cellStyle name="RISKdrightEdge" xfId="28"/>
    <cellStyle name="RISKdurationTime" xfId="29"/>
    <cellStyle name="RISKinNumber" xfId="30"/>
    <cellStyle name="RISKlandrEdge" xfId="31"/>
    <cellStyle name="RISKleftEdge" xfId="32"/>
    <cellStyle name="RISKlightBoxed" xfId="33"/>
    <cellStyle name="RISKltandbEdge" xfId="34"/>
    <cellStyle name="RISKnormBoxed" xfId="35"/>
    <cellStyle name="RISKnormCenter" xfId="36"/>
    <cellStyle name="RISKnormHeading" xfId="37"/>
    <cellStyle name="RISKnormItal" xfId="38"/>
    <cellStyle name="RISKnormLabel" xfId="39"/>
    <cellStyle name="RISKnormShade" xfId="40"/>
    <cellStyle name="RISKnormTitle" xfId="41"/>
    <cellStyle name="RISKoutNumber" xfId="42"/>
    <cellStyle name="RISKrightEdge" xfId="43"/>
    <cellStyle name="RISKrtandbEdge" xfId="44"/>
    <cellStyle name="RISKssTime" xfId="45"/>
    <cellStyle name="RISKtandbEdge" xfId="46"/>
    <cellStyle name="RISKtlandrEdge" xfId="47"/>
    <cellStyle name="RISKtlCorner" xfId="48"/>
    <cellStyle name="RISKtopEdge" xfId="49"/>
    <cellStyle name="RISKtrCorner" xfId="50"/>
    <cellStyle name="Style 1" xfId="51"/>
    <cellStyle name="Table Head" xfId="52"/>
    <cellStyle name="Table Head Aligned" xfId="53"/>
    <cellStyle name="Table Head Blue" xfId="54"/>
    <cellStyle name="Table Head Green" xfId="55"/>
    <cellStyle name="Table Heading" xfId="56"/>
    <cellStyle name="Table Title" xfId="57"/>
    <cellStyle name="Table Units" xfId="58"/>
    <cellStyle name="Valuta (0)_GEVA amortizing swap" xfId="59"/>
    <cellStyle name="Valuta_GEVA amortizing swap" xfId="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11</xdr:col>
      <xdr:colOff>579339</xdr:colOff>
      <xdr:row>24</xdr:row>
      <xdr:rowOff>18531</xdr:rowOff>
    </xdr:from>
    <xdr:ext cx="882101" cy="462114"/>
    <mc:AlternateContent xmlns:mc="http://schemas.openxmlformats.org/markup-compatibility/2006">
      <mc:Choice xmlns:a14="http://schemas.microsoft.com/office/drawing/2010/main" Requires="a14">
        <xdr:sp macro="" textlink="">
          <xdr:nvSpPr>
            <xdr:cNvPr id="2" name="TextBox 1"/>
            <xdr:cNvSpPr txBox="1"/>
          </xdr:nvSpPr>
          <xdr:spPr>
            <a:xfrm>
              <a:off x="10856814" y="4038081"/>
              <a:ext cx="882101"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𝑛</m:t>
                        </m:r>
                      </m:sup>
                      <m:e>
                        <m:sSub>
                          <m:sSubPr>
                            <m:ctrlPr>
                              <a:rPr lang="en-US" sz="1100" i="1">
                                <a:latin typeface="Cambria Math" panose="02040503050406030204" pitchFamily="18" charset="0"/>
                                <a:ea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m:t>
                            </m:r>
                          </m:e>
                          <m:sub>
                            <m:r>
                              <a:rPr lang="en-US" sz="1100" b="0" i="1">
                                <a:latin typeface="Cambria Math" panose="02040503050406030204" pitchFamily="18" charset="0"/>
                                <a:ea typeface="Cambria Math" panose="02040503050406030204" pitchFamily="18" charset="0"/>
                              </a:rPr>
                              <m:t>𝑖</m:t>
                            </m:r>
                          </m:sub>
                        </m:sSub>
                        <m:r>
                          <a:rPr lang="en-US" sz="1100" b="0" i="1">
                            <a:latin typeface="Cambria Math" panose="02040503050406030204" pitchFamily="18" charset="0"/>
                            <a:ea typeface="Cambria Math" panose="02040503050406030204" pitchFamily="18" charset="0"/>
                          </a:rPr>
                          <m:t>𝑑𝑓</m:t>
                        </m:r>
                        <m:r>
                          <a:rPr lang="en-US" sz="1100" b="0" i="1">
                            <a:latin typeface="Cambria Math" panose="02040503050406030204" pitchFamily="18" charset="0"/>
                            <a:ea typeface="Cambria Math" panose="02040503050406030204" pitchFamily="18" charset="0"/>
                          </a:rPr>
                          <m:t>(0, </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𝑡</m:t>
                            </m:r>
                          </m:e>
                          <m:sub>
                            <m:r>
                              <a:rPr lang="en-US" sz="1100" b="0" i="1">
                                <a:latin typeface="Cambria Math" panose="02040503050406030204" pitchFamily="18" charset="0"/>
                                <a:ea typeface="Cambria Math" panose="02040503050406030204" pitchFamily="18" charset="0"/>
                              </a:rPr>
                              <m:t>𝑖</m:t>
                            </m:r>
                          </m:sub>
                        </m:sSub>
                        <m:r>
                          <a:rPr lang="en-US" sz="1100" b="0" i="1">
                            <a:latin typeface="Cambria Math" panose="02040503050406030204" pitchFamily="18" charset="0"/>
                            <a:ea typeface="Cambria Math" panose="02040503050406030204" pitchFamily="18" charset="0"/>
                          </a:rPr>
                          <m:t>)</m:t>
                        </m:r>
                      </m:e>
                    </m:nary>
                  </m:oMath>
                </m:oMathPara>
              </a14:m>
              <a:endParaRPr lang="en-US" sz="1100"/>
            </a:p>
          </xdr:txBody>
        </xdr:sp>
      </mc:Choice>
      <mc:Fallback>
        <xdr:sp macro="" textlink="">
          <xdr:nvSpPr>
            <xdr:cNvPr id="2" name="TextBox 1"/>
            <xdr:cNvSpPr txBox="1"/>
          </xdr:nvSpPr>
          <xdr:spPr>
            <a:xfrm>
              <a:off x="10856814" y="4038081"/>
              <a:ext cx="882101"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∑24_(</a:t>
              </a:r>
              <a:r>
                <a:rPr lang="en-US" sz="1100" b="0" i="0">
                  <a:latin typeface="Cambria Math" panose="02040503050406030204" pitchFamily="18" charset="0"/>
                </a:rPr>
                <a:t>𝑖=1)^𝑛▒〖</a:t>
              </a:r>
              <a:r>
                <a:rPr lang="en-US" sz="1100" i="0">
                  <a:latin typeface="Cambria Math" panose="02040503050406030204" pitchFamily="18" charset="0"/>
                  <a:ea typeface="Cambria Math" panose="02040503050406030204" pitchFamily="18" charset="0"/>
                </a:rPr>
                <a:t>∆_</a:t>
              </a:r>
              <a:r>
                <a:rPr lang="en-US" sz="1100" b="0" i="0">
                  <a:latin typeface="Cambria Math" panose="02040503050406030204" pitchFamily="18" charset="0"/>
                  <a:ea typeface="Cambria Math" panose="02040503050406030204" pitchFamily="18" charset="0"/>
                </a:rPr>
                <a:t>𝑖 𝑑𝑓(0, 𝑡_𝑖)〗</a:t>
              </a:r>
              <a:endParaRPr lang="en-US" sz="1100"/>
            </a:p>
          </xdr:txBody>
        </xdr:sp>
      </mc:Fallback>
    </mc:AlternateContent>
    <xdr:clientData/>
  </xdr:oneCellAnchor>
  <xdr:oneCellAnchor>
    <xdr:from>
      <xdr:col>0</xdr:col>
      <xdr:colOff>611933</xdr:colOff>
      <xdr:row>16</xdr:row>
      <xdr:rowOff>28768</xdr:rowOff>
    </xdr:from>
    <xdr:ext cx="1455911" cy="431283"/>
    <mc:AlternateContent xmlns:mc="http://schemas.openxmlformats.org/markup-compatibility/2006">
      <mc:Choice xmlns:a14="http://schemas.microsoft.com/office/drawing/2010/main" Requires="a14">
        <xdr:sp macro="" textlink="">
          <xdr:nvSpPr>
            <xdr:cNvPr id="3" name="TextBox 2"/>
            <xdr:cNvSpPr txBox="1"/>
          </xdr:nvSpPr>
          <xdr:spPr>
            <a:xfrm>
              <a:off x="611933" y="2503972"/>
              <a:ext cx="1455911" cy="431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solidFill>
                              <a:schemeClr val="tx1"/>
                            </a:solidFill>
                            <a:effectLst/>
                            <a:latin typeface="+mn-lt"/>
                            <a:ea typeface="+mn-ea"/>
                            <a:cs typeface="+mn-cs"/>
                          </a:rPr>
                          <m:t>1 −</m:t>
                        </m:r>
                        <m:nary>
                          <m:naryPr>
                            <m:chr m:val="∑"/>
                            <m:ctrlPr>
                              <a:rPr lang="en-US" sz="1100" i="1">
                                <a:solidFill>
                                  <a:schemeClr val="tx1"/>
                                </a:solidFill>
                                <a:effectLst/>
                                <a:latin typeface="+mn-lt"/>
                                <a:ea typeface="+mn-ea"/>
                                <a:cs typeface="+mn-cs"/>
                              </a:rPr>
                            </m:ctrlPr>
                          </m:naryPr>
                          <m:sub>
                            <m:r>
                              <m:rPr>
                                <m:brk m:alnAt="23"/>
                              </m:rP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𝑛</m:t>
                            </m:r>
                            <m:r>
                              <a:rPr lang="en-US" sz="1100" b="0" i="1">
                                <a:solidFill>
                                  <a:schemeClr val="tx1"/>
                                </a:solidFill>
                                <a:effectLst/>
                                <a:latin typeface="+mn-lt"/>
                                <a:ea typeface="+mn-ea"/>
                                <a:cs typeface="+mn-cs"/>
                              </a:rPr>
                              <m:t>−1</m:t>
                            </m:r>
                          </m:sup>
                          <m:e>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𝑆</m:t>
                                </m:r>
                              </m:e>
                              <m:sub>
                                <m:r>
                                  <a:rPr lang="en-US" sz="1100" b="0" i="1">
                                    <a:solidFill>
                                      <a:schemeClr val="tx1"/>
                                    </a:solidFill>
                                    <a:effectLst/>
                                    <a:latin typeface="+mn-lt"/>
                                    <a:ea typeface="+mn-ea"/>
                                    <a:cs typeface="+mn-cs"/>
                                  </a:rPr>
                                  <m:t>𝑇</m:t>
                                </m:r>
                              </m:sub>
                            </m:sSub>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𝑑𝑓</m:t>
                            </m:r>
                            <m:d>
                              <m:dPr>
                                <m:ctrlPr>
                                  <a:rPr lang="en-US" sz="1100" b="0" i="1">
                                    <a:solidFill>
                                      <a:schemeClr val="tx1"/>
                                    </a:solidFill>
                                    <a:effectLst/>
                                    <a:latin typeface="+mn-lt"/>
                                    <a:ea typeface="+mn-ea"/>
                                    <a:cs typeface="+mn-cs"/>
                                  </a:rPr>
                                </m:ctrlPr>
                              </m:dPr>
                              <m:e>
                                <m:r>
                                  <a:rPr lang="en-US" sz="1100" b="0" i="1">
                                    <a:solidFill>
                                      <a:schemeClr val="tx1"/>
                                    </a:solidFill>
                                    <a:effectLst/>
                                    <a:latin typeface="+mn-lt"/>
                                    <a:ea typeface="+mn-ea"/>
                                    <a:cs typeface="+mn-cs"/>
                                  </a:rPr>
                                  <m:t>0, </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𝑡</m:t>
                                    </m:r>
                                  </m:e>
                                  <m:sub>
                                    <m:r>
                                      <a:rPr lang="en-US" sz="1100" b="0" i="1">
                                        <a:solidFill>
                                          <a:schemeClr val="tx1"/>
                                        </a:solidFill>
                                        <a:effectLst/>
                                        <a:latin typeface="+mn-lt"/>
                                        <a:ea typeface="+mn-ea"/>
                                        <a:cs typeface="+mn-cs"/>
                                      </a:rPr>
                                      <m:t>𝑖</m:t>
                                    </m:r>
                                  </m:sub>
                                </m:sSub>
                              </m:e>
                            </m:d>
                          </m:e>
                        </m:nary>
                      </m:num>
                      <m:den>
                        <m:r>
                          <a:rPr lang="en-US"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𝑇</m:t>
                            </m:r>
                          </m:sub>
                        </m:sSub>
                        <m:sSub>
                          <m:sSubPr>
                            <m:ctrlPr>
                              <a:rPr lang="en-US" sz="1100" b="0" i="1">
                                <a:latin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m:t>
                            </m:r>
                          </m:e>
                          <m:sub>
                            <m:r>
                              <a:rPr lang="en-US" sz="1100" b="0" i="1">
                                <a:latin typeface="Cambria Math" panose="02040503050406030204" pitchFamily="18" charset="0"/>
                              </a:rPr>
                              <m:t>𝑛</m:t>
                            </m:r>
                          </m:sub>
                        </m:sSub>
                      </m:den>
                    </m:f>
                  </m:oMath>
                </m:oMathPara>
              </a14:m>
              <a:endParaRPr lang="en-US" sz="1100"/>
            </a:p>
          </xdr:txBody>
        </xdr:sp>
      </mc:Choice>
      <mc:Fallback>
        <xdr:sp macro="" textlink="">
          <xdr:nvSpPr>
            <xdr:cNvPr id="3" name="TextBox 2"/>
            <xdr:cNvSpPr txBox="1"/>
          </xdr:nvSpPr>
          <xdr:spPr>
            <a:xfrm>
              <a:off x="611933" y="2503972"/>
              <a:ext cx="1455911" cy="4312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i="0">
                  <a:latin typeface="Cambria Math" panose="02040503050406030204" pitchFamily="18" charset="0"/>
                </a:rPr>
                <a:t>(</a:t>
              </a:r>
              <a:r>
                <a:rPr lang="en-US" sz="1100" b="0" i="0">
                  <a:solidFill>
                    <a:schemeClr val="tx1"/>
                  </a:solidFill>
                  <a:effectLst/>
                  <a:latin typeface="+mn-lt"/>
                  <a:ea typeface="+mn-ea"/>
                  <a:cs typeface="+mn-cs"/>
                </a:rPr>
                <a:t>1 −∑_(𝑖=1)^(𝑛−1)▒〖𝑆_𝑇 </a:t>
              </a:r>
              <a:r>
                <a:rPr lang="en-US" sz="1100" i="0">
                  <a:solidFill>
                    <a:schemeClr val="tx1"/>
                  </a:solidFill>
                  <a:effectLst/>
                  <a:latin typeface="+mn-lt"/>
                  <a:ea typeface="+mn-ea"/>
                  <a:cs typeface="+mn-cs"/>
                </a:rPr>
                <a:t>∆_</a:t>
              </a:r>
              <a:r>
                <a:rPr lang="en-US" sz="1100" b="0" i="0">
                  <a:solidFill>
                    <a:schemeClr val="tx1"/>
                  </a:solidFill>
                  <a:effectLst/>
                  <a:latin typeface="+mn-lt"/>
                  <a:ea typeface="+mn-ea"/>
                  <a:cs typeface="+mn-cs"/>
                </a:rPr>
                <a:t>𝑖 𝑑𝑓(0, 𝑡_𝑖 ) 〗</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1+𝑆_𝑇 </a:t>
              </a:r>
              <a:r>
                <a:rPr lang="en-US" sz="1100" b="0" i="0">
                  <a:latin typeface="Cambria Math" panose="02040503050406030204" pitchFamily="18" charset="0"/>
                  <a:ea typeface="Cambria Math" panose="02040503050406030204" pitchFamily="18" charset="0"/>
                </a:rPr>
                <a:t>∆_</a:t>
              </a:r>
              <a:r>
                <a:rPr lang="en-US" sz="1100" b="0" i="0">
                  <a:latin typeface="Cambria Math" panose="02040503050406030204" pitchFamily="18" charset="0"/>
                </a:rPr>
                <a:t>𝑛 )</a:t>
              </a:r>
              <a:endParaRPr lang="en-US"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rut156v5cap\Citideriv\Epsilon\Hedge%20Fund%20Analytics\Joe%20Hedberg\Grid%20Vol%20Surface\HF%20Analytics%20Vol%20Grid%20-%20Merger%20Ar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rut156v5cap\Citideriv\AL\Hype\regressionTest\HFDA%20Regress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Epsilon\Hedge%20Fund%20Analytics\UAT%20Version%202.5\HFAnalytics%20Template%20-%204%20-r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Input-Detailed"/>
      <sheetName val="Portfolio-Input-Returns"/>
      <sheetName val="Portfolio-Model-Summary"/>
      <sheetName val="Index Returns (alpha adj)"/>
      <sheetName val="Index Returns (not alpha adj)"/>
      <sheetName val="Citi2HFRX Mapping"/>
      <sheetName val="Portfolio Rtns (alpha adj)"/>
      <sheetName val="Portfolio Rtns (not alpha adj)"/>
      <sheetName val="Illiquid Option Model"/>
      <sheetName val="Grid Sender"/>
      <sheetName val="Vol Surface Completion"/>
      <sheetName val="All surfaces"/>
      <sheetName val="Conc Vol-Kurtosis Multiples"/>
      <sheetName val="Calib. to substrats"/>
      <sheetName val="Calib. to substrats (alpha adj)"/>
      <sheetName val="Ratings Table"/>
    </sheetNames>
    <sheetDataSet>
      <sheetData sheetId="0">
        <row r="1">
          <cell r="G1">
            <v>15</v>
          </cell>
        </row>
        <row r="2">
          <cell r="G2" t="str">
            <v>mergerarb</v>
          </cell>
        </row>
        <row r="3">
          <cell r="G3" t="str">
            <v>G:\Epsilon\Hedge Fund Analytics\Joe Hedberg\Grid Vol Surface\XMLInput\</v>
          </cell>
        </row>
      </sheetData>
      <sheetData sheetId="1"/>
      <sheetData sheetId="2" refreshError="1"/>
      <sheetData sheetId="3" refreshError="1"/>
      <sheetData sheetId="4" refreshError="1"/>
      <sheetData sheetId="5"/>
      <sheetData sheetId="6" refreshError="1"/>
      <sheetData sheetId="7" refreshError="1"/>
      <sheetData sheetId="8">
        <row r="4">
          <cell r="D4">
            <v>170</v>
          </cell>
        </row>
        <row r="8">
          <cell r="B8">
            <v>39611</v>
          </cell>
        </row>
        <row r="11">
          <cell r="AM11">
            <v>4.7144485023283285E-2</v>
          </cell>
        </row>
        <row r="12">
          <cell r="AM12">
            <v>5.4931955484838424E-2</v>
          </cell>
        </row>
        <row r="13">
          <cell r="AM13">
            <v>5.4931955484838424E-2</v>
          </cell>
        </row>
        <row r="14">
          <cell r="AM14">
            <v>0.48029536886646579</v>
          </cell>
        </row>
        <row r="15">
          <cell r="AM15">
            <v>0</v>
          </cell>
        </row>
        <row r="21">
          <cell r="C21">
            <v>60</v>
          </cell>
          <cell r="AP21">
            <v>5.6999999999999995E-2</v>
          </cell>
        </row>
        <row r="22">
          <cell r="C22">
            <v>6</v>
          </cell>
          <cell r="AP22">
            <v>5.6999999999999995E-2</v>
          </cell>
        </row>
        <row r="26">
          <cell r="AP26">
            <v>1</v>
          </cell>
        </row>
        <row r="39">
          <cell r="I39">
            <v>0.99500999000499901</v>
          </cell>
        </row>
      </sheetData>
      <sheetData sheetId="9">
        <row r="13">
          <cell r="A13" t="str">
            <v>mergerarb - (15 mgr,6m,T=1,K=90)</v>
          </cell>
          <cell r="C13" t="str">
            <v>G:\Epsilon\Hedge Fund Analytics\Joe Hedberg\Grid Vol Surface\XMLOutput\mergerarb - (15 mgr,6m,T=1,K=90) (out).xml</v>
          </cell>
        </row>
      </sheetData>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Optimal Hedging1"/>
      <sheetName val="Optimal Hedging 2"/>
      <sheetName val="Equivalent Loss Simulation1"/>
      <sheetName val="Equivalent Loss Simulation2"/>
      <sheetName val="Corr Collapse - Equiv Loss"/>
      <sheetName val="Corr Collapse - CFO"/>
      <sheetName val="Non-RN Equiv. Loss"/>
      <sheetName val="Ratings Interpolation"/>
      <sheetName val="PortfolioVol"/>
      <sheetName val="nPeriodHaircut"/>
      <sheetName val="linearRegression"/>
      <sheetName val="PESim"/>
      <sheetName val="Simulate Chunky Weights"/>
      <sheetName val="Gap Protection"/>
      <sheetName val="GARCH MC Sim"/>
      <sheetName val="GARCH MC Sim with Vol"/>
      <sheetName val="GARCH calibration"/>
      <sheetName val="MatrixRegularize"/>
      <sheetName val="JumpDiff"/>
      <sheetName val="CliquetPrices"/>
      <sheetName val="MCParams_CHC_52Funds"/>
      <sheetName val="MCParams_Amatra"/>
      <sheetName val="MCParams_HC_Calc"/>
      <sheetName val="MCParams_HC_Dist"/>
      <sheetName val="HaircutBaseTable"/>
      <sheetName val="FundParams"/>
      <sheetName val="CS Tremont HF Index Returns"/>
      <sheetName val="StrategyConcenLimit"/>
      <sheetName val="StrategyConcenLimit_HC_Dist"/>
      <sheetName val="Liquidity"/>
      <sheetName val="SimPrices"/>
      <sheetName val="SimPricesConst"/>
      <sheetName val="FundParams_CHC"/>
      <sheetName val="StratConcen_CHC"/>
      <sheetName val="FundParams_Amatra"/>
      <sheetName val="SimWeights"/>
      <sheetName val="checksimprices"/>
      <sheetName val="CollateralDefaultProb"/>
      <sheetName val="SimWeightsMoodys"/>
      <sheetName val="CollateralDefaultProbMoodys"/>
      <sheetName val="JD_MC_Cliquet"/>
    </sheetNames>
    <sheetDataSet>
      <sheetData sheetId="0">
        <row r="2">
          <cell r="C2">
            <v>1E-10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yr"/>
      <sheetName val="9yr"/>
      <sheetName val="7yr"/>
      <sheetName val="5yr"/>
      <sheetName val="4yr"/>
      <sheetName val="3yr"/>
      <sheetName val="2yr"/>
      <sheetName val="1yr"/>
      <sheetName val="9m"/>
      <sheetName val="6m"/>
      <sheetName val="3m"/>
      <sheetName val="SURFACE"/>
      <sheetName val="START"/>
      <sheetName val="OPTIONS"/>
      <sheetName val="GAP RISK"/>
      <sheetName val="GARCH ANALYSIS"/>
      <sheetName val="Yield Cur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2">
          <cell r="Q32" t="str">
            <v>CASI</v>
          </cell>
        </row>
        <row r="49">
          <cell r="O49" t="str">
            <v>c</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showGridLines="0" tabSelected="1" zoomScaleNormal="100" workbookViewId="0">
      <selection activeCell="M28" sqref="M28"/>
    </sheetView>
  </sheetViews>
  <sheetFormatPr defaultRowHeight="12.75"/>
  <cols>
    <col min="1" max="1" width="31" customWidth="1"/>
    <col min="2" max="2" width="10" bestFit="1" customWidth="1"/>
    <col min="3" max="3" width="14.85546875" style="1" bestFit="1" customWidth="1"/>
    <col min="4" max="4" width="17.140625" style="1" customWidth="1"/>
    <col min="5" max="5" width="11.28515625" bestFit="1" customWidth="1"/>
    <col min="6" max="6" width="7.5703125" bestFit="1" customWidth="1"/>
    <col min="7" max="7" width="16.140625" bestFit="1" customWidth="1"/>
    <col min="8" max="8" width="19.5703125" bestFit="1" customWidth="1"/>
    <col min="9" max="10" width="12.5703125" customWidth="1"/>
    <col min="11" max="11" width="1.42578125" customWidth="1"/>
    <col min="12" max="12" width="22.5703125" bestFit="1" customWidth="1"/>
    <col min="13" max="13" width="7.85546875" customWidth="1"/>
    <col min="14" max="14" width="15.140625" bestFit="1" customWidth="1"/>
    <col min="15" max="15" width="14.42578125" bestFit="1" customWidth="1"/>
  </cols>
  <sheetData>
    <row r="1" spans="1:15">
      <c r="A1" t="s">
        <v>32</v>
      </c>
    </row>
    <row r="2" spans="1:15">
      <c r="A2" t="s">
        <v>33</v>
      </c>
    </row>
    <row r="3" spans="1:15" ht="13.5" thickBot="1">
      <c r="A3" t="s">
        <v>34</v>
      </c>
      <c r="B3" s="64"/>
    </row>
    <row r="4" spans="1:15" ht="13.5" thickBot="1">
      <c r="A4" s="63"/>
      <c r="B4" s="3" t="s">
        <v>0</v>
      </c>
      <c r="C4" s="32" t="s">
        <v>25</v>
      </c>
      <c r="D4" s="3" t="s">
        <v>1</v>
      </c>
      <c r="E4" s="76" t="s">
        <v>2</v>
      </c>
      <c r="F4" s="76" t="s">
        <v>21</v>
      </c>
      <c r="G4" s="77" t="s">
        <v>61</v>
      </c>
      <c r="H4" s="66" t="s">
        <v>35</v>
      </c>
      <c r="I4" s="32" t="s">
        <v>31</v>
      </c>
      <c r="J4" s="46" t="s">
        <v>23</v>
      </c>
      <c r="K4" s="2"/>
      <c r="L4" s="3" t="s">
        <v>2</v>
      </c>
      <c r="M4" s="3" t="s">
        <v>3</v>
      </c>
      <c r="N4" s="32" t="s">
        <v>31</v>
      </c>
      <c r="O4" s="32" t="s">
        <v>22</v>
      </c>
    </row>
    <row r="5" spans="1:15">
      <c r="A5" s="63"/>
      <c r="B5" s="59" t="s">
        <v>4</v>
      </c>
      <c r="C5" s="58" t="s">
        <v>5</v>
      </c>
      <c r="D5" s="8">
        <v>0.72011000000000003</v>
      </c>
      <c r="E5" s="7" t="s">
        <v>59</v>
      </c>
      <c r="F5" s="7" t="s">
        <v>5</v>
      </c>
      <c r="G5" s="47" t="s">
        <v>61</v>
      </c>
      <c r="H5" s="45">
        <f ca="1">1 / (1 + (D5/100) * (1/52))</f>
        <v>0.99986153648249299</v>
      </c>
      <c r="I5" s="11">
        <f ca="1">LN(H5)</f>
        <v>-1.3847310446482781E-4</v>
      </c>
      <c r="J5" s="11">
        <f ca="1">(-1 * I5) / (1/52)</f>
        <v>7.2006014321710455E-3</v>
      </c>
      <c r="L5" s="4">
        <v>1.8</v>
      </c>
      <c r="M5" s="19">
        <f ca="1">(2-1.8)/(2-1.75)</f>
        <v>0.79999999999999982</v>
      </c>
      <c r="N5" s="48">
        <f ca="1">M5*LN(G15) + (1-M5)*I16</f>
        <v>-2.5275737786541023E-2</v>
      </c>
      <c r="O5" s="29">
        <f ca="1">EXP(N5)</f>
        <v>0.97504101930564424</v>
      </c>
    </row>
    <row r="6" spans="1:15">
      <c r="A6" s="63" t="s">
        <v>70</v>
      </c>
      <c r="B6" s="61"/>
      <c r="C6" s="59" t="s">
        <v>6</v>
      </c>
      <c r="D6" s="8">
        <v>0.77832999999999997</v>
      </c>
      <c r="E6" s="12" t="s">
        <v>59</v>
      </c>
      <c r="F6" s="12" t="s">
        <v>6</v>
      </c>
      <c r="G6" s="42" t="s">
        <v>61</v>
      </c>
      <c r="H6" s="13">
        <f ca="1">1 / (1 + (D6/100) * (1/12))</f>
        <v>0.99935181208674884</v>
      </c>
      <c r="I6" s="14">
        <f ca="1">LN(H6)</f>
        <v>-6.4839807785895237E-4</v>
      </c>
      <c r="J6" s="14">
        <f ca="1">(-1 * I6)/(1/12)</f>
        <v>7.7807769343074288E-3</v>
      </c>
      <c r="L6" s="4">
        <v>2.2999999999999998</v>
      </c>
      <c r="M6" s="22">
        <f ca="1">(2.5-L6)/(2.5-2)</f>
        <v>0.40000000000000036</v>
      </c>
      <c r="N6" s="49">
        <f ca="1">M6*I16 + (1-M6)*I17</f>
        <v>-3.6200467597511644E-2</v>
      </c>
      <c r="O6" s="30">
        <f ca="1">EXP(N6)</f>
        <v>0.9644469337428544</v>
      </c>
    </row>
    <row r="7" spans="1:15">
      <c r="A7" s="63" t="s">
        <v>71</v>
      </c>
      <c r="B7" s="61"/>
      <c r="C7" s="59" t="s">
        <v>7</v>
      </c>
      <c r="D7" s="8">
        <v>0.84221999999999997</v>
      </c>
      <c r="E7" s="12" t="s">
        <v>59</v>
      </c>
      <c r="F7" s="12" t="s">
        <v>7</v>
      </c>
      <c r="G7" s="42" t="s">
        <v>61</v>
      </c>
      <c r="H7" s="13">
        <f ca="1">1 / (1 + (D7/100) * (2/12))</f>
        <v>0.99859826761175341</v>
      </c>
      <c r="I7" s="14">
        <f ca="1">LN(H7)</f>
        <v>-1.4027157341233172E-3</v>
      </c>
      <c r="J7" s="14">
        <f ca="1">(-1*I7)/(2/12)</f>
        <v>8.4162944047399043E-3</v>
      </c>
      <c r="L7" s="4">
        <v>2.7</v>
      </c>
      <c r="M7" s="22">
        <f ca="1">(3-L7)/(3-2.5)</f>
        <v>0.59999999999999964</v>
      </c>
      <c r="N7" s="49">
        <f ca="1">M7*I17+(1-M7)*I18</f>
        <v>-4.474645868410615E-2</v>
      </c>
      <c r="O7" s="30">
        <f ca="1">EXP(N7)</f>
        <v>0.95623989742252025</v>
      </c>
    </row>
    <row r="8" spans="1:15" ht="13.5" thickBot="1">
      <c r="A8" s="63"/>
      <c r="B8" s="62"/>
      <c r="C8" s="60" t="s">
        <v>8</v>
      </c>
      <c r="D8" s="57">
        <v>1.0389999999999999</v>
      </c>
      <c r="E8" s="15" t="s">
        <v>59</v>
      </c>
      <c r="F8" s="15" t="s">
        <v>8</v>
      </c>
      <c r="G8" s="56" t="s">
        <v>61</v>
      </c>
      <c r="H8" s="16">
        <f ca="1">1 / (1 + (D8/100) * (3/12))</f>
        <v>0.9974092295263054</v>
      </c>
      <c r="I8" s="17">
        <f ca="1">LN(H8)</f>
        <v>-2.5941323273010112E-3</v>
      </c>
      <c r="J8" s="17">
        <f ca="1">(-1*I8)/(3/12)</f>
        <v>1.0376529309204045E-2</v>
      </c>
      <c r="L8" s="4">
        <v>3.1</v>
      </c>
      <c r="M8" s="22">
        <f ca="1">(3.5-L8)/(3.5-3)</f>
        <v>0.79999999999999982</v>
      </c>
      <c r="N8" s="49">
        <f ca="1">M8*I18+(1-M8)*I19</f>
        <v>-5.3771167447287604E-2</v>
      </c>
      <c r="O8" s="30">
        <f ca="1">EXP(N8)</f>
        <v>0.9476489346169702</v>
      </c>
    </row>
    <row r="9" spans="1:15" ht="13.5" thickBot="1">
      <c r="A9" s="63"/>
      <c r="B9" s="78"/>
      <c r="C9" s="79"/>
      <c r="D9" s="79"/>
      <c r="E9" s="78"/>
      <c r="F9" s="65"/>
      <c r="G9" s="66" t="s">
        <v>60</v>
      </c>
      <c r="H9" s="66"/>
      <c r="I9" s="78"/>
      <c r="J9" s="65"/>
      <c r="L9" s="4">
        <v>3.3</v>
      </c>
      <c r="M9" s="22">
        <f ca="1">(3.5-L9)/(3.5-3)</f>
        <v>0.40000000000000036</v>
      </c>
      <c r="N9" s="49">
        <f ca="1">M9*I18+(1-M9)*I19</f>
        <v>-5.8363437215648038E-2</v>
      </c>
      <c r="O9" s="30">
        <f ca="1">EXP(N9)</f>
        <v>0.94330705224156752</v>
      </c>
    </row>
    <row r="10" spans="1:15">
      <c r="A10" t="s">
        <v>69</v>
      </c>
      <c r="B10" s="67" t="s">
        <v>9</v>
      </c>
      <c r="C10" s="70" t="s">
        <v>24</v>
      </c>
      <c r="D10" s="9">
        <v>98.92</v>
      </c>
      <c r="E10" s="18" t="s">
        <v>8</v>
      </c>
      <c r="F10" s="19" t="s">
        <v>36</v>
      </c>
      <c r="G10" s="51">
        <f ca="1">H8/(1 + (90 / 360) * ((100 - D10)/100))</f>
        <v>0.99472347614072554</v>
      </c>
      <c r="H10" s="41">
        <f ca="1">G10/H8</f>
        <v>0.99730727037000111</v>
      </c>
      <c r="I10" s="14">
        <f ca="1">LN(H10)</f>
        <v>-2.6963615477424967E-3</v>
      </c>
      <c r="J10" s="21">
        <f ca="1">(-1*I10)/(1/2)</f>
        <v>5.3927230954849935E-3</v>
      </c>
      <c r="L10" s="4">
        <v>4.2</v>
      </c>
      <c r="M10" s="22">
        <f ca="1">(4.5-L10)/(4.5-4)</f>
        <v>0.59999999999999964</v>
      </c>
      <c r="N10" s="49">
        <f ca="1">M10*I20+(1-M10)*I21</f>
        <v>-8.0257049178589668E-2</v>
      </c>
      <c r="O10" s="30">
        <f ca="1">EXP(N10)</f>
        <v>0.92287909058256556</v>
      </c>
    </row>
    <row r="11" spans="1:15" ht="13.5" thickBot="1">
      <c r="A11" t="s">
        <v>65</v>
      </c>
      <c r="B11" s="68"/>
      <c r="C11" s="71" t="s">
        <v>26</v>
      </c>
      <c r="D11" s="8">
        <v>98.754999999999995</v>
      </c>
      <c r="E11" s="12" t="s">
        <v>36</v>
      </c>
      <c r="F11" s="22" t="s">
        <v>37</v>
      </c>
      <c r="G11" s="52">
        <f ca="1">G10 / (1 + (90/360)*((100-D11) / 100))</f>
        <v>0.99163700595967597</v>
      </c>
      <c r="H11" s="41">
        <f ca="1">G11/H10</f>
        <v>0.99431442587576702</v>
      </c>
      <c r="I11" s="14">
        <f ca="1">LN(H11)</f>
        <v>-5.7017985267150259E-3</v>
      </c>
      <c r="J11" s="23">
        <f ca="1">(-1*I11)/(9/12)</f>
        <v>7.6023980356200345E-3</v>
      </c>
      <c r="L11" s="6">
        <v>4.7</v>
      </c>
      <c r="M11" s="24">
        <f ca="1">(5-L11)/(5-4.5)</f>
        <v>0.59999999999999964</v>
      </c>
      <c r="N11" s="50">
        <f ca="1">M11*I21+(1-M11)*I22</f>
        <v>-9.2969085898140014E-2</v>
      </c>
      <c r="O11" s="31">
        <f ca="1">EXP(N11)</f>
        <v>0.91122166946023286</v>
      </c>
    </row>
    <row r="12" spans="1:15">
      <c r="A12" t="s">
        <v>66</v>
      </c>
      <c r="B12" s="68"/>
      <c r="C12" s="71" t="s">
        <v>27</v>
      </c>
      <c r="D12" s="8">
        <v>98.635000000000005</v>
      </c>
      <c r="E12" s="12" t="s">
        <v>37</v>
      </c>
      <c r="F12" s="22" t="s">
        <v>38</v>
      </c>
      <c r="G12" s="52">
        <f ca="1">G11 / (1 + (90/360) * (100 - D12)/100)</f>
        <v>0.98826455317197659</v>
      </c>
      <c r="H12" s="41">
        <f ca="1">G12/H11</f>
        <v>0.9939155336115516</v>
      </c>
      <c r="I12" s="14">
        <f ca="1">LN(H12)</f>
        <v>-6.1030521821726904E-3</v>
      </c>
      <c r="J12" s="14">
        <f ca="1">(-1*I12)/(1)</f>
        <v>6.1030521821726904E-3</v>
      </c>
      <c r="L12" s="1"/>
      <c r="M12" t="s">
        <v>72</v>
      </c>
      <c r="N12" s="5"/>
    </row>
    <row r="13" spans="1:15">
      <c r="B13" s="68"/>
      <c r="C13" s="71" t="s">
        <v>28</v>
      </c>
      <c r="D13" s="8">
        <v>98.484999999999999</v>
      </c>
      <c r="E13" s="12" t="s">
        <v>38</v>
      </c>
      <c r="F13" s="22" t="s">
        <v>39</v>
      </c>
      <c r="G13" s="52">
        <f ca="1">G12 / (1 + (90/360) * (100 - D13)/100)</f>
        <v>0.98453562449420473</v>
      </c>
      <c r="H13" s="41">
        <f ca="1">G13/H12</f>
        <v>0.99056266976403573</v>
      </c>
      <c r="I13" s="14">
        <f ca="1">LN(H13)</f>
        <v>-9.4821440080593063E-3</v>
      </c>
      <c r="J13" s="14">
        <f ca="1">(-1*I13)/(1 + (3/12))</f>
        <v>7.5857152064474449E-3</v>
      </c>
      <c r="M13" t="s">
        <v>73</v>
      </c>
      <c r="N13" s="5"/>
    </row>
    <row r="14" spans="1:15">
      <c r="B14" s="68"/>
      <c r="C14" s="71" t="s">
        <v>29</v>
      </c>
      <c r="D14" s="8">
        <v>98.364999999999995</v>
      </c>
      <c r="E14" s="12" t="s">
        <v>39</v>
      </c>
      <c r="F14" s="22" t="s">
        <v>40</v>
      </c>
      <c r="G14" s="52">
        <f ca="1">G13 / (1 + (90/360) * ((100-D14)/100))</f>
        <v>0.98052771744913136</v>
      </c>
      <c r="H14" s="41">
        <f ca="1">G14/H13</f>
        <v>0.98986944226628815</v>
      </c>
      <c r="I14" s="14">
        <f ca="1">LN(H14)</f>
        <v>-1.0182221048670319E-2</v>
      </c>
      <c r="J14" s="14">
        <f ca="1">(-1*I14)/(1.5)</f>
        <v>6.788147365780213E-3</v>
      </c>
      <c r="M14" t="s">
        <v>74</v>
      </c>
      <c r="N14" s="5"/>
    </row>
    <row r="15" spans="1:15" ht="13.5" thickBot="1">
      <c r="B15" s="69"/>
      <c r="C15" s="72" t="s">
        <v>30</v>
      </c>
      <c r="D15" s="10">
        <v>98.234999999999999</v>
      </c>
      <c r="E15" s="15" t="s">
        <v>40</v>
      </c>
      <c r="F15" s="24" t="s">
        <v>41</v>
      </c>
      <c r="G15" s="53">
        <f ca="1">G14 / (1 + (90/360) * ((100-D15)/100))</f>
        <v>0.97622014605466523</v>
      </c>
      <c r="H15" s="17">
        <f ca="1">G15/H14</f>
        <v>0.98621101366623354</v>
      </c>
      <c r="I15" s="17">
        <f ca="1">LN(H15)</f>
        <v>-1.3884937472850632E-2</v>
      </c>
      <c r="J15" s="17">
        <f ca="1">(-1*I15)/(1 + (9/12))</f>
        <v>7.9342499844860751E-3</v>
      </c>
      <c r="M15" t="s">
        <v>75</v>
      </c>
    </row>
    <row r="16" spans="1:15">
      <c r="A16" s="63" t="s">
        <v>68</v>
      </c>
      <c r="B16" s="58" t="s">
        <v>10</v>
      </c>
      <c r="C16" s="67" t="s">
        <v>11</v>
      </c>
      <c r="D16" s="8">
        <v>1.508</v>
      </c>
      <c r="E16" s="18" t="s">
        <v>59</v>
      </c>
      <c r="F16" s="25" t="s">
        <v>42</v>
      </c>
      <c r="G16" s="42" t="s">
        <v>61</v>
      </c>
      <c r="H16" s="20">
        <f ca="1">(1-(D16/100)*0.5*(G10+G12+G14))/(1 + (1/2)*(D16/100))</f>
        <v>0.9703387371909955</v>
      </c>
      <c r="I16" s="44">
        <f ca="1">LN(H16)</f>
        <v>-3.0110054846621128E-2</v>
      </c>
      <c r="J16" s="14">
        <f ca="1">(-1*I16)/(2)</f>
        <v>1.5055027423310564E-2</v>
      </c>
      <c r="M16" t="s">
        <v>76</v>
      </c>
    </row>
    <row r="17" spans="1:16" ht="13.5" thickBot="1">
      <c r="B17" s="80"/>
      <c r="C17" s="75" t="s">
        <v>13</v>
      </c>
      <c r="D17" s="74">
        <f ca="1">(D18+D16)/2</f>
        <v>1.6125</v>
      </c>
      <c r="E17" s="12" t="s">
        <v>59</v>
      </c>
      <c r="F17" s="26" t="s">
        <v>43</v>
      </c>
      <c r="G17" s="42" t="s">
        <v>61</v>
      </c>
      <c r="H17" s="13">
        <f ca="1">(1 - (D17/100)*(1/2)*(G10+G12+G14+H16))/(1 + (0.5*(D17/100)))</f>
        <v>0.96053895291525104</v>
      </c>
      <c r="I17" s="44">
        <f ca="1">LN(H17)</f>
        <v>-4.0260742764771991E-2</v>
      </c>
      <c r="J17" s="14">
        <f ca="1">(-1*I17)/(2.5)</f>
        <v>1.6104297105908796E-2</v>
      </c>
    </row>
    <row r="18" spans="1:16" ht="13.5" thickBot="1">
      <c r="A18" s="63" t="s">
        <v>67</v>
      </c>
      <c r="B18" s="61"/>
      <c r="C18" s="4" t="s">
        <v>14</v>
      </c>
      <c r="D18" s="8">
        <v>1.7170000000000001</v>
      </c>
      <c r="E18" s="12" t="s">
        <v>59</v>
      </c>
      <c r="F18" s="26" t="s">
        <v>44</v>
      </c>
      <c r="G18" s="42" t="s">
        <v>61</v>
      </c>
      <c r="H18" s="13">
        <f ca="1">(1 - (D18/100) * (1/2) * (G10+G12+G14+H16+H17))/(1 + (0.5*(D18/100)))</f>
        <v>0.94982736442093374</v>
      </c>
      <c r="I18" s="44">
        <f ca="1">LN(H18)</f>
        <v>-5.1475032563107384E-2</v>
      </c>
      <c r="J18" s="14">
        <f ca="1">(-1*I18)/3</f>
        <v>1.715834418770246E-2</v>
      </c>
      <c r="L18" s="3" t="s">
        <v>12</v>
      </c>
      <c r="N18" s="5"/>
      <c r="P18" s="1"/>
    </row>
    <row r="19" spans="1:16">
      <c r="A19" s="63"/>
      <c r="B19" s="73"/>
      <c r="C19" s="75" t="s">
        <v>16</v>
      </c>
      <c r="D19" s="74">
        <f ca="1">(D18+D20)/2</f>
        <v>1.7989999999999999</v>
      </c>
      <c r="E19" s="12" t="s">
        <v>59</v>
      </c>
      <c r="F19" s="26" t="s">
        <v>45</v>
      </c>
      <c r="G19" s="42" t="s">
        <v>61</v>
      </c>
      <c r="H19" s="13">
        <f ca="1">(1-(D19/100)*0.5*(G10+G12+G14+H16+H17+H18))/(1 + (0.5*(D19/100)))</f>
        <v>0.93898506324848519</v>
      </c>
      <c r="I19" s="44">
        <f ca="1">LN(H19)</f>
        <v>-6.2955706984008486E-2</v>
      </c>
      <c r="J19" s="14">
        <f ca="1">(-1*I19)/3.5</f>
        <v>1.7987344852573854E-2</v>
      </c>
      <c r="L19" s="4" t="s">
        <v>14</v>
      </c>
      <c r="N19" s="5"/>
      <c r="P19" s="1"/>
    </row>
    <row r="20" spans="1:16">
      <c r="A20" s="63"/>
      <c r="B20" s="61"/>
      <c r="C20" s="4" t="s">
        <v>17</v>
      </c>
      <c r="D20" s="8">
        <v>1.881</v>
      </c>
      <c r="E20" s="12" t="s">
        <v>59</v>
      </c>
      <c r="F20" s="26" t="s">
        <v>46</v>
      </c>
      <c r="G20" s="42" t="s">
        <v>61</v>
      </c>
      <c r="H20" s="13">
        <f ca="1">(1 - (D20/100)*0.5*(G10+G12+G14+H16+H17+H18+H19))/(1 + (0.5*(D20/100)))</f>
        <v>0.92748099013183483</v>
      </c>
      <c r="I20" s="44">
        <f ca="1">LN(H20)</f>
        <v>-7.5282980525322271E-2</v>
      </c>
      <c r="J20" s="14">
        <f ca="1">(-1*I20)/4</f>
        <v>1.8820745131330568E-2</v>
      </c>
      <c r="L20" s="4" t="s">
        <v>15</v>
      </c>
      <c r="N20" s="5"/>
      <c r="P20" s="1"/>
    </row>
    <row r="21" spans="1:16">
      <c r="A21" s="63"/>
      <c r="B21" s="73"/>
      <c r="C21" s="75" t="s">
        <v>19</v>
      </c>
      <c r="D21" s="74">
        <f ca="1">(D20+D22)/2</f>
        <v>1.9470000000000001</v>
      </c>
      <c r="E21" s="12" t="s">
        <v>59</v>
      </c>
      <c r="F21" s="26" t="s">
        <v>47</v>
      </c>
      <c r="G21" s="42" t="s">
        <v>61</v>
      </c>
      <c r="H21" s="13">
        <f ca="1">(1 - (D21/100)*0.5*(G10+G12+G14+H16+H17+H18+H19+H20))/(1 + (0.5*(D21/100)))</f>
        <v>0.91601901832638666</v>
      </c>
      <c r="I21" s="44">
        <f ca="1">LN(H21)</f>
        <v>-8.771815215849077E-2</v>
      </c>
      <c r="J21" s="14">
        <f ca="1">(-1*I21)/4.5</f>
        <v>1.9492922701886836E-2</v>
      </c>
      <c r="L21" s="54">
        <f ca="1">(90/360)*(G10+G11+G12+G13+G14+G15) + (1/2)*(H16+H17+H18)</f>
        <v>2.9193296580811849</v>
      </c>
      <c r="P21" s="1"/>
    </row>
    <row r="22" spans="1:16" ht="13.5" thickBot="1">
      <c r="A22" s="63"/>
      <c r="B22" s="62"/>
      <c r="C22" s="6" t="s">
        <v>20</v>
      </c>
      <c r="D22" s="57">
        <v>2.0129999999999999</v>
      </c>
      <c r="E22" s="15" t="s">
        <v>59</v>
      </c>
      <c r="F22" s="27" t="s">
        <v>48</v>
      </c>
      <c r="G22" s="56" t="s">
        <v>61</v>
      </c>
      <c r="H22" s="16">
        <f ca="1">(1-(D22/100)*0.5*(G10+G12+G14+H16+H17+H18+H19+H20+H21))/(1 + (0.5*(D22/100)))</f>
        <v>0.90407271352665242</v>
      </c>
      <c r="I22" s="17">
        <f ca="1">LN(H22)</f>
        <v>-0.10084548650761384</v>
      </c>
      <c r="J22" s="17">
        <f ca="1">(-1*I22)/5</f>
        <v>2.0169097301522769E-2</v>
      </c>
      <c r="L22" s="4" t="s">
        <v>18</v>
      </c>
      <c r="M22" t="s">
        <v>62</v>
      </c>
      <c r="P22" s="1"/>
    </row>
    <row r="23" spans="1:16" ht="16.5" thickBot="1">
      <c r="L23" s="28">
        <f ca="1">(1-H18)/L21</f>
        <v>1.7186354901776901E-2</v>
      </c>
      <c r="M23" t="s">
        <v>64</v>
      </c>
      <c r="P23" s="1"/>
    </row>
    <row r="24" spans="1:16">
      <c r="G24" s="43"/>
      <c r="P24" s="1"/>
    </row>
    <row r="25" spans="1:16">
      <c r="P25" s="1"/>
    </row>
    <row r="26" spans="1:16">
      <c r="L26" t="s">
        <v>63</v>
      </c>
    </row>
    <row r="27" spans="1:16">
      <c r="A27" s="81" t="s">
        <v>77</v>
      </c>
      <c r="M27" s="5"/>
    </row>
    <row r="28" spans="1:16">
      <c r="A28" s="81" t="s">
        <v>78</v>
      </c>
      <c r="L28" s="55" t="s">
        <v>79</v>
      </c>
      <c r="M28" s="5"/>
    </row>
    <row r="29" spans="1:16">
      <c r="M29" s="5"/>
    </row>
    <row r="30" spans="1:16">
      <c r="L30" s="1"/>
      <c r="N30" s="5"/>
    </row>
    <row r="31" spans="1:16">
      <c r="L31" s="1"/>
      <c r="N31" s="5"/>
    </row>
    <row r="32" spans="1:16">
      <c r="N32" s="5"/>
    </row>
    <row r="33" spans="12:14">
      <c r="N33" s="5"/>
    </row>
    <row r="34" spans="12:14">
      <c r="N34" s="5"/>
    </row>
    <row r="35" spans="12:14">
      <c r="N35" s="5"/>
    </row>
    <row r="36" spans="12:14">
      <c r="N36" s="5"/>
    </row>
    <row r="37" spans="12:14">
      <c r="N37" s="5"/>
    </row>
    <row r="38" spans="12:14">
      <c r="N38" s="5"/>
    </row>
    <row r="39" spans="12:14">
      <c r="N39" s="5"/>
    </row>
    <row r="40" spans="12:14">
      <c r="L40" s="1"/>
      <c r="N40" s="5"/>
    </row>
    <row r="41" spans="12:14">
      <c r="L41" s="1"/>
      <c r="N41" s="5"/>
    </row>
    <row r="42" spans="12:14">
      <c r="L42" s="1"/>
      <c r="N42" s="5"/>
    </row>
    <row r="43" spans="12:14">
      <c r="L43" s="1"/>
      <c r="N43" s="5"/>
    </row>
    <row r="44" spans="12:14">
      <c r="L44" s="1"/>
      <c r="N44" s="5"/>
    </row>
    <row r="45" spans="12:14">
      <c r="L45" s="1"/>
      <c r="N45" s="5"/>
    </row>
    <row r="46" spans="12:14">
      <c r="L46" s="1"/>
      <c r="N46" s="5"/>
    </row>
    <row r="47" spans="12:14">
      <c r="L47" s="1"/>
      <c r="N47" s="5"/>
    </row>
    <row r="48" spans="12:14">
      <c r="L48" s="1"/>
      <c r="N48" s="5"/>
    </row>
    <row r="49" spans="12:14">
      <c r="L49" s="1"/>
      <c r="N49" s="5"/>
    </row>
    <row r="50" spans="12:14">
      <c r="L50" s="1"/>
      <c r="N50" s="5"/>
    </row>
    <row r="51" spans="12:14">
      <c r="L51" s="1"/>
      <c r="N51" s="5"/>
    </row>
    <row r="52" spans="12:14">
      <c r="L52" s="1"/>
      <c r="N52" s="5"/>
    </row>
    <row r="53" spans="12:14">
      <c r="L53" s="1"/>
      <c r="N53" s="5"/>
    </row>
    <row r="54" spans="12:14">
      <c r="L54" s="1"/>
      <c r="N54" s="5"/>
    </row>
  </sheetData>
  <phoneticPr fontId="2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topLeftCell="A8"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33" t="s">
        <v>49</v>
      </c>
      <c r="C1" s="33"/>
      <c r="D1" s="37"/>
      <c r="E1" s="37"/>
      <c r="F1" s="37"/>
    </row>
    <row r="2" spans="2:6">
      <c r="B2" s="33" t="s">
        <v>50</v>
      </c>
      <c r="C2" s="33"/>
      <c r="D2" s="37"/>
      <c r="E2" s="37"/>
      <c r="F2" s="37"/>
    </row>
    <row r="3" spans="2:6">
      <c r="B3" s="34"/>
      <c r="C3" s="34"/>
      <c r="D3" s="38"/>
      <c r="E3" s="38"/>
      <c r="F3" s="38"/>
    </row>
    <row r="4" spans="2:6" ht="25.5">
      <c r="B4" s="34" t="s">
        <v>51</v>
      </c>
      <c r="C4" s="34"/>
      <c r="D4" s="38"/>
      <c r="E4" s="38"/>
      <c r="F4" s="38"/>
    </row>
    <row r="5" spans="2:6">
      <c r="B5" s="34"/>
      <c r="C5" s="34"/>
      <c r="D5" s="38"/>
      <c r="E5" s="38"/>
      <c r="F5" s="38"/>
    </row>
    <row r="6" spans="2:6">
      <c r="B6" s="33" t="s">
        <v>52</v>
      </c>
      <c r="C6" s="33"/>
      <c r="D6" s="37"/>
      <c r="E6" s="37" t="s">
        <v>53</v>
      </c>
      <c r="F6" s="37" t="s">
        <v>54</v>
      </c>
    </row>
    <row r="7" spans="2:6" ht="13.5" thickBot="1">
      <c r="B7" s="34"/>
      <c r="C7" s="34"/>
      <c r="D7" s="38"/>
      <c r="E7" s="38"/>
      <c r="F7" s="38"/>
    </row>
    <row r="8" spans="2:6" ht="51.75" thickBot="1">
      <c r="B8" s="35" t="s">
        <v>55</v>
      </c>
      <c r="C8" s="36"/>
      <c r="D8" s="39"/>
      <c r="E8" s="39" t="s">
        <v>57</v>
      </c>
      <c r="F8" s="40" t="s">
        <v>56</v>
      </c>
    </row>
    <row r="9" spans="2:6" ht="13.5" thickBot="1">
      <c r="B9" s="34"/>
      <c r="C9" s="34"/>
      <c r="D9" s="38"/>
      <c r="E9" s="38"/>
      <c r="F9" s="38"/>
    </row>
    <row r="10" spans="2:6" ht="39" thickBot="1">
      <c r="B10" s="35" t="s">
        <v>58</v>
      </c>
      <c r="C10" s="36"/>
      <c r="D10" s="39"/>
      <c r="E10" s="39">
        <v>22</v>
      </c>
      <c r="F10" s="40" t="s">
        <v>56</v>
      </c>
    </row>
    <row r="11" spans="2:6">
      <c r="B11" s="34"/>
      <c r="C11" s="34"/>
      <c r="D11" s="38"/>
      <c r="E11" s="38"/>
      <c r="F11" s="38"/>
    </row>
    <row r="12" spans="2:6">
      <c r="B12" s="34"/>
      <c r="C12" s="34"/>
      <c r="D12" s="38"/>
      <c r="E12" s="38"/>
      <c r="F12"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Curve Builder Homework</vt:lpstr>
      <vt:lpstr>Compatibility Report</vt:lpstr>
    </vt:vector>
  </TitlesOfParts>
  <Company>CITI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2017S</dc:title>
  <dc:creator>kuan</dc:creator>
  <cp:keywords>2017S</cp:keywords>
  <cp:lastModifiedBy>Adam</cp:lastModifiedBy>
  <dcterms:created xsi:type="dcterms:W3CDTF">2011-09-23T18:17:04Z</dcterms:created>
  <dcterms:modified xsi:type="dcterms:W3CDTF">2017-02-07T03:40:15Z</dcterms:modified>
  <cp:category>2017S</cp:category>
</cp:coreProperties>
</file>