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0 - School Work\Senior\Spring\FE535 - again\Homework\"/>
    </mc:Choice>
  </mc:AlternateContent>
  <bookViews>
    <workbookView xWindow="0" yWindow="0" windowWidth="17250" windowHeight="7875"/>
  </bookViews>
  <sheets>
    <sheet name="Sheet1" sheetId="1" r:id="rId1"/>
  </sheets>
  <definedNames>
    <definedName name="solver_adj" localSheetId="0" hidden="1">Sheet1!$F$153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Sheet1!$E$174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Sheet1!$E$174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Sheet1!$E$177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37" i="1"/>
  <c r="K58" i="1"/>
  <c r="K79" i="1"/>
  <c r="K100" i="1"/>
  <c r="K121" i="1"/>
  <c r="K150" i="1"/>
  <c r="E179" i="1"/>
  <c r="C17" i="1"/>
  <c r="C16" i="1"/>
  <c r="C15" i="1"/>
  <c r="C14" i="1"/>
  <c r="C13" i="1"/>
  <c r="C12" i="1"/>
  <c r="C11" i="1"/>
  <c r="C10" i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53" i="1"/>
  <c r="K153" i="1" s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53" i="1"/>
  <c r="H187" i="1"/>
  <c r="H188" i="1"/>
  <c r="H182" i="1"/>
  <c r="H183" i="1" s="1"/>
  <c r="H184" i="1" s="1"/>
  <c r="H185" i="1" s="1"/>
  <c r="H186" i="1" s="1"/>
  <c r="H177" i="1"/>
  <c r="H178" i="1" s="1"/>
  <c r="H179" i="1" s="1"/>
  <c r="H180" i="1" s="1"/>
  <c r="H181" i="1" s="1"/>
  <c r="H154" i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E160" i="1"/>
  <c r="E161" i="1"/>
  <c r="E162" i="1"/>
  <c r="E163" i="1"/>
  <c r="E164" i="1"/>
  <c r="E165" i="1"/>
  <c r="E166" i="1"/>
  <c r="E167" i="1"/>
  <c r="E168" i="1"/>
  <c r="E169" i="1"/>
  <c r="E170" i="1"/>
  <c r="F159" i="1"/>
  <c r="G159" i="1" s="1"/>
  <c r="E159" i="1"/>
  <c r="D169" i="1"/>
  <c r="D170" i="1" s="1"/>
  <c r="D166" i="1"/>
  <c r="D167" i="1" s="1"/>
  <c r="D168" i="1" s="1"/>
  <c r="D161" i="1"/>
  <c r="D162" i="1" s="1"/>
  <c r="D163" i="1" s="1"/>
  <c r="D164" i="1" s="1"/>
  <c r="D165" i="1" s="1"/>
  <c r="D160" i="1"/>
  <c r="F157" i="1"/>
  <c r="F155" i="1"/>
  <c r="F154" i="1"/>
  <c r="F125" i="1"/>
  <c r="G135" i="1" s="1"/>
  <c r="J125" i="1"/>
  <c r="J126" i="1"/>
  <c r="K126" i="1" s="1"/>
  <c r="J127" i="1"/>
  <c r="J128" i="1"/>
  <c r="K128" i="1" s="1"/>
  <c r="J129" i="1"/>
  <c r="J130" i="1"/>
  <c r="K130" i="1" s="1"/>
  <c r="J131" i="1"/>
  <c r="J132" i="1"/>
  <c r="K132" i="1" s="1"/>
  <c r="J133" i="1"/>
  <c r="K133" i="1" s="1"/>
  <c r="J134" i="1"/>
  <c r="K134" i="1" s="1"/>
  <c r="J135" i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F132" i="1"/>
  <c r="F133" i="1"/>
  <c r="F134" i="1"/>
  <c r="F135" i="1"/>
  <c r="F136" i="1"/>
  <c r="F137" i="1"/>
  <c r="F138" i="1"/>
  <c r="F126" i="1"/>
  <c r="J124" i="1"/>
  <c r="K124" i="1" s="1"/>
  <c r="K125" i="1"/>
  <c r="K127" i="1"/>
  <c r="K129" i="1"/>
  <c r="K131" i="1"/>
  <c r="K135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24" i="1"/>
  <c r="H147" i="1"/>
  <c r="H144" i="1"/>
  <c r="H145" i="1" s="1"/>
  <c r="H146" i="1" s="1"/>
  <c r="H126" i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25" i="1"/>
  <c r="F131" i="1"/>
  <c r="E132" i="1"/>
  <c r="E133" i="1"/>
  <c r="E134" i="1"/>
  <c r="E135" i="1"/>
  <c r="E136" i="1"/>
  <c r="E137" i="1"/>
  <c r="E138" i="1"/>
  <c r="E131" i="1"/>
  <c r="F128" i="1"/>
  <c r="J105" i="1"/>
  <c r="K105" i="1" s="1"/>
  <c r="F114" i="1"/>
  <c r="F115" i="1"/>
  <c r="F116" i="1"/>
  <c r="F113" i="1"/>
  <c r="F106" i="1"/>
  <c r="F111" i="1"/>
  <c r="F110" i="1"/>
  <c r="F109" i="1"/>
  <c r="F108" i="1"/>
  <c r="H106" i="1"/>
  <c r="H107" i="1" s="1"/>
  <c r="J107" i="1" s="1"/>
  <c r="I105" i="1"/>
  <c r="J87" i="1"/>
  <c r="J84" i="1"/>
  <c r="H86" i="1"/>
  <c r="H87" i="1" s="1"/>
  <c r="H85" i="1"/>
  <c r="I85" i="1" s="1"/>
  <c r="F93" i="1"/>
  <c r="F94" i="1"/>
  <c r="F95" i="1"/>
  <c r="F92" i="1"/>
  <c r="F85" i="1"/>
  <c r="F83" i="1"/>
  <c r="F104" i="1" s="1"/>
  <c r="F90" i="1"/>
  <c r="F89" i="1"/>
  <c r="F88" i="1"/>
  <c r="F87" i="1"/>
  <c r="I84" i="1"/>
  <c r="F72" i="1"/>
  <c r="F73" i="1"/>
  <c r="F74" i="1"/>
  <c r="F71" i="1"/>
  <c r="J64" i="1"/>
  <c r="J65" i="1"/>
  <c r="J66" i="1"/>
  <c r="J67" i="1"/>
  <c r="J68" i="1"/>
  <c r="K68" i="1" s="1"/>
  <c r="J69" i="1"/>
  <c r="J70" i="1"/>
  <c r="J71" i="1"/>
  <c r="J72" i="1"/>
  <c r="J73" i="1"/>
  <c r="J74" i="1"/>
  <c r="J63" i="1"/>
  <c r="I61" i="1"/>
  <c r="I82" i="1" s="1"/>
  <c r="I103" i="1" s="1"/>
  <c r="F64" i="1"/>
  <c r="F62" i="1"/>
  <c r="I74" i="1"/>
  <c r="I73" i="1"/>
  <c r="I72" i="1"/>
  <c r="I71" i="1"/>
  <c r="I70" i="1"/>
  <c r="I69" i="1"/>
  <c r="F69" i="1"/>
  <c r="I68" i="1"/>
  <c r="F68" i="1"/>
  <c r="I67" i="1"/>
  <c r="F67" i="1"/>
  <c r="I66" i="1"/>
  <c r="F66" i="1"/>
  <c r="I65" i="1"/>
  <c r="I64" i="1"/>
  <c r="I63" i="1"/>
  <c r="J43" i="1"/>
  <c r="J44" i="1"/>
  <c r="J45" i="1"/>
  <c r="J46" i="1"/>
  <c r="J47" i="1"/>
  <c r="J48" i="1"/>
  <c r="K48" i="1" s="1"/>
  <c r="J49" i="1"/>
  <c r="K49" i="1" s="1"/>
  <c r="J50" i="1"/>
  <c r="J51" i="1"/>
  <c r="K51" i="1" s="1"/>
  <c r="J52" i="1"/>
  <c r="J53" i="1"/>
  <c r="J42" i="1"/>
  <c r="I43" i="1"/>
  <c r="I44" i="1"/>
  <c r="I45" i="1"/>
  <c r="I46" i="1"/>
  <c r="I47" i="1"/>
  <c r="I48" i="1"/>
  <c r="I49" i="1"/>
  <c r="I50" i="1"/>
  <c r="I51" i="1"/>
  <c r="I52" i="1"/>
  <c r="I53" i="1"/>
  <c r="I42" i="1"/>
  <c r="I40" i="1"/>
  <c r="F41" i="1"/>
  <c r="F51" i="1"/>
  <c r="F52" i="1"/>
  <c r="F55" i="1" s="1"/>
  <c r="F53" i="1"/>
  <c r="F50" i="1"/>
  <c r="F46" i="1"/>
  <c r="F47" i="1"/>
  <c r="F48" i="1"/>
  <c r="F45" i="1"/>
  <c r="F43" i="1"/>
  <c r="F171" i="1" l="1"/>
  <c r="E174" i="1" s="1"/>
  <c r="K190" i="1"/>
  <c r="E177" i="1" s="1"/>
  <c r="G137" i="1"/>
  <c r="G136" i="1"/>
  <c r="G138" i="1"/>
  <c r="G134" i="1"/>
  <c r="G133" i="1"/>
  <c r="G132" i="1"/>
  <c r="G131" i="1"/>
  <c r="F140" i="1" s="1"/>
  <c r="E150" i="1" s="1"/>
  <c r="K148" i="1"/>
  <c r="H150" i="1" s="1"/>
  <c r="K47" i="1"/>
  <c r="J86" i="1"/>
  <c r="K42" i="1"/>
  <c r="K46" i="1"/>
  <c r="K66" i="1"/>
  <c r="J85" i="1"/>
  <c r="K85" i="1" s="1"/>
  <c r="K53" i="1"/>
  <c r="K45" i="1"/>
  <c r="K65" i="1"/>
  <c r="J106" i="1"/>
  <c r="K52" i="1"/>
  <c r="K44" i="1"/>
  <c r="K43" i="1"/>
  <c r="K71" i="1"/>
  <c r="K50" i="1"/>
  <c r="K54" i="1" s="1"/>
  <c r="F118" i="1"/>
  <c r="I107" i="1"/>
  <c r="K107" i="1" s="1"/>
  <c r="H108" i="1"/>
  <c r="J108" i="1" s="1"/>
  <c r="I106" i="1"/>
  <c r="H88" i="1"/>
  <c r="J88" i="1" s="1"/>
  <c r="I87" i="1"/>
  <c r="I86" i="1"/>
  <c r="K86" i="1" s="1"/>
  <c r="K84" i="1"/>
  <c r="F97" i="1"/>
  <c r="K67" i="1"/>
  <c r="K73" i="1"/>
  <c r="K69" i="1"/>
  <c r="K74" i="1"/>
  <c r="K72" i="1"/>
  <c r="K70" i="1"/>
  <c r="K64" i="1"/>
  <c r="K63" i="1"/>
  <c r="F76" i="1"/>
  <c r="J25" i="1"/>
  <c r="J26" i="1"/>
  <c r="J27" i="1"/>
  <c r="K27" i="1" s="1"/>
  <c r="J28" i="1"/>
  <c r="J29" i="1"/>
  <c r="K29" i="1" s="1"/>
  <c r="J24" i="1"/>
  <c r="K24" i="1" s="1"/>
  <c r="I29" i="1"/>
  <c r="I28" i="1"/>
  <c r="I27" i="1"/>
  <c r="I26" i="1"/>
  <c r="I25" i="1"/>
  <c r="I24" i="1"/>
  <c r="I23" i="1"/>
  <c r="F31" i="1"/>
  <c r="F30" i="1"/>
  <c r="F29" i="1"/>
  <c r="F28" i="1"/>
  <c r="F26" i="1"/>
  <c r="I14" i="1"/>
  <c r="K7" i="1" s="1"/>
  <c r="I15" i="1"/>
  <c r="K8" i="1" s="1"/>
  <c r="I16" i="1"/>
  <c r="I17" i="1"/>
  <c r="K10" i="1" s="1"/>
  <c r="I18" i="1"/>
  <c r="I13" i="1"/>
  <c r="K6" i="1" s="1"/>
  <c r="I11" i="1"/>
  <c r="I10" i="1"/>
  <c r="I9" i="1"/>
  <c r="I8" i="1"/>
  <c r="I7" i="1"/>
  <c r="I6" i="1"/>
  <c r="F10" i="1"/>
  <c r="I5" i="1"/>
  <c r="F12" i="1"/>
  <c r="F15" i="1" s="1"/>
  <c r="F11" i="1"/>
  <c r="F9" i="1"/>
  <c r="F8" i="1"/>
  <c r="E20" i="1" l="1"/>
  <c r="K26" i="1"/>
  <c r="K25" i="1"/>
  <c r="K11" i="1"/>
  <c r="K9" i="1"/>
  <c r="K12" i="1" s="1"/>
  <c r="K28" i="1"/>
  <c r="K106" i="1"/>
  <c r="H109" i="1"/>
  <c r="J109" i="1" s="1"/>
  <c r="I108" i="1"/>
  <c r="K108" i="1" s="1"/>
  <c r="K87" i="1"/>
  <c r="I88" i="1"/>
  <c r="H89" i="1"/>
  <c r="J89" i="1" s="1"/>
  <c r="K88" i="1"/>
  <c r="K75" i="1"/>
  <c r="F33" i="1"/>
  <c r="E100" i="1" s="1"/>
  <c r="K30" i="1"/>
  <c r="H58" i="1" l="1"/>
  <c r="H20" i="1"/>
  <c r="H79" i="1"/>
  <c r="E121" i="1"/>
  <c r="H37" i="1"/>
  <c r="E37" i="1"/>
  <c r="E58" i="1"/>
  <c r="E79" i="1"/>
  <c r="I109" i="1"/>
  <c r="H110" i="1"/>
  <c r="J110" i="1" s="1"/>
  <c r="I89" i="1"/>
  <c r="H90" i="1"/>
  <c r="J90" i="1" s="1"/>
  <c r="I110" i="1" l="1"/>
  <c r="H111" i="1"/>
  <c r="J111" i="1" s="1"/>
  <c r="K109" i="1"/>
  <c r="I90" i="1"/>
  <c r="K90" i="1" s="1"/>
  <c r="H91" i="1"/>
  <c r="J91" i="1" s="1"/>
  <c r="K89" i="1"/>
  <c r="H112" i="1" l="1"/>
  <c r="J112" i="1" s="1"/>
  <c r="I111" i="1"/>
  <c r="K110" i="1"/>
  <c r="I91" i="1"/>
  <c r="H92" i="1"/>
  <c r="J92" i="1" s="1"/>
  <c r="K111" i="1" l="1"/>
  <c r="I112" i="1"/>
  <c r="K112" i="1" s="1"/>
  <c r="H113" i="1"/>
  <c r="J113" i="1" s="1"/>
  <c r="K91" i="1"/>
  <c r="I92" i="1"/>
  <c r="H93" i="1"/>
  <c r="J93" i="1" s="1"/>
  <c r="H114" i="1" l="1"/>
  <c r="J114" i="1" s="1"/>
  <c r="I113" i="1"/>
  <c r="K113" i="1" s="1"/>
  <c r="H94" i="1"/>
  <c r="J94" i="1" s="1"/>
  <c r="I93" i="1"/>
  <c r="K92" i="1"/>
  <c r="I114" i="1" l="1"/>
  <c r="H115" i="1"/>
  <c r="J115" i="1" s="1"/>
  <c r="I94" i="1"/>
  <c r="H95" i="1"/>
  <c r="J95" i="1" s="1"/>
  <c r="K93" i="1"/>
  <c r="K114" i="1" l="1"/>
  <c r="I115" i="1"/>
  <c r="H116" i="1"/>
  <c r="J116" i="1" s="1"/>
  <c r="I95" i="1"/>
  <c r="K94" i="1"/>
  <c r="K115" i="1" l="1"/>
  <c r="I116" i="1"/>
  <c r="K116" i="1" s="1"/>
  <c r="K95" i="1"/>
  <c r="K96" i="1" s="1"/>
  <c r="H100" i="1" s="1"/>
  <c r="K117" i="1" l="1"/>
  <c r="H121" i="1" s="1"/>
</calcChain>
</file>

<file path=xl/sharedStrings.xml><?xml version="1.0" encoding="utf-8"?>
<sst xmlns="http://schemas.openxmlformats.org/spreadsheetml/2006/main" count="218" uniqueCount="125">
  <si>
    <t>Inputs</t>
  </si>
  <si>
    <t>Interest Rate</t>
  </si>
  <si>
    <t>Recovery Rate</t>
  </si>
  <si>
    <t>Coupon Daycount</t>
  </si>
  <si>
    <t>Default Daycount</t>
  </si>
  <si>
    <t>Coupon Delta</t>
  </si>
  <si>
    <t>Market Quotes</t>
  </si>
  <si>
    <t>6M</t>
  </si>
  <si>
    <t>1Y</t>
  </si>
  <si>
    <t>2Y</t>
  </si>
  <si>
    <t>3Y</t>
  </si>
  <si>
    <t>4Y</t>
  </si>
  <si>
    <t>5Y</t>
  </si>
  <si>
    <t>7Y</t>
  </si>
  <si>
    <t>10Y</t>
  </si>
  <si>
    <t>Par Spread (bps)</t>
  </si>
  <si>
    <t>Output Needs:</t>
  </si>
  <si>
    <t>Risky PV01</t>
  </si>
  <si>
    <t>PV(premium)</t>
  </si>
  <si>
    <t>PV(Default Leg)</t>
  </si>
  <si>
    <t>PV(premium) - PV(default)</t>
  </si>
  <si>
    <t>Discount Factor</t>
  </si>
  <si>
    <t>1/(1+P)^n</t>
  </si>
  <si>
    <t>T = 6m</t>
  </si>
  <si>
    <t>Left Side Quarterly</t>
  </si>
  <si>
    <t>Right Side Monthly</t>
  </si>
  <si>
    <t>Hazard Rate:</t>
  </si>
  <si>
    <t>Spread as %</t>
  </si>
  <si>
    <t>dfi_6m</t>
  </si>
  <si>
    <t>dfi_3m</t>
  </si>
  <si>
    <t>df_6m</t>
  </si>
  <si>
    <t>e^(-h1*t_3m)</t>
  </si>
  <si>
    <t>e^(-h1*t_6m)</t>
  </si>
  <si>
    <t>spread*sum(delta*dfi*e^(-hi*ti))</t>
  </si>
  <si>
    <t>1-R</t>
  </si>
  <si>
    <t>dfi_1m</t>
  </si>
  <si>
    <t>dfi_2m</t>
  </si>
  <si>
    <t>dfi_4m</t>
  </si>
  <si>
    <t>dfi_5m</t>
  </si>
  <si>
    <t>e^-hi*tj-1 - e^-hi*tj</t>
  </si>
  <si>
    <t>1-R*sum(dfi*expj-1 - expj)</t>
  </si>
  <si>
    <t>partsums:</t>
  </si>
  <si>
    <t>T=1y</t>
  </si>
  <si>
    <t>sum(delta*dfi*e)</t>
  </si>
  <si>
    <t>dfi_9m</t>
  </si>
  <si>
    <t>dfi_12m</t>
  </si>
  <si>
    <t>e^(-h1T1  - h2(ti-T1))_9m</t>
  </si>
  <si>
    <t>e^(-h1T1  - h2(ti-T1))_1y</t>
  </si>
  <si>
    <t>dfi_1y</t>
  </si>
  <si>
    <t>spread*(sum_1y(delta*dfi*e)+sum_6m(delta*dfi*e))</t>
  </si>
  <si>
    <t>dfi_7m</t>
  </si>
  <si>
    <t>dfi_8m</t>
  </si>
  <si>
    <t>dfi_10m</t>
  </si>
  <si>
    <t>dfi_11m</t>
  </si>
  <si>
    <t>e^-h1T1*(e^(-h2*(tj-1 - T1)) - e^(-h2*(tj-T1)))</t>
  </si>
  <si>
    <t>partsums</t>
  </si>
  <si>
    <t>(1-R)*(sum_partsums_6m + sum_partsums_1y)</t>
  </si>
  <si>
    <t>SUM</t>
  </si>
  <si>
    <t>==</t>
  </si>
  <si>
    <t>T=2y</t>
  </si>
  <si>
    <t>dfi_1.25y</t>
  </si>
  <si>
    <t>dfi_1.5y</t>
  </si>
  <si>
    <t>dfi_1.75y</t>
  </si>
  <si>
    <t>dfi_2y</t>
  </si>
  <si>
    <t>e^(-h2T2 - h3(ti-T2))_1.25y</t>
  </si>
  <si>
    <t>e^(-h2T2 - h3(ti-T2))_1.5y</t>
  </si>
  <si>
    <t>e^(-h2T2 - h3(ti-T2))_1.75y</t>
  </si>
  <si>
    <t>e^(-h2T2 - h3(ti-T2))_2y</t>
  </si>
  <si>
    <t>spread*(sum_2y+sum_1y+sum_6m)</t>
  </si>
  <si>
    <t>dfi</t>
  </si>
  <si>
    <t>e^-h2T2*(e^(-h3*(tj-1 - T2)) - e^(-h3*(tj-T2)))</t>
  </si>
  <si>
    <t>(1-R)*(sum_6m+sum_1y+sum_2y)</t>
  </si>
  <si>
    <t>T=3y</t>
  </si>
  <si>
    <t>dfi_2.25y</t>
  </si>
  <si>
    <t>dfi_2.5y</t>
  </si>
  <si>
    <t>dfi_2.75y</t>
  </si>
  <si>
    <t>dfi_3y</t>
  </si>
  <si>
    <t>e^(-h3T3 - h4(ti-T3))_2.25y</t>
  </si>
  <si>
    <t>e^(-h3T3 - h4(ti-T3))_2.5y</t>
  </si>
  <si>
    <t>e^(-h3T3 - h4(ti-T3))_2.75y</t>
  </si>
  <si>
    <t>e^(-h3T3 - h4(ti-T3))_3y</t>
  </si>
  <si>
    <t>e^-h3T3*(e^(-h4*(tj-1 - T3)) - e^(-h4*(tj-T3)))</t>
  </si>
  <si>
    <t>spread*(sum_3y+sum_2y+sum_1y+sum_6m)</t>
  </si>
  <si>
    <t>(1-R)*(sum_6m+sum_1y+sum_2y+sum_3y)</t>
  </si>
  <si>
    <t>T=4y</t>
  </si>
  <si>
    <t>dfi_3.25y</t>
  </si>
  <si>
    <t>dfi_3.5y</t>
  </si>
  <si>
    <t>dfi_3.75y</t>
  </si>
  <si>
    <t>dfi_4y</t>
  </si>
  <si>
    <t>e^(-h4T4 - h5(ti-T4))_3.25y</t>
  </si>
  <si>
    <t>e^(-h4T4 - h5(ti-T4))_3.5y</t>
  </si>
  <si>
    <t>e^(-h4T4 - h5(ti-T4))_3.75y</t>
  </si>
  <si>
    <t>e^(-h4T4 - h5(ti-T4))_4y</t>
  </si>
  <si>
    <t>e^-h4T4*(e^(-h5*(tj-1 - T4)) - e^(-h5*(tj-T4)))</t>
  </si>
  <si>
    <t>T=5y</t>
  </si>
  <si>
    <t>dfi_4.25y</t>
  </si>
  <si>
    <t>dfi_4.5y</t>
  </si>
  <si>
    <t>dfi_4.75y</t>
  </si>
  <si>
    <t>dfi_5y</t>
  </si>
  <si>
    <t>e^(-h5T5 - h6(ti-T5))_4.25y</t>
  </si>
  <si>
    <t>e^(-h5T5 - h6(ti-T5))_4.5y</t>
  </si>
  <si>
    <t>e^(-h5T5 - h6(ti-T5))_4.75y</t>
  </si>
  <si>
    <t>e^(-h5T5 - h6(ti-T5))_5y</t>
  </si>
  <si>
    <t>spread*(sum_4y+sum_3y+sum_2y+sum_1y+sum_6m)</t>
  </si>
  <si>
    <t>spread*(sum_5y+sum_4y+sum_3y+sum_2y+sum_1y+sum_6m)</t>
  </si>
  <si>
    <t>(1-R)*(sum_6m+sum_1y+sum_2y+sum_3y+sum_4y+sum_5y)</t>
  </si>
  <si>
    <t>(1-R)*(sum_6m+sum_1y+sum_2y+sum_3y+sum_4y)</t>
  </si>
  <si>
    <t>e^-h5T5*(e^(-h6*(tj-1 - T5)) - e^(-h6*(tj-T5)))</t>
  </si>
  <si>
    <t>T=7y (oh boy)</t>
  </si>
  <si>
    <t>t</t>
  </si>
  <si>
    <t>e^(-h6T6 - h7(ti-T6))</t>
  </si>
  <si>
    <t>partsum</t>
  </si>
  <si>
    <t>spread*(sum_7y+sum_5y+sum_4y+sum_3y+sum_2y+sum_1y+sum_6m)</t>
  </si>
  <si>
    <t>e^(-h6T6)*(e^(-h7*(tj-1 - T6)) - e^(-h7*(tj-T6)))</t>
  </si>
  <si>
    <t>&lt;- partsums</t>
  </si>
  <si>
    <t>(1-R)*(sum_6m+sum_1y+sum_2y+sum_3y+sum_4y+sum_5y+sum_7y)</t>
  </si>
  <si>
    <t>T=10y (PLZ)</t>
  </si>
  <si>
    <t>Hazard Rate</t>
  </si>
  <si>
    <t>e^(-h7T7 - h8(ti-T7))</t>
  </si>
  <si>
    <t>spread*(sum_10y…sum_6m)</t>
  </si>
  <si>
    <t>e^(-h7T7)*(e^(-h8*(tj-1 - T7)) - e^(-h8*(tj-T7)))</t>
  </si>
  <si>
    <t>Hazard Rate (solved)</t>
  </si>
  <si>
    <t>PV(default)</t>
  </si>
  <si>
    <t>(1-R)*(sum_6m...sum_10y)</t>
  </si>
  <si>
    <t>prem-def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</si>
</sst>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0" xfId="0" applyFont="1" applyBorder="1"/>
    <xf numFmtId="0" fontId="0" fillId="0" borderId="0" xfId="0" applyBorder="1"/>
    <xf numFmtId="0" fontId="1" fillId="0" borderId="0" xfId="0" applyFont="1" applyBorder="1"/>
    <xf numFmtId="0" fontId="0" fillId="0" borderId="5" xfId="0" applyBorder="1"/>
    <xf numFmtId="0" fontId="0" fillId="0" borderId="4" xfId="0" applyBorder="1"/>
    <xf numFmtId="9" fontId="0" fillId="0" borderId="0" xfId="0" applyNumberFormat="1" applyBorder="1"/>
    <xf numFmtId="0" fontId="0" fillId="0" borderId="0" xfId="0" applyNumberFormat="1" applyBorder="1"/>
    <xf numFmtId="0" fontId="1" fillId="0" borderId="4" xfId="0" applyFont="1" applyBorder="1"/>
    <xf numFmtId="9" fontId="0" fillId="0" borderId="0" xfId="1" applyFont="1" applyBorder="1"/>
    <xf numFmtId="0" fontId="0" fillId="0" borderId="7" xfId="0" applyBorder="1"/>
    <xf numFmtId="0" fontId="0" fillId="0" borderId="8" xfId="0" applyBorder="1"/>
    <xf numFmtId="11" fontId="1" fillId="0" borderId="6" xfId="0" applyNumberFormat="1" applyFont="1" applyBorder="1"/>
    <xf numFmtId="11" fontId="1" fillId="0" borderId="7" xfId="0" applyNumberFormat="1" applyFont="1" applyBorder="1"/>
    <xf numFmtId="0" fontId="4" fillId="0" borderId="5" xfId="0" applyFont="1" applyBorder="1"/>
    <xf numFmtId="0" fontId="4" fillId="0" borderId="0" xfId="0" applyFont="1" applyBorder="1"/>
    <xf numFmtId="0" fontId="0" fillId="0" borderId="7" xfId="0" quotePrefix="1" applyBorder="1"/>
    <xf numFmtId="0" fontId="0" fillId="0" borderId="1" xfId="0" applyBorder="1"/>
    <xf numFmtId="0" fontId="1" fillId="0" borderId="2" xfId="0" applyFont="1" applyBorder="1"/>
    <xf numFmtId="10" fontId="0" fillId="0" borderId="0" xfId="1" applyNumberFormat="1" applyFont="1" applyBorder="1"/>
    <xf numFmtId="0" fontId="0" fillId="0" borderId="6" xfId="0" applyBorder="1"/>
    <xf numFmtId="0" fontId="0" fillId="0" borderId="4" xfId="0" applyFont="1" applyBorder="1"/>
    <xf numFmtId="0" fontId="0" fillId="0" borderId="2" xfId="0" applyFont="1" applyBorder="1"/>
    <xf numFmtId="0" fontId="0" fillId="0" borderId="0" xfId="0" applyFill="1" applyBorder="1"/>
    <xf numFmtId="0" fontId="0" fillId="0" borderId="0" xfId="0" applyFont="1" applyBorder="1"/>
    <xf numFmtId="0" fontId="3" fillId="0" borderId="7" xfId="0" applyFont="1" applyBorder="1"/>
    <xf numFmtId="11" fontId="0" fillId="0" borderId="8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Hazard Rate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Sheet1!$A$10:$A$17</c:f>
              <c:strCache>
                <c:ptCount val="8"/>
                <c:pt idx="0">
                  <c:v>6M</c:v>
                </c:pt>
                <c:pt idx="1">
                  <c:v>1Y</c:v>
                </c:pt>
                <c:pt idx="2">
                  <c:v>2Y</c:v>
                </c:pt>
                <c:pt idx="3">
                  <c:v>3Y</c:v>
                </c:pt>
                <c:pt idx="4">
                  <c:v>4Y</c:v>
                </c:pt>
                <c:pt idx="5">
                  <c:v>5Y</c:v>
                </c:pt>
                <c:pt idx="6">
                  <c:v>7Y</c:v>
                </c:pt>
                <c:pt idx="7">
                  <c:v>10Y</c:v>
                </c:pt>
              </c:strCache>
            </c:strRef>
          </c:cat>
          <c:val>
            <c:numRef>
              <c:f>Sheet1!$C$10:$C$17</c:f>
              <c:numCache>
                <c:formatCode>General</c:formatCode>
                <c:ptCount val="8"/>
                <c:pt idx="0">
                  <c:v>2.8561610210419476E-3</c:v>
                </c:pt>
                <c:pt idx="1">
                  <c:v>1.9474743507013559E-2</c:v>
                </c:pt>
                <c:pt idx="2">
                  <c:v>2.0949737587104215E-2</c:v>
                </c:pt>
                <c:pt idx="3">
                  <c:v>2.1123096523127223E-2</c:v>
                </c:pt>
                <c:pt idx="4">
                  <c:v>2.4522435389440194E-2</c:v>
                </c:pt>
                <c:pt idx="5">
                  <c:v>2.9253644104186762E-2</c:v>
                </c:pt>
                <c:pt idx="6">
                  <c:v>3.185387451476878E-2</c:v>
                </c:pt>
                <c:pt idx="7">
                  <c:v>2.7375588810550584E-2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5-43FF-8EDB-F2E870C5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127688"/>
        <c:axId val="675128344"/>
      </c:lineChart>
      <c:catAx>
        <c:axId val="67512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28344"/>
        <c:crosses val="autoZero"/>
        <c:auto val="1"/>
        <c:lblAlgn val="ctr"/>
        <c:lblOffset val="100"/>
        <c:noMultiLvlLbl val="0"/>
      </c:catAx>
      <c:valAx>
        <c:axId val="67512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2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33130</xdr:colOff>
      <xdr:row>27</xdr:row>
      <xdr:rowOff>82825</xdr:rowOff>
    </xdr:from>
    <xdr:to>
      <xdr:col>3</xdr:col>
      <xdr:colOff>430696</xdr:colOff>
      <xdr:row>39</xdr:row>
      <xdr:rowOff>9110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4759B-2B0D-4294-AE3D-40F0A1342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0"/>
  <sheetViews>
    <sheetView tabSelected="1" zoomScale="70" zoomScaleNormal="70" workbookViewId="0">
      <selection activeCell="J21" sqref="J21"/>
    </sheetView>
  </sheetViews>
  <sheetFormatPr defaultRowHeight="15" x14ac:dyDescent="0.25"/>
  <cols>
    <col min="1" max="1" width="25.28515625" bestFit="1" customWidth="1"/>
    <col min="2" max="2" width="15.5703125" bestFit="1" customWidth="1"/>
    <col min="5" max="5" width="31.140625" bestFit="1" customWidth="1"/>
    <col min="6" max="6" width="16" customWidth="1"/>
    <col min="8" max="8" width="24.85546875" bestFit="1" customWidth="1"/>
    <col min="9" max="9" width="14" customWidth="1"/>
    <col min="10" max="10" width="22.7109375" customWidth="1"/>
    <col min="11" max="11" width="15.85546875" bestFit="1" customWidth="1"/>
  </cols>
  <sheetData>
    <row r="2" spans="1:11" x14ac:dyDescent="0.25">
      <c r="A2" s="1" t="s">
        <v>0</v>
      </c>
    </row>
    <row r="3" spans="1:11" x14ac:dyDescent="0.25">
      <c r="A3" t="s">
        <v>1</v>
      </c>
      <c r="B3" s="2">
        <v>1.4999999999999999E-2</v>
      </c>
      <c r="E3" s="5" t="s">
        <v>23</v>
      </c>
      <c r="F3" s="26">
        <v>0.5</v>
      </c>
      <c r="G3" s="6"/>
      <c r="H3" s="6"/>
      <c r="I3" s="6"/>
      <c r="J3" s="6"/>
      <c r="K3" s="7"/>
    </row>
    <row r="4" spans="1:11" x14ac:dyDescent="0.25">
      <c r="A4" t="s">
        <v>2</v>
      </c>
      <c r="B4" s="3">
        <v>0.4</v>
      </c>
      <c r="E4" s="8" t="s">
        <v>26</v>
      </c>
      <c r="F4" s="9">
        <v>2.8561610210419476E-3</v>
      </c>
      <c r="G4" s="10"/>
      <c r="H4" s="11" t="s">
        <v>122</v>
      </c>
      <c r="I4" s="10"/>
      <c r="J4" s="10"/>
      <c r="K4" s="12"/>
    </row>
    <row r="5" spans="1:11" x14ac:dyDescent="0.25">
      <c r="A5" t="s">
        <v>3</v>
      </c>
      <c r="B5">
        <v>360</v>
      </c>
      <c r="E5" s="13"/>
      <c r="F5" s="10"/>
      <c r="G5" s="10"/>
      <c r="H5" s="10" t="s">
        <v>34</v>
      </c>
      <c r="I5" s="14">
        <f>1-B4</f>
        <v>0.6</v>
      </c>
      <c r="J5" s="10"/>
      <c r="K5" s="12"/>
    </row>
    <row r="6" spans="1:11" x14ac:dyDescent="0.25">
      <c r="A6" t="s">
        <v>4</v>
      </c>
      <c r="B6">
        <v>365</v>
      </c>
      <c r="E6" s="13"/>
      <c r="F6" s="15"/>
      <c r="G6" s="10"/>
      <c r="H6" s="10" t="s">
        <v>35</v>
      </c>
      <c r="I6" s="10">
        <f>1/(1+B3/12)</f>
        <v>0.99875156054931336</v>
      </c>
      <c r="J6" s="10" t="s">
        <v>41</v>
      </c>
      <c r="K6" s="12">
        <f>I6*I13</f>
        <v>2.3768798549170497E-4</v>
      </c>
    </row>
    <row r="7" spans="1:11" x14ac:dyDescent="0.25">
      <c r="A7" t="s">
        <v>5</v>
      </c>
      <c r="B7">
        <v>0.25</v>
      </c>
      <c r="E7" s="16" t="s">
        <v>18</v>
      </c>
      <c r="F7" s="10"/>
      <c r="G7" s="10"/>
      <c r="H7" s="10" t="s">
        <v>36</v>
      </c>
      <c r="I7" s="10">
        <f>1/(1+B3*2/12)</f>
        <v>0.99750623441396513</v>
      </c>
      <c r="J7" s="10"/>
      <c r="K7" s="12">
        <f t="shared" ref="K7:K11" si="0">I7*I14</f>
        <v>2.3733512076604466E-4</v>
      </c>
    </row>
    <row r="8" spans="1:11" x14ac:dyDescent="0.25">
      <c r="E8" s="13" t="s">
        <v>27</v>
      </c>
      <c r="F8" s="17">
        <f>B10/10000</f>
        <v>0.01</v>
      </c>
      <c r="G8" s="10"/>
      <c r="H8" s="10" t="s">
        <v>29</v>
      </c>
      <c r="I8" s="10">
        <f>1/(1+B3*3/12)</f>
        <v>0.9962640099626402</v>
      </c>
      <c r="J8" s="10"/>
      <c r="K8" s="12">
        <f t="shared" si="0"/>
        <v>2.369831483347572E-4</v>
      </c>
    </row>
    <row r="9" spans="1:11" x14ac:dyDescent="0.25">
      <c r="A9" s="1" t="s">
        <v>6</v>
      </c>
      <c r="B9" s="1" t="s">
        <v>15</v>
      </c>
      <c r="C9" t="s">
        <v>121</v>
      </c>
      <c r="E9" s="13" t="s">
        <v>29</v>
      </c>
      <c r="F9" s="10">
        <f>B7*(1/(1+(B3/4)))</f>
        <v>0.24906600249066005</v>
      </c>
      <c r="G9" s="10"/>
      <c r="H9" s="10" t="s">
        <v>37</v>
      </c>
      <c r="I9" s="10">
        <f>1/(1+B3*4/12)</f>
        <v>0.99502487562189068</v>
      </c>
      <c r="J9" s="10"/>
      <c r="K9" s="12">
        <f t="shared" si="0"/>
        <v>2.3663206486529285E-4</v>
      </c>
    </row>
    <row r="10" spans="1:11" x14ac:dyDescent="0.25">
      <c r="A10" s="4" t="s">
        <v>7</v>
      </c>
      <c r="B10">
        <v>100</v>
      </c>
      <c r="C10">
        <f>F4</f>
        <v>2.8561610210419476E-3</v>
      </c>
      <c r="E10" s="13" t="s">
        <v>30</v>
      </c>
      <c r="F10" s="10">
        <f>B7*(1/(1+(B3/2)))</f>
        <v>0.24813895781637715</v>
      </c>
      <c r="G10" s="10"/>
      <c r="H10" s="10" t="s">
        <v>38</v>
      </c>
      <c r="I10" s="10">
        <f>1/(1+B3*5/12)</f>
        <v>0.99378881987577627</v>
      </c>
      <c r="J10" s="10"/>
      <c r="K10" s="12">
        <f t="shared" si="0"/>
        <v>2.3628186704155069E-4</v>
      </c>
    </row>
    <row r="11" spans="1:11" x14ac:dyDescent="0.25">
      <c r="A11" t="s">
        <v>8</v>
      </c>
      <c r="B11">
        <v>115</v>
      </c>
      <c r="C11">
        <f>F23</f>
        <v>1.9474743507013559E-2</v>
      </c>
      <c r="E11" s="13" t="s">
        <v>31</v>
      </c>
      <c r="F11" s="10">
        <f>EXP(-F4*B5/4)</f>
        <v>0.77332607261508135</v>
      </c>
      <c r="G11" s="10"/>
      <c r="H11" s="10" t="s">
        <v>28</v>
      </c>
      <c r="I11" s="10">
        <f>1/(1+B3*6/12)</f>
        <v>0.99255583126550861</v>
      </c>
      <c r="J11" s="10"/>
      <c r="K11" s="12">
        <f t="shared" si="0"/>
        <v>2.359325515638871E-4</v>
      </c>
    </row>
    <row r="12" spans="1:11" x14ac:dyDescent="0.25">
      <c r="A12" t="s">
        <v>9</v>
      </c>
      <c r="B12">
        <v>125</v>
      </c>
      <c r="C12">
        <f>F40</f>
        <v>2.0949737587104215E-2</v>
      </c>
      <c r="E12" s="13" t="s">
        <v>32</v>
      </c>
      <c r="F12" s="10">
        <f>EXP(-F4*B5/2)</f>
        <v>0.59803321458626613</v>
      </c>
      <c r="G12" s="10"/>
      <c r="H12" s="11" t="s">
        <v>39</v>
      </c>
      <c r="I12" s="10"/>
      <c r="J12" s="9" t="s">
        <v>57</v>
      </c>
      <c r="K12" s="22">
        <f>SUM(K6:K11)</f>
        <v>1.4208527380632375E-3</v>
      </c>
    </row>
    <row r="13" spans="1:11" x14ac:dyDescent="0.25">
      <c r="A13" t="s">
        <v>10</v>
      </c>
      <c r="B13">
        <v>130</v>
      </c>
      <c r="C13">
        <f>F61</f>
        <v>2.1123096523127223E-2</v>
      </c>
      <c r="E13" s="13"/>
      <c r="F13" s="10"/>
      <c r="G13" s="10"/>
      <c r="H13" s="10">
        <v>1</v>
      </c>
      <c r="I13" s="10">
        <f>EXP(-$F$4*((H13-1)/12)) - EXP(-$F$4*((H13)/12))</f>
        <v>2.3798509547356961E-4</v>
      </c>
      <c r="J13" s="10"/>
      <c r="K13" s="12"/>
    </row>
    <row r="14" spans="1:11" x14ac:dyDescent="0.25">
      <c r="A14" t="s">
        <v>11</v>
      </c>
      <c r="B14">
        <v>140</v>
      </c>
      <c r="C14">
        <f>F82</f>
        <v>2.4522435389440194E-2</v>
      </c>
      <c r="E14" s="13"/>
      <c r="F14" s="10"/>
      <c r="G14" s="10"/>
      <c r="H14" s="10">
        <v>2</v>
      </c>
      <c r="I14" s="10">
        <f t="shared" ref="I14:I18" si="1">EXP(-$F$4*((H14-1)/12)) - EXP(-$F$4*((H14)/12))</f>
        <v>2.3792845856795974E-4</v>
      </c>
      <c r="J14" s="10"/>
      <c r="K14" s="12"/>
    </row>
    <row r="15" spans="1:11" x14ac:dyDescent="0.25">
      <c r="A15" t="s">
        <v>12</v>
      </c>
      <c r="B15">
        <v>155</v>
      </c>
      <c r="C15">
        <f>F103</f>
        <v>2.9253644104186762E-2</v>
      </c>
      <c r="E15" s="13" t="s">
        <v>43</v>
      </c>
      <c r="F15" s="23">
        <f>(B7*F9*F11+B7*F10*F12)</f>
        <v>8.5251143033763535E-2</v>
      </c>
      <c r="G15" s="10"/>
      <c r="H15" s="10">
        <v>3</v>
      </c>
      <c r="I15" s="10">
        <f t="shared" si="1"/>
        <v>2.3787183514101251E-4</v>
      </c>
      <c r="J15" s="10"/>
      <c r="K15" s="12"/>
    </row>
    <row r="16" spans="1:11" x14ac:dyDescent="0.25">
      <c r="A16" t="s">
        <v>13</v>
      </c>
      <c r="B16">
        <v>165</v>
      </c>
      <c r="C16">
        <f>F124</f>
        <v>3.185387451476878E-2</v>
      </c>
      <c r="E16" s="13"/>
      <c r="F16" s="10"/>
      <c r="G16" s="10"/>
      <c r="H16" s="10">
        <v>4</v>
      </c>
      <c r="I16" s="10">
        <f t="shared" si="1"/>
        <v>2.3781522518961928E-4</v>
      </c>
      <c r="J16" s="10"/>
      <c r="K16" s="12"/>
    </row>
    <row r="17" spans="1:12" x14ac:dyDescent="0.25">
      <c r="A17" t="s">
        <v>14</v>
      </c>
      <c r="B17">
        <v>180</v>
      </c>
      <c r="C17">
        <f>F153</f>
        <v>2.7375588810550584E-2</v>
      </c>
      <c r="E17" s="13"/>
      <c r="F17" s="10"/>
      <c r="G17" s="10"/>
      <c r="H17" s="10">
        <v>5</v>
      </c>
      <c r="I17" s="10">
        <f t="shared" si="1"/>
        <v>2.3775862871056042E-4</v>
      </c>
      <c r="J17" s="10"/>
      <c r="K17" s="12"/>
    </row>
    <row r="18" spans="1:12" x14ac:dyDescent="0.25">
      <c r="E18" s="13" t="s">
        <v>18</v>
      </c>
      <c r="F18" s="10"/>
      <c r="G18" s="10"/>
      <c r="H18" s="10">
        <v>6</v>
      </c>
      <c r="I18" s="10">
        <f t="shared" si="1"/>
        <v>2.3770204570061626E-4</v>
      </c>
      <c r="J18" s="10"/>
      <c r="K18" s="12"/>
    </row>
    <row r="19" spans="1:12" x14ac:dyDescent="0.25">
      <c r="A19" s="1" t="s">
        <v>16</v>
      </c>
      <c r="E19" s="13" t="s">
        <v>33</v>
      </c>
      <c r="F19" s="10"/>
      <c r="G19" s="10"/>
      <c r="H19" s="10" t="s">
        <v>40</v>
      </c>
      <c r="I19" s="10" t="s">
        <v>122</v>
      </c>
      <c r="J19" s="10"/>
      <c r="K19" s="12"/>
    </row>
    <row r="20" spans="1:12" x14ac:dyDescent="0.25">
      <c r="A20" t="s">
        <v>19</v>
      </c>
      <c r="E20" s="20">
        <f>F8*F15</f>
        <v>8.5251143033763534E-4</v>
      </c>
      <c r="F20" s="18"/>
      <c r="G20" s="24" t="s">
        <v>58</v>
      </c>
      <c r="H20" s="21">
        <f>I5*K12</f>
        <v>8.5251164283794251E-4</v>
      </c>
      <c r="I20" s="18"/>
      <c r="J20" s="18" t="s">
        <v>124</v>
      </c>
      <c r="K20" s="34">
        <f>E20-H20</f>
        <v>-2.1250030717272911E-10</v>
      </c>
    </row>
    <row r="21" spans="1:12" x14ac:dyDescent="0.25">
      <c r="A21" t="s">
        <v>17</v>
      </c>
    </row>
    <row r="22" spans="1:12" x14ac:dyDescent="0.25">
      <c r="A22" t="s">
        <v>18</v>
      </c>
      <c r="E22" s="5" t="s">
        <v>42</v>
      </c>
      <c r="F22" s="26">
        <v>1</v>
      </c>
      <c r="G22" s="6"/>
      <c r="H22" s="26" t="s">
        <v>122</v>
      </c>
      <c r="I22" s="6"/>
      <c r="J22" s="6" t="s">
        <v>54</v>
      </c>
      <c r="K22" s="6"/>
      <c r="L22" s="7"/>
    </row>
    <row r="23" spans="1:12" x14ac:dyDescent="0.25">
      <c r="A23" t="s">
        <v>20</v>
      </c>
      <c r="E23" s="16" t="s">
        <v>26</v>
      </c>
      <c r="F23" s="11">
        <v>1.9474743507013559E-2</v>
      </c>
      <c r="G23" s="10"/>
      <c r="H23" s="10" t="s">
        <v>34</v>
      </c>
      <c r="I23" s="14">
        <f>1-B4</f>
        <v>0.6</v>
      </c>
      <c r="J23" s="10"/>
      <c r="K23" s="11" t="s">
        <v>55</v>
      </c>
      <c r="L23" s="12"/>
    </row>
    <row r="24" spans="1:12" x14ac:dyDescent="0.25">
      <c r="E24" s="13"/>
      <c r="F24" s="10"/>
      <c r="G24" s="10">
        <v>7</v>
      </c>
      <c r="H24" s="10" t="s">
        <v>50</v>
      </c>
      <c r="I24" s="10">
        <f>1/(1+B3*G24/12)</f>
        <v>0.99132589838909535</v>
      </c>
      <c r="J24" s="10">
        <f>EXP($F$4*1/2)*(EXP(-$F$23*((G24-1)/12-6/12))-EXP(-$F$23*((G24/12-6/12))))</f>
        <v>1.6238965096372203E-3</v>
      </c>
      <c r="K24" s="10">
        <f>I24*J24</f>
        <v>1.6098106663070338E-3</v>
      </c>
      <c r="L24" s="12"/>
    </row>
    <row r="25" spans="1:12" x14ac:dyDescent="0.25">
      <c r="A25" t="s">
        <v>21</v>
      </c>
      <c r="B25" t="s">
        <v>22</v>
      </c>
      <c r="E25" s="16" t="s">
        <v>18</v>
      </c>
      <c r="F25" s="10"/>
      <c r="G25" s="10">
        <v>8</v>
      </c>
      <c r="H25" s="10" t="s">
        <v>51</v>
      </c>
      <c r="I25" s="10">
        <f>1/(1+B3*G25/12)</f>
        <v>0.99009900990099009</v>
      </c>
      <c r="J25" s="10">
        <f t="shared" ref="J25:J29" si="2">EXP($F$4*1/2)*(EXP(-$F$23*((G25-1)/12-6/12))-EXP(-$F$23*((G25/12-6/12))))</f>
        <v>1.6212632329807917E-3</v>
      </c>
      <c r="K25" s="10">
        <f t="shared" ref="K25:K29" si="3">I25*J25</f>
        <v>1.6052111217631602E-3</v>
      </c>
      <c r="L25" s="12"/>
    </row>
    <row r="26" spans="1:12" x14ac:dyDescent="0.25">
      <c r="A26" t="s">
        <v>24</v>
      </c>
      <c r="B26" t="s">
        <v>25</v>
      </c>
      <c r="E26" s="13" t="s">
        <v>27</v>
      </c>
      <c r="F26" s="27">
        <f>B11/10000</f>
        <v>1.15E-2</v>
      </c>
      <c r="G26" s="10">
        <v>9</v>
      </c>
      <c r="H26" s="10" t="s">
        <v>44</v>
      </c>
      <c r="I26" s="10">
        <f>1/(1+B3*G26/12)</f>
        <v>0.9888751545117429</v>
      </c>
      <c r="J26" s="10">
        <f t="shared" si="2"/>
        <v>1.61863422639074E-3</v>
      </c>
      <c r="K26" s="10">
        <f t="shared" si="3"/>
        <v>1.6006271707201384E-3</v>
      </c>
      <c r="L26" s="12"/>
    </row>
    <row r="27" spans="1:12" x14ac:dyDescent="0.25">
      <c r="E27" s="13"/>
      <c r="F27" s="10"/>
      <c r="G27" s="10">
        <v>10</v>
      </c>
      <c r="H27" s="10" t="s">
        <v>52</v>
      </c>
      <c r="I27" s="10">
        <f>1/(1+B3*G27/12)</f>
        <v>0.98765432098765438</v>
      </c>
      <c r="J27" s="10">
        <f t="shared" si="2"/>
        <v>1.616009482942826E-3</v>
      </c>
      <c r="K27" s="10">
        <f t="shared" si="3"/>
        <v>1.5960587485855072E-3</v>
      </c>
      <c r="L27" s="12"/>
    </row>
    <row r="28" spans="1:12" x14ac:dyDescent="0.25">
      <c r="E28" s="13" t="s">
        <v>44</v>
      </c>
      <c r="F28" s="10">
        <f>1/(1+B3*9/12)</f>
        <v>0.9888751545117429</v>
      </c>
      <c r="G28" s="10">
        <v>11</v>
      </c>
      <c r="H28" s="10" t="s">
        <v>53</v>
      </c>
      <c r="I28" s="10">
        <f>1/(1+B3*G28/12)</f>
        <v>0.98643649815043166</v>
      </c>
      <c r="J28" s="10">
        <f t="shared" si="2"/>
        <v>1.6133889957240394E-3</v>
      </c>
      <c r="K28" s="10">
        <f t="shared" si="3"/>
        <v>1.5915057910964631E-3</v>
      </c>
      <c r="L28" s="12"/>
    </row>
    <row r="29" spans="1:12" x14ac:dyDescent="0.25">
      <c r="E29" s="13" t="s">
        <v>48</v>
      </c>
      <c r="F29" s="10">
        <f>1/(1+B3)</f>
        <v>0.98522167487684742</v>
      </c>
      <c r="G29" s="10">
        <v>12</v>
      </c>
      <c r="H29" s="10" t="s">
        <v>45</v>
      </c>
      <c r="I29" s="10">
        <f>1/(1+B3*G29/12)</f>
        <v>0.98522167487684742</v>
      </c>
      <c r="J29" s="10">
        <f t="shared" si="2"/>
        <v>1.6107727578325997E-3</v>
      </c>
      <c r="K29" s="10">
        <f t="shared" si="3"/>
        <v>1.5869682343178325E-3</v>
      </c>
      <c r="L29" s="12"/>
    </row>
    <row r="30" spans="1:12" x14ac:dyDescent="0.25">
      <c r="E30" s="13" t="s">
        <v>46</v>
      </c>
      <c r="F30" s="10">
        <f>EXP(-$F$4*6/12 - $F$23*(9/12 - 6/12))</f>
        <v>0.99372301670125196</v>
      </c>
      <c r="G30" s="10"/>
      <c r="H30" s="10"/>
      <c r="I30" s="10"/>
      <c r="J30" s="9" t="s">
        <v>57</v>
      </c>
      <c r="K30" s="10">
        <f>SUM(K24:K29)</f>
        <v>9.5901817327901338E-3</v>
      </c>
      <c r="L30" s="12"/>
    </row>
    <row r="31" spans="1:12" x14ac:dyDescent="0.25">
      <c r="E31" s="13" t="s">
        <v>47</v>
      </c>
      <c r="F31" s="10">
        <f>EXP(-$F$4*6/12 - $F$23*(12/12 - 6/12))</f>
        <v>0.98889665004973026</v>
      </c>
      <c r="G31" s="10"/>
      <c r="H31" s="10"/>
      <c r="I31" s="10"/>
      <c r="J31" s="10"/>
      <c r="K31" s="10"/>
      <c r="L31" s="12"/>
    </row>
    <row r="32" spans="1:12" x14ac:dyDescent="0.25">
      <c r="E32" s="13"/>
      <c r="F32" s="10"/>
      <c r="G32" s="10"/>
      <c r="H32" s="10"/>
      <c r="I32" s="10"/>
      <c r="J32" s="10"/>
      <c r="K32" s="10"/>
      <c r="L32" s="12"/>
    </row>
    <row r="33" spans="5:12" x14ac:dyDescent="0.25">
      <c r="E33" s="8" t="s">
        <v>43</v>
      </c>
      <c r="F33" s="23">
        <f>(B7*F28*F30+B7*F29*F31)</f>
        <v>0.48923760388110615</v>
      </c>
      <c r="G33" s="10"/>
      <c r="H33" s="10"/>
      <c r="I33" s="10"/>
      <c r="J33" s="10"/>
      <c r="K33" s="10"/>
      <c r="L33" s="12"/>
    </row>
    <row r="34" spans="5:12" x14ac:dyDescent="0.25">
      <c r="E34" s="13"/>
      <c r="F34" s="10"/>
      <c r="G34" s="10"/>
      <c r="H34" s="10"/>
      <c r="I34" s="10"/>
      <c r="J34" s="10"/>
      <c r="K34" s="10"/>
      <c r="L34" s="12"/>
    </row>
    <row r="35" spans="5:12" x14ac:dyDescent="0.25">
      <c r="E35" s="13" t="s">
        <v>18</v>
      </c>
      <c r="F35" s="10"/>
      <c r="G35" s="10"/>
      <c r="H35" s="10" t="s">
        <v>122</v>
      </c>
      <c r="I35" s="10"/>
      <c r="J35" s="10"/>
      <c r="K35" s="10"/>
      <c r="L35" s="12"/>
    </row>
    <row r="36" spans="5:12" x14ac:dyDescent="0.25">
      <c r="E36" s="13" t="s">
        <v>49</v>
      </c>
      <c r="F36" s="10"/>
      <c r="G36" s="10"/>
      <c r="H36" s="10" t="s">
        <v>56</v>
      </c>
      <c r="I36" s="10"/>
      <c r="J36" s="10"/>
      <c r="K36" s="10"/>
      <c r="L36" s="12"/>
    </row>
    <row r="37" spans="5:12" x14ac:dyDescent="0.25">
      <c r="E37" s="28">
        <f>F26*(F15+F33)</f>
        <v>6.606620589521002E-3</v>
      </c>
      <c r="F37" s="18"/>
      <c r="G37" s="18"/>
      <c r="H37" s="18">
        <f>I23*(K12+K30)</f>
        <v>6.6066206825120223E-3</v>
      </c>
      <c r="I37" s="18"/>
      <c r="J37" s="18" t="s">
        <v>124</v>
      </c>
      <c r="K37" s="18">
        <f>E37-H37</f>
        <v>-9.2991020265997815E-11</v>
      </c>
      <c r="L37" s="19"/>
    </row>
    <row r="39" spans="5:12" x14ac:dyDescent="0.25">
      <c r="E39" s="5" t="s">
        <v>59</v>
      </c>
      <c r="F39" s="26">
        <v>2</v>
      </c>
      <c r="G39" s="6"/>
      <c r="H39" s="6"/>
      <c r="I39" s="26" t="s">
        <v>122</v>
      </c>
      <c r="J39" s="6"/>
      <c r="K39" s="6"/>
      <c r="L39" s="7"/>
    </row>
    <row r="40" spans="5:12" x14ac:dyDescent="0.25">
      <c r="E40" s="16" t="s">
        <v>26</v>
      </c>
      <c r="F40" s="10">
        <v>2.0949737587104215E-2</v>
      </c>
      <c r="G40" s="10"/>
      <c r="H40" s="10" t="s">
        <v>34</v>
      </c>
      <c r="I40" s="14">
        <f>1-B4</f>
        <v>0.6</v>
      </c>
      <c r="J40" s="10" t="s">
        <v>70</v>
      </c>
      <c r="K40" s="10"/>
      <c r="L40" s="12"/>
    </row>
    <row r="41" spans="5:12" x14ac:dyDescent="0.25">
      <c r="E41" s="13" t="s">
        <v>5</v>
      </c>
      <c r="F41" s="10">
        <f>B7</f>
        <v>0.25</v>
      </c>
      <c r="G41" s="10"/>
      <c r="H41" s="10"/>
      <c r="I41" s="10" t="s">
        <v>69</v>
      </c>
      <c r="J41" s="10"/>
      <c r="K41" s="11" t="s">
        <v>55</v>
      </c>
      <c r="L41" s="12"/>
    </row>
    <row r="42" spans="5:12" x14ac:dyDescent="0.25">
      <c r="E42" s="16" t="s">
        <v>18</v>
      </c>
      <c r="F42" s="10"/>
      <c r="G42" s="10"/>
      <c r="H42" s="10">
        <v>13</v>
      </c>
      <c r="I42" s="10">
        <f>1/(1+$B$3*H42/12)</f>
        <v>0.98400984009840087</v>
      </c>
      <c r="J42" s="10">
        <f>EXP($F$23*$F$22)*(EXP(-$F$40*((H42-1)/12-$F$22))-EXP(-$F$40*((H42/12-$F$22))))</f>
        <v>1.7785909249146965E-3</v>
      </c>
      <c r="K42" s="10">
        <f>I42*J42</f>
        <v>1.7501509716257775E-3</v>
      </c>
      <c r="L42" s="12"/>
    </row>
    <row r="43" spans="5:12" x14ac:dyDescent="0.25">
      <c r="E43" s="16" t="s">
        <v>27</v>
      </c>
      <c r="F43" s="27">
        <f>B12/10000</f>
        <v>1.2500000000000001E-2</v>
      </c>
      <c r="G43" s="10"/>
      <c r="H43" s="10">
        <v>14</v>
      </c>
      <c r="I43" s="10">
        <f t="shared" ref="I43:I53" si="4">1/(1+$B$3*H43/12)</f>
        <v>0.98280098280098271</v>
      </c>
      <c r="J43" s="10">
        <f t="shared" ref="J43:J53" si="5">EXP($F$23*$F$22)*(EXP(-$F$40*((H43-1)/12-$F$22))-EXP(-$F$40*((H43/12-$F$22))))</f>
        <v>1.7754885493548084E-3</v>
      </c>
      <c r="K43" s="10">
        <f t="shared" ref="K43:K53" si="6">I43*J43</f>
        <v>1.7449518912577967E-3</v>
      </c>
      <c r="L43" s="12"/>
    </row>
    <row r="44" spans="5:12" x14ac:dyDescent="0.25">
      <c r="E44" s="13"/>
      <c r="F44" s="10"/>
      <c r="G44" s="10"/>
      <c r="H44" s="10">
        <v>15</v>
      </c>
      <c r="I44" s="10">
        <f t="shared" si="4"/>
        <v>0.98159509202453987</v>
      </c>
      <c r="J44" s="10">
        <f t="shared" si="5"/>
        <v>1.7723915852326186E-3</v>
      </c>
      <c r="K44" s="10">
        <f t="shared" si="6"/>
        <v>1.7397708812099324E-3</v>
      </c>
      <c r="L44" s="12"/>
    </row>
    <row r="45" spans="5:12" x14ac:dyDescent="0.25">
      <c r="E45" s="29" t="s">
        <v>60</v>
      </c>
      <c r="F45" s="10">
        <f>1/(1+$B$3*G45)</f>
        <v>0.98159509202453987</v>
      </c>
      <c r="G45" s="10">
        <v>1.25</v>
      </c>
      <c r="H45" s="10">
        <v>16</v>
      </c>
      <c r="I45" s="10">
        <f t="shared" si="4"/>
        <v>0.98039215686274506</v>
      </c>
      <c r="J45" s="10">
        <f t="shared" si="5"/>
        <v>1.7693000231091549E-3</v>
      </c>
      <c r="K45" s="10">
        <f t="shared" si="6"/>
        <v>1.734607865793289E-3</v>
      </c>
      <c r="L45" s="12"/>
    </row>
    <row r="46" spans="5:12" x14ac:dyDescent="0.25">
      <c r="E46" s="29" t="s">
        <v>61</v>
      </c>
      <c r="F46" s="10">
        <f t="shared" ref="F46:F48" si="7">1/(1+$B$3*G46)</f>
        <v>0.97799511002444994</v>
      </c>
      <c r="G46" s="10">
        <v>1.5</v>
      </c>
      <c r="H46" s="10">
        <v>17</v>
      </c>
      <c r="I46" s="10">
        <f t="shared" si="4"/>
        <v>0.97919216646266827</v>
      </c>
      <c r="J46" s="10">
        <f t="shared" si="5"/>
        <v>1.7662138535616346E-3</v>
      </c>
      <c r="K46" s="10">
        <f t="shared" si="6"/>
        <v>1.7294627697053949E-3</v>
      </c>
      <c r="L46" s="12"/>
    </row>
    <row r="47" spans="5:12" x14ac:dyDescent="0.25">
      <c r="E47" s="29" t="s">
        <v>62</v>
      </c>
      <c r="F47" s="10">
        <f t="shared" si="7"/>
        <v>0.97442143727161989</v>
      </c>
      <c r="G47" s="10">
        <v>1.75</v>
      </c>
      <c r="H47" s="10">
        <v>18</v>
      </c>
      <c r="I47" s="10">
        <f t="shared" si="4"/>
        <v>0.97799511002444994</v>
      </c>
      <c r="J47" s="10">
        <f t="shared" si="5"/>
        <v>1.7631330671840282E-3</v>
      </c>
      <c r="K47" s="10">
        <f t="shared" si="6"/>
        <v>1.7243355180283895E-3</v>
      </c>
      <c r="L47" s="12"/>
    </row>
    <row r="48" spans="5:12" x14ac:dyDescent="0.25">
      <c r="E48" s="29" t="s">
        <v>63</v>
      </c>
      <c r="F48" s="10">
        <f t="shared" si="7"/>
        <v>0.970873786407767</v>
      </c>
      <c r="G48" s="10">
        <v>2</v>
      </c>
      <c r="H48" s="10">
        <v>19</v>
      </c>
      <c r="I48" s="10">
        <f t="shared" si="4"/>
        <v>0.97680097680097688</v>
      </c>
      <c r="J48" s="10">
        <f t="shared" si="5"/>
        <v>1.7600576545862691E-3</v>
      </c>
      <c r="K48" s="10">
        <f t="shared" si="6"/>
        <v>1.7192260362259039E-3</v>
      </c>
      <c r="L48" s="12"/>
    </row>
    <row r="49" spans="5:12" x14ac:dyDescent="0.25">
      <c r="E49" s="13"/>
      <c r="F49" s="10"/>
      <c r="G49" s="10"/>
      <c r="H49" s="10">
        <v>20</v>
      </c>
      <c r="I49" s="10">
        <f t="shared" si="4"/>
        <v>0.97560975609756106</v>
      </c>
      <c r="J49" s="10">
        <f t="shared" si="5"/>
        <v>1.7569876063953844E-3</v>
      </c>
      <c r="K49" s="10">
        <f t="shared" si="6"/>
        <v>1.7141342501418386E-3</v>
      </c>
      <c r="L49" s="12"/>
    </row>
    <row r="50" spans="5:12" x14ac:dyDescent="0.25">
      <c r="E50" s="13" t="s">
        <v>64</v>
      </c>
      <c r="F50" s="10">
        <f>EXP(-$F$23*$F$22 - $F$23*(G45 - $F$22))</f>
        <v>0.97595048212503122</v>
      </c>
      <c r="G50" s="10"/>
      <c r="H50" s="10">
        <v>21</v>
      </c>
      <c r="I50" s="10">
        <f t="shared" si="4"/>
        <v>0.97442143727161989</v>
      </c>
      <c r="J50" s="10">
        <f t="shared" si="5"/>
        <v>1.753922913253684E-3</v>
      </c>
      <c r="K50" s="10">
        <f t="shared" si="6"/>
        <v>1.7090600859962816E-3</v>
      </c>
      <c r="L50" s="12"/>
    </row>
    <row r="51" spans="5:12" x14ac:dyDescent="0.25">
      <c r="E51" s="13" t="s">
        <v>65</v>
      </c>
      <c r="F51" s="10">
        <f t="shared" ref="F51:F53" si="8">EXP(-$F$23*$F$22 - $F$23*(G46 - $F$22))</f>
        <v>0.97121043406203966</v>
      </c>
      <c r="G51" s="10"/>
      <c r="H51" s="10">
        <v>22</v>
      </c>
      <c r="I51" s="10">
        <f t="shared" si="4"/>
        <v>0.97323600973236002</v>
      </c>
      <c r="J51" s="10">
        <f t="shared" si="5"/>
        <v>1.7508635658210247E-3</v>
      </c>
      <c r="K51" s="10">
        <f t="shared" si="6"/>
        <v>1.7040034703854252E-3</v>
      </c>
      <c r="L51" s="12"/>
    </row>
    <row r="52" spans="5:12" x14ac:dyDescent="0.25">
      <c r="E52" s="13" t="s">
        <v>66</v>
      </c>
      <c r="F52" s="10">
        <f t="shared" si="8"/>
        <v>0.96649340771587811</v>
      </c>
      <c r="G52" s="10"/>
      <c r="H52" s="10">
        <v>23</v>
      </c>
      <c r="I52" s="10">
        <f t="shared" si="4"/>
        <v>0.97205346294046169</v>
      </c>
      <c r="J52" s="10">
        <f t="shared" si="5"/>
        <v>1.7478095547724328E-3</v>
      </c>
      <c r="K52" s="10">
        <f t="shared" si="6"/>
        <v>1.6989643302769699E-3</v>
      </c>
      <c r="L52" s="12"/>
    </row>
    <row r="53" spans="5:12" x14ac:dyDescent="0.25">
      <c r="E53" s="13" t="s">
        <v>67</v>
      </c>
      <c r="F53" s="10">
        <f t="shared" si="8"/>
        <v>0.9617992912734511</v>
      </c>
      <c r="G53" s="10"/>
      <c r="H53" s="10">
        <v>24</v>
      </c>
      <c r="I53" s="10">
        <f t="shared" si="4"/>
        <v>0.970873786407767</v>
      </c>
      <c r="J53" s="10">
        <f t="shared" si="5"/>
        <v>1.744760870800255E-3</v>
      </c>
      <c r="K53" s="10">
        <f t="shared" si="6"/>
        <v>1.6939425930099564E-3</v>
      </c>
      <c r="L53" s="12"/>
    </row>
    <row r="54" spans="5:12" x14ac:dyDescent="0.25">
      <c r="E54" s="13"/>
      <c r="F54" s="10"/>
      <c r="G54" s="10"/>
      <c r="H54" s="10"/>
      <c r="I54" s="10"/>
      <c r="J54" s="9" t="s">
        <v>57</v>
      </c>
      <c r="K54" s="10">
        <f>SUM(K42:K53)</f>
        <v>2.0662610663656954E-2</v>
      </c>
      <c r="L54" s="12"/>
    </row>
    <row r="55" spans="5:12" x14ac:dyDescent="0.25">
      <c r="E55" s="16" t="s">
        <v>43</v>
      </c>
      <c r="F55" s="23">
        <f>F41*F45*F50+F41*F46*F51+F41*F47*F52+F41*F48*F53</f>
        <v>0.94584621844333161</v>
      </c>
      <c r="G55" s="10"/>
      <c r="H55" s="10"/>
      <c r="I55" s="10"/>
      <c r="J55" s="10"/>
      <c r="K55" s="10"/>
      <c r="L55" s="12"/>
    </row>
    <row r="56" spans="5:12" x14ac:dyDescent="0.25">
      <c r="E56" s="13" t="s">
        <v>18</v>
      </c>
      <c r="F56" s="10"/>
      <c r="G56" s="10"/>
      <c r="H56" s="10" t="s">
        <v>122</v>
      </c>
      <c r="I56" s="10"/>
      <c r="J56" s="10"/>
      <c r="K56" s="10"/>
      <c r="L56" s="12"/>
    </row>
    <row r="57" spans="5:12" x14ac:dyDescent="0.25">
      <c r="E57" s="13" t="s">
        <v>68</v>
      </c>
      <c r="F57" s="10"/>
      <c r="G57" s="10"/>
      <c r="H57" s="10" t="s">
        <v>71</v>
      </c>
      <c r="I57" s="10"/>
      <c r="J57" s="10"/>
      <c r="K57" s="10"/>
      <c r="L57" s="12"/>
    </row>
    <row r="58" spans="5:12" x14ac:dyDescent="0.25">
      <c r="E58" s="28">
        <f>F43*(F55+F33+F15)</f>
        <v>1.9004187066977516E-2</v>
      </c>
      <c r="F58" s="18"/>
      <c r="G58" s="18"/>
      <c r="H58" s="18">
        <f>I40*(K12+K30+K54)</f>
        <v>1.9004187080706194E-2</v>
      </c>
      <c r="I58" s="18"/>
      <c r="J58" s="18" t="s">
        <v>124</v>
      </c>
      <c r="K58" s="18">
        <f>E58-H58</f>
        <v>-1.3728677916713394E-11</v>
      </c>
      <c r="L58" s="19"/>
    </row>
    <row r="60" spans="5:12" x14ac:dyDescent="0.25">
      <c r="E60" s="5" t="s">
        <v>72</v>
      </c>
      <c r="F60" s="26">
        <v>3</v>
      </c>
      <c r="G60" s="6"/>
      <c r="H60" s="6"/>
      <c r="I60" s="26" t="s">
        <v>122</v>
      </c>
      <c r="J60" s="6"/>
      <c r="K60" s="6"/>
      <c r="L60" s="7"/>
    </row>
    <row r="61" spans="5:12" x14ac:dyDescent="0.25">
      <c r="E61" s="16" t="s">
        <v>26</v>
      </c>
      <c r="F61" s="10">
        <v>2.1123096523127223E-2</v>
      </c>
      <c r="G61" s="10"/>
      <c r="H61" s="10" t="s">
        <v>34</v>
      </c>
      <c r="I61" s="14">
        <f>I40</f>
        <v>0.6</v>
      </c>
      <c r="J61" s="10" t="s">
        <v>81</v>
      </c>
      <c r="K61" s="10"/>
      <c r="L61" s="12"/>
    </row>
    <row r="62" spans="5:12" x14ac:dyDescent="0.25">
      <c r="E62" s="13" t="s">
        <v>5</v>
      </c>
      <c r="F62" s="10">
        <f>B7</f>
        <v>0.25</v>
      </c>
      <c r="G62" s="10"/>
      <c r="H62" s="10"/>
      <c r="I62" s="10" t="s">
        <v>69</v>
      </c>
      <c r="J62" s="10"/>
      <c r="K62" s="11" t="s">
        <v>55</v>
      </c>
      <c r="L62" s="12"/>
    </row>
    <row r="63" spans="5:12" x14ac:dyDescent="0.25">
      <c r="E63" s="16" t="s">
        <v>18</v>
      </c>
      <c r="F63" s="10"/>
      <c r="G63" s="10"/>
      <c r="H63" s="10">
        <v>25</v>
      </c>
      <c r="I63" s="10">
        <f>1/(1+$B$3*H63/12)</f>
        <v>0.96969696969696972</v>
      </c>
      <c r="J63" s="10">
        <f>EXP($F$40*$F$39)*(EXP(-$F$61*((H63-1)/12-$F$39))-EXP(-$F$61*((H63/12-$F$39))))</f>
        <v>1.8339642655991421E-3</v>
      </c>
      <c r="K63" s="10">
        <f>I63*J63</f>
        <v>1.7783895908840166E-3</v>
      </c>
      <c r="L63" s="12"/>
    </row>
    <row r="64" spans="5:12" x14ac:dyDescent="0.25">
      <c r="E64" s="16" t="s">
        <v>27</v>
      </c>
      <c r="F64" s="27">
        <f>B13/10000</f>
        <v>1.2999999999999999E-2</v>
      </c>
      <c r="G64" s="10"/>
      <c r="H64" s="10">
        <v>26</v>
      </c>
      <c r="I64" s="10">
        <f t="shared" ref="I64:I74" si="9">1/(1+$B$3*H64/12)</f>
        <v>0.96852300242130751</v>
      </c>
      <c r="J64" s="10">
        <f t="shared" ref="J64:J74" si="10">EXP($F$40*$F$39)*(EXP(-$F$61*((H64-1)/12-$F$39))-EXP(-$F$61*((H64/12-$F$39))))</f>
        <v>1.8307388548593918E-3</v>
      </c>
      <c r="K64" s="10">
        <f t="shared" ref="K64:K74" si="11">I64*J64</f>
        <v>1.7731126923577645E-3</v>
      </c>
      <c r="L64" s="12"/>
    </row>
    <row r="65" spans="5:12" x14ac:dyDescent="0.25">
      <c r="E65" s="13"/>
      <c r="F65" s="10"/>
      <c r="G65" s="10"/>
      <c r="H65" s="10">
        <v>27</v>
      </c>
      <c r="I65" s="10">
        <f t="shared" si="9"/>
        <v>0.96735187424425639</v>
      </c>
      <c r="J65" s="10">
        <f t="shared" si="10"/>
        <v>1.8275191166809172E-3</v>
      </c>
      <c r="K65" s="10">
        <f t="shared" si="11"/>
        <v>1.7678540427384932E-3</v>
      </c>
      <c r="L65" s="12"/>
    </row>
    <row r="66" spans="5:12" x14ac:dyDescent="0.25">
      <c r="E66" s="29" t="s">
        <v>73</v>
      </c>
      <c r="F66" s="10">
        <f>1/(1+$B$3*G66)</f>
        <v>0.96735187424425639</v>
      </c>
      <c r="G66" s="10">
        <v>2.25</v>
      </c>
      <c r="H66" s="10">
        <v>28</v>
      </c>
      <c r="I66" s="10">
        <f t="shared" si="9"/>
        <v>0.96618357487922713</v>
      </c>
      <c r="J66" s="10">
        <f t="shared" si="10"/>
        <v>1.8243050410868724E-3</v>
      </c>
      <c r="K66" s="10">
        <f t="shared" si="11"/>
        <v>1.7626135662675098E-3</v>
      </c>
      <c r="L66" s="12"/>
    </row>
    <row r="67" spans="5:12" x14ac:dyDescent="0.25">
      <c r="E67" s="29" t="s">
        <v>74</v>
      </c>
      <c r="F67" s="10">
        <f t="shared" ref="F67:F69" si="12">1/(1+$B$3*G67)</f>
        <v>0.96385542168674687</v>
      </c>
      <c r="G67" s="10">
        <v>2.5</v>
      </c>
      <c r="H67" s="10">
        <v>29</v>
      </c>
      <c r="I67" s="10">
        <f t="shared" si="9"/>
        <v>0.96501809408926431</v>
      </c>
      <c r="J67" s="10">
        <f t="shared" si="10"/>
        <v>1.8210966181190509E-3</v>
      </c>
      <c r="K67" s="10">
        <f t="shared" si="11"/>
        <v>1.7573911875696513E-3</v>
      </c>
      <c r="L67" s="12"/>
    </row>
    <row r="68" spans="5:12" x14ac:dyDescent="0.25">
      <c r="E68" s="29" t="s">
        <v>75</v>
      </c>
      <c r="F68" s="10">
        <f t="shared" si="12"/>
        <v>0.96038415366146457</v>
      </c>
      <c r="G68" s="10">
        <v>2.75</v>
      </c>
      <c r="H68" s="10">
        <v>30</v>
      </c>
      <c r="I68" s="10">
        <f t="shared" si="9"/>
        <v>0.96385542168674687</v>
      </c>
      <c r="J68" s="10">
        <f t="shared" si="10"/>
        <v>1.8178938378356853E-3</v>
      </c>
      <c r="K68" s="10">
        <f t="shared" si="11"/>
        <v>1.7521868316488531E-3</v>
      </c>
      <c r="L68" s="12"/>
    </row>
    <row r="69" spans="5:12" x14ac:dyDescent="0.25">
      <c r="E69" s="29" t="s">
        <v>76</v>
      </c>
      <c r="F69" s="10">
        <f t="shared" si="12"/>
        <v>0.95693779904306231</v>
      </c>
      <c r="G69" s="10">
        <v>3</v>
      </c>
      <c r="H69" s="10">
        <v>31</v>
      </c>
      <c r="I69" s="10">
        <f t="shared" si="9"/>
        <v>0.96269554753309261</v>
      </c>
      <c r="J69" s="10">
        <f t="shared" si="10"/>
        <v>1.8146966903131853E-3</v>
      </c>
      <c r="K69" s="10">
        <f t="shared" si="11"/>
        <v>1.747000423887543E-3</v>
      </c>
      <c r="L69" s="12"/>
    </row>
    <row r="70" spans="5:12" x14ac:dyDescent="0.25">
      <c r="E70" s="13"/>
      <c r="F70" s="10"/>
      <c r="G70" s="10"/>
      <c r="H70" s="10">
        <v>32</v>
      </c>
      <c r="I70" s="10">
        <f t="shared" si="9"/>
        <v>0.96153846153846145</v>
      </c>
      <c r="J70" s="10">
        <f t="shared" si="10"/>
        <v>1.8115051656447476E-3</v>
      </c>
      <c r="K70" s="10">
        <f t="shared" si="11"/>
        <v>1.7418318900430264E-3</v>
      </c>
      <c r="L70" s="12"/>
    </row>
    <row r="71" spans="5:12" x14ac:dyDescent="0.25">
      <c r="E71" s="13" t="s">
        <v>77</v>
      </c>
      <c r="F71" s="10">
        <f>EXP(-$F$40*$F$39 - $F$61*(G66 - $F$39))</f>
        <v>0.95391543949818436</v>
      </c>
      <c r="G71" s="10"/>
      <c r="H71" s="10">
        <v>33</v>
      </c>
      <c r="I71" s="10">
        <f t="shared" si="9"/>
        <v>0.96038415366146457</v>
      </c>
      <c r="J71" s="10">
        <f t="shared" si="10"/>
        <v>1.808319253942092E-3</v>
      </c>
      <c r="K71" s="10">
        <f t="shared" si="11"/>
        <v>1.736681156246907E-3</v>
      </c>
      <c r="L71" s="12"/>
    </row>
    <row r="72" spans="5:12" x14ac:dyDescent="0.25">
      <c r="E72" s="13" t="s">
        <v>78</v>
      </c>
      <c r="F72" s="10">
        <f t="shared" ref="F72:F74" si="13">EXP(-$F$40*$F$39 - $F$61*(G67 - $F$39))</f>
        <v>0.94889130485793494</v>
      </c>
      <c r="G72" s="10"/>
      <c r="H72" s="10">
        <v>34</v>
      </c>
      <c r="I72" s="10">
        <f t="shared" si="9"/>
        <v>0.95923261390887293</v>
      </c>
      <c r="J72" s="10">
        <f t="shared" si="10"/>
        <v>1.8051389453329159E-3</v>
      </c>
      <c r="K72" s="10">
        <f t="shared" si="11"/>
        <v>1.7315481490003989E-3</v>
      </c>
      <c r="L72" s="12"/>
    </row>
    <row r="73" spans="5:12" x14ac:dyDescent="0.25">
      <c r="E73" s="13" t="s">
        <v>79</v>
      </c>
      <c r="F73" s="10">
        <f t="shared" si="13"/>
        <v>0.94389363160811723</v>
      </c>
      <c r="G73" s="10"/>
      <c r="H73" s="10">
        <v>35</v>
      </c>
      <c r="I73" s="10">
        <f t="shared" si="9"/>
        <v>0.95808383233532934</v>
      </c>
      <c r="J73" s="10">
        <f t="shared" si="10"/>
        <v>1.8019642299634392E-3</v>
      </c>
      <c r="K73" s="10">
        <f t="shared" si="11"/>
        <v>1.7264327951745525E-3</v>
      </c>
      <c r="L73" s="12"/>
    </row>
    <row r="74" spans="5:12" x14ac:dyDescent="0.25">
      <c r="E74" s="13" t="s">
        <v>80</v>
      </c>
      <c r="F74" s="10">
        <f t="shared" si="13"/>
        <v>0.93892228038041525</v>
      </c>
      <c r="G74" s="10"/>
      <c r="H74" s="10">
        <v>36</v>
      </c>
      <c r="I74" s="10">
        <f t="shared" si="9"/>
        <v>0.95693779904306231</v>
      </c>
      <c r="J74" s="10">
        <f t="shared" si="10"/>
        <v>1.7987950979967858E-3</v>
      </c>
      <c r="K74" s="10">
        <f t="shared" si="11"/>
        <v>1.7213350220064937E-3</v>
      </c>
      <c r="L74" s="12"/>
    </row>
    <row r="75" spans="5:12" x14ac:dyDescent="0.25">
      <c r="E75" s="13"/>
      <c r="F75" s="10"/>
      <c r="G75" s="10"/>
      <c r="H75" s="10"/>
      <c r="I75" s="10"/>
      <c r="J75" s="9" t="s">
        <v>57</v>
      </c>
      <c r="K75" s="10">
        <f>SUM(K63:K74)</f>
        <v>2.099637734782521E-2</v>
      </c>
      <c r="L75" s="12"/>
    </row>
    <row r="76" spans="5:12" x14ac:dyDescent="0.25">
      <c r="E76" s="16" t="s">
        <v>43</v>
      </c>
      <c r="F76" s="23">
        <f>F62*F66*F71+F62*F67*F72+F62*F68*F73+F62*F69*F74</f>
        <v>0.91058915601149248</v>
      </c>
      <c r="G76" s="10"/>
      <c r="H76" s="10"/>
      <c r="I76" s="10"/>
      <c r="J76" s="10"/>
      <c r="K76" s="10"/>
      <c r="L76" s="12"/>
    </row>
    <row r="77" spans="5:12" x14ac:dyDescent="0.25">
      <c r="E77" s="13" t="s">
        <v>18</v>
      </c>
      <c r="F77" s="10"/>
      <c r="G77" s="10"/>
      <c r="H77" s="10" t="s">
        <v>122</v>
      </c>
      <c r="I77" s="10"/>
      <c r="J77" s="10"/>
      <c r="K77" s="10"/>
      <c r="L77" s="12"/>
    </row>
    <row r="78" spans="5:12" x14ac:dyDescent="0.25">
      <c r="E78" s="13" t="s">
        <v>82</v>
      </c>
      <c r="F78" s="10"/>
      <c r="G78" s="10"/>
      <c r="H78" s="10" t="s">
        <v>83</v>
      </c>
      <c r="I78" s="10"/>
      <c r="J78" s="10"/>
      <c r="K78" s="10"/>
      <c r="L78" s="12"/>
    </row>
    <row r="79" spans="5:12" x14ac:dyDescent="0.25">
      <c r="E79" s="28">
        <f>F64*($F$76+$F$55+$F$33+$F$15)</f>
        <v>3.1602013577806017E-2</v>
      </c>
      <c r="F79" s="18"/>
      <c r="G79" s="18"/>
      <c r="H79" s="18">
        <f>I61*($K$12+$K$30+$K$54+$K$75)</f>
        <v>3.1602013489401323E-2</v>
      </c>
      <c r="I79" s="18"/>
      <c r="J79" s="18" t="s">
        <v>124</v>
      </c>
      <c r="K79" s="18">
        <f>E79-H79</f>
        <v>8.8404693288079983E-11</v>
      </c>
      <c r="L79" s="19"/>
    </row>
    <row r="81" spans="5:12" x14ac:dyDescent="0.25">
      <c r="E81" s="5" t="s">
        <v>84</v>
      </c>
      <c r="F81" s="26">
        <v>4</v>
      </c>
      <c r="G81" s="6"/>
      <c r="H81" s="6"/>
      <c r="I81" s="26" t="s">
        <v>122</v>
      </c>
      <c r="J81" s="6"/>
      <c r="K81" s="6"/>
      <c r="L81" s="7"/>
    </row>
    <row r="82" spans="5:12" x14ac:dyDescent="0.25">
      <c r="E82" s="16" t="s">
        <v>26</v>
      </c>
      <c r="F82" s="10">
        <v>2.4522435389440194E-2</v>
      </c>
      <c r="G82" s="10"/>
      <c r="H82" s="10" t="s">
        <v>34</v>
      </c>
      <c r="I82" s="14">
        <f>I61</f>
        <v>0.6</v>
      </c>
      <c r="J82" s="10" t="s">
        <v>93</v>
      </c>
      <c r="K82" s="10"/>
      <c r="L82" s="12"/>
    </row>
    <row r="83" spans="5:12" x14ac:dyDescent="0.25">
      <c r="E83" s="13" t="s">
        <v>5</v>
      </c>
      <c r="F83" s="10">
        <f>F62</f>
        <v>0.25</v>
      </c>
      <c r="G83" s="10"/>
      <c r="H83" s="10"/>
      <c r="I83" s="10" t="s">
        <v>69</v>
      </c>
      <c r="J83" s="10"/>
      <c r="K83" s="11" t="s">
        <v>55</v>
      </c>
      <c r="L83" s="12"/>
    </row>
    <row r="84" spans="5:12" x14ac:dyDescent="0.25">
      <c r="E84" s="16" t="s">
        <v>18</v>
      </c>
      <c r="F84" s="10"/>
      <c r="G84" s="10"/>
      <c r="H84" s="10">
        <v>37</v>
      </c>
      <c r="I84" s="10">
        <f>1/(1+$B$3*H84/12)</f>
        <v>0.95579450418160106</v>
      </c>
      <c r="J84" s="10">
        <f>EXP($F$61*$F$60)*(EXP(-$F$82*((H84-1)/12-$F$60))-EXP(-$F$82*((H84/12-$F$60))))</f>
        <v>2.1750017613330975E-3</v>
      </c>
      <c r="K84" s="10">
        <f>I84*J84</f>
        <v>2.0788547300674767E-3</v>
      </c>
      <c r="L84" s="12"/>
    </row>
    <row r="85" spans="5:12" x14ac:dyDescent="0.25">
      <c r="E85" s="16" t="s">
        <v>27</v>
      </c>
      <c r="F85" s="27">
        <f>B14/10000</f>
        <v>1.4E-2</v>
      </c>
      <c r="G85" s="10"/>
      <c r="H85" s="10">
        <f>H84+1</f>
        <v>38</v>
      </c>
      <c r="I85" s="10">
        <f t="shared" ref="I85:I95" si="14">1/(1+$B$3*H85/12)</f>
        <v>0.95465393794749398</v>
      </c>
      <c r="J85" s="10">
        <f t="shared" ref="J85:J95" si="15">EXP($F$61*$F$60)*(EXP(-$F$82*((H85-1)/12-$F$60))-EXP(-$F$82*((H85/12-$F$60))))</f>
        <v>2.1705616046752839E-3</v>
      </c>
      <c r="K85" s="10">
        <f t="shared" ref="K85:K95" si="16">I85*J85</f>
        <v>2.0721351834608916E-3</v>
      </c>
      <c r="L85" s="12"/>
    </row>
    <row r="86" spans="5:12" x14ac:dyDescent="0.25">
      <c r="E86" s="13"/>
      <c r="F86" s="10"/>
      <c r="G86" s="10"/>
      <c r="H86" s="10">
        <f t="shared" ref="H86:H95" si="17">H85+1</f>
        <v>39</v>
      </c>
      <c r="I86" s="10">
        <f t="shared" si="14"/>
        <v>0.95351609058402853</v>
      </c>
      <c r="J86" s="10">
        <f t="shared" si="15"/>
        <v>2.1661305123738127E-3</v>
      </c>
      <c r="K86" s="10">
        <f t="shared" si="16"/>
        <v>2.0654402978534567E-3</v>
      </c>
      <c r="L86" s="12"/>
    </row>
    <row r="87" spans="5:12" x14ac:dyDescent="0.25">
      <c r="E87" s="29" t="s">
        <v>85</v>
      </c>
      <c r="F87" s="10">
        <f>1/(1+$B$3*G87)</f>
        <v>0.95351609058402853</v>
      </c>
      <c r="G87" s="10">
        <v>3.25</v>
      </c>
      <c r="H87" s="10">
        <f t="shared" si="17"/>
        <v>40</v>
      </c>
      <c r="I87" s="10">
        <f t="shared" si="14"/>
        <v>0.95238095238095233</v>
      </c>
      <c r="J87" s="10">
        <f t="shared" si="15"/>
        <v>2.1617084659242324E-3</v>
      </c>
      <c r="K87" s="10">
        <f t="shared" si="16"/>
        <v>2.0587699675468879E-3</v>
      </c>
      <c r="L87" s="12"/>
    </row>
    <row r="88" spans="5:12" x14ac:dyDescent="0.25">
      <c r="E88" s="29" t="s">
        <v>86</v>
      </c>
      <c r="F88" s="10">
        <f t="shared" ref="F88:F90" si="18">1/(1+$B$3*G88)</f>
        <v>0.95011876484560576</v>
      </c>
      <c r="G88" s="10">
        <v>3.5</v>
      </c>
      <c r="H88" s="10">
        <f t="shared" si="17"/>
        <v>41</v>
      </c>
      <c r="I88" s="10">
        <f t="shared" si="14"/>
        <v>0.95124851367419738</v>
      </c>
      <c r="J88" s="10">
        <f t="shared" si="15"/>
        <v>2.1572954468601804E-3</v>
      </c>
      <c r="K88" s="10">
        <f t="shared" si="16"/>
        <v>2.0521240873818602E-3</v>
      </c>
      <c r="L88" s="12"/>
    </row>
    <row r="89" spans="5:12" x14ac:dyDescent="0.25">
      <c r="E89" s="29" t="s">
        <v>87</v>
      </c>
      <c r="F89" s="10">
        <f t="shared" si="18"/>
        <v>0.94674556213017758</v>
      </c>
      <c r="G89" s="10">
        <v>3.75</v>
      </c>
      <c r="H89" s="10">
        <f t="shared" si="17"/>
        <v>42</v>
      </c>
      <c r="I89" s="10">
        <f t="shared" si="14"/>
        <v>0.95011876484560576</v>
      </c>
      <c r="J89" s="10">
        <f t="shared" si="15"/>
        <v>2.152891436752318E-3</v>
      </c>
      <c r="K89" s="10">
        <f t="shared" si="16"/>
        <v>2.0455025527337939E-3</v>
      </c>
      <c r="L89" s="12"/>
    </row>
    <row r="90" spans="5:12" x14ac:dyDescent="0.25">
      <c r="E90" s="29" t="s">
        <v>88</v>
      </c>
      <c r="F90" s="10">
        <f t="shared" si="18"/>
        <v>0.94339622641509424</v>
      </c>
      <c r="G90" s="10">
        <v>4</v>
      </c>
      <c r="H90" s="10">
        <f t="shared" si="17"/>
        <v>43</v>
      </c>
      <c r="I90" s="10">
        <f t="shared" si="14"/>
        <v>0.94899169632265723</v>
      </c>
      <c r="J90" s="10">
        <f t="shared" si="15"/>
        <v>2.1484964172095115E-3</v>
      </c>
      <c r="K90" s="10">
        <f t="shared" si="16"/>
        <v>2.0389052595108058E-3</v>
      </c>
      <c r="L90" s="12"/>
    </row>
    <row r="91" spans="5:12" x14ac:dyDescent="0.25">
      <c r="E91" s="13"/>
      <c r="F91" s="10"/>
      <c r="G91" s="10"/>
      <c r="H91" s="10">
        <f t="shared" si="17"/>
        <v>44</v>
      </c>
      <c r="I91" s="10">
        <f t="shared" si="14"/>
        <v>0.94786729857819907</v>
      </c>
      <c r="J91" s="10">
        <f t="shared" si="15"/>
        <v>2.1441103698781249E-3</v>
      </c>
      <c r="K91" s="10">
        <f t="shared" si="16"/>
        <v>2.0323321041498814E-3</v>
      </c>
      <c r="L91" s="12"/>
    </row>
    <row r="92" spans="5:12" x14ac:dyDescent="0.25">
      <c r="E92" s="13" t="s">
        <v>89</v>
      </c>
      <c r="F92" s="10">
        <f>EXP(-$F$61*$F$60 - $F$82*(G87 - $F$60))</f>
        <v>0.93286022814753267</v>
      </c>
      <c r="G92" s="10"/>
      <c r="H92" s="10">
        <f t="shared" si="17"/>
        <v>45</v>
      </c>
      <c r="I92" s="10">
        <f t="shared" si="14"/>
        <v>0.94674556213017758</v>
      </c>
      <c r="J92" s="10">
        <f t="shared" si="15"/>
        <v>2.1397332764414257E-3</v>
      </c>
      <c r="K92" s="10">
        <f t="shared" si="16"/>
        <v>2.0257829836131842E-3</v>
      </c>
      <c r="L92" s="12"/>
    </row>
    <row r="93" spans="5:12" x14ac:dyDescent="0.25">
      <c r="E93" s="13" t="s">
        <v>90</v>
      </c>
      <c r="F93" s="10">
        <f t="shared" ref="F93:F95" si="19">EXP(-$F$61*$F$60 - $F$82*(G88 - $F$60))</f>
        <v>0.92715872168974822</v>
      </c>
      <c r="G93" s="10"/>
      <c r="H93" s="10">
        <f t="shared" si="17"/>
        <v>46</v>
      </c>
      <c r="I93" s="10">
        <f t="shared" si="14"/>
        <v>0.94562647754137108</v>
      </c>
      <c r="J93" s="10">
        <f t="shared" si="15"/>
        <v>2.1353651186210077E-3</v>
      </c>
      <c r="K93" s="10">
        <f t="shared" si="16"/>
        <v>2.0192577953862955E-3</v>
      </c>
      <c r="L93" s="12"/>
    </row>
    <row r="94" spans="5:12" x14ac:dyDescent="0.25">
      <c r="E94" s="13" t="s">
        <v>91</v>
      </c>
      <c r="F94" s="10">
        <f t="shared" si="19"/>
        <v>0.92149206201276457</v>
      </c>
      <c r="G94" s="10"/>
      <c r="H94" s="10">
        <f t="shared" si="17"/>
        <v>47</v>
      </c>
      <c r="I94" s="10">
        <f t="shared" si="14"/>
        <v>0.94451003541912626</v>
      </c>
      <c r="J94" s="10">
        <f t="shared" si="15"/>
        <v>2.1310058781747764E-3</v>
      </c>
      <c r="K94" s="10">
        <f t="shared" si="16"/>
        <v>2.0127564374732244E-3</v>
      </c>
      <c r="L94" s="12"/>
    </row>
    <row r="95" spans="5:12" x14ac:dyDescent="0.25">
      <c r="E95" s="13" t="s">
        <v>92</v>
      </c>
      <c r="F95" s="10">
        <f t="shared" si="19"/>
        <v>0.91586003613811018</v>
      </c>
      <c r="G95" s="10"/>
      <c r="H95" s="10">
        <f t="shared" si="17"/>
        <v>48</v>
      </c>
      <c r="I95" s="10">
        <f t="shared" si="14"/>
        <v>0.94339622641509424</v>
      </c>
      <c r="J95" s="10">
        <f t="shared" si="15"/>
        <v>2.1266555368987272E-3</v>
      </c>
      <c r="K95" s="10">
        <f t="shared" si="16"/>
        <v>2.0062788083950256E-3</v>
      </c>
      <c r="L95" s="12"/>
    </row>
    <row r="96" spans="5:12" x14ac:dyDescent="0.25">
      <c r="E96" s="13"/>
      <c r="F96" s="10"/>
      <c r="G96" s="10"/>
      <c r="H96" s="10"/>
      <c r="I96" s="10"/>
      <c r="J96" s="9" t="s">
        <v>57</v>
      </c>
      <c r="K96" s="10">
        <f>SUM(K84:K95)</f>
        <v>2.4508140207572783E-2</v>
      </c>
      <c r="L96" s="12"/>
    </row>
    <row r="97" spans="5:12" x14ac:dyDescent="0.25">
      <c r="E97" s="16" t="s">
        <v>43</v>
      </c>
      <c r="F97" s="23">
        <f>F83*F87*F92+F83*F88*F93+F83*F89*F94+F83*F90*F95</f>
        <v>0.87671138988452779</v>
      </c>
      <c r="G97" s="10"/>
      <c r="H97" s="10"/>
      <c r="I97" s="10"/>
      <c r="J97" s="10"/>
      <c r="K97" s="10"/>
      <c r="L97" s="12"/>
    </row>
    <row r="98" spans="5:12" x14ac:dyDescent="0.25">
      <c r="E98" s="13" t="s">
        <v>18</v>
      </c>
      <c r="F98" s="10"/>
      <c r="G98" s="10"/>
      <c r="H98" s="10" t="s">
        <v>122</v>
      </c>
      <c r="I98" s="10"/>
      <c r="J98" s="10"/>
      <c r="K98" s="10"/>
      <c r="L98" s="12"/>
    </row>
    <row r="99" spans="5:12" x14ac:dyDescent="0.25">
      <c r="E99" s="13" t="s">
        <v>103</v>
      </c>
      <c r="F99" s="10"/>
      <c r="G99" s="10"/>
      <c r="H99" s="10" t="s">
        <v>106</v>
      </c>
      <c r="I99" s="10"/>
      <c r="J99" s="10"/>
      <c r="K99" s="10"/>
      <c r="L99" s="12"/>
    </row>
    <row r="100" spans="5:12" x14ac:dyDescent="0.25">
      <c r="E100" s="28">
        <f>F85*($F$97+$F$76+$F$55+$F$33+$F$15)</f>
        <v>4.6306897157559104E-2</v>
      </c>
      <c r="F100" s="18"/>
      <c r="G100" s="18"/>
      <c r="H100" s="18">
        <f>I82*($K$12+$K$30+$K$54+$K$75+$K$96)</f>
        <v>4.6306897613944992E-2</v>
      </c>
      <c r="I100" s="18"/>
      <c r="J100" s="18" t="s">
        <v>124</v>
      </c>
      <c r="K100" s="18">
        <f>E100-H100</f>
        <v>-4.5638588741514496E-10</v>
      </c>
      <c r="L100" s="19"/>
    </row>
    <row r="102" spans="5:12" x14ac:dyDescent="0.25">
      <c r="E102" s="5" t="s">
        <v>94</v>
      </c>
      <c r="F102" s="26">
        <v>5</v>
      </c>
      <c r="G102" s="6"/>
      <c r="H102" s="6"/>
      <c r="I102" s="26" t="s">
        <v>122</v>
      </c>
      <c r="J102" s="6"/>
      <c r="K102" s="6"/>
      <c r="L102" s="7"/>
    </row>
    <row r="103" spans="5:12" x14ac:dyDescent="0.25">
      <c r="E103" s="16" t="s">
        <v>26</v>
      </c>
      <c r="F103" s="10">
        <v>2.9253644104186762E-2</v>
      </c>
      <c r="G103" s="10"/>
      <c r="H103" s="10" t="s">
        <v>34</v>
      </c>
      <c r="I103" s="14">
        <f>I82</f>
        <v>0.6</v>
      </c>
      <c r="J103" s="10" t="s">
        <v>107</v>
      </c>
      <c r="K103" s="10"/>
      <c r="L103" s="12"/>
    </row>
    <row r="104" spans="5:12" x14ac:dyDescent="0.25">
      <c r="E104" s="13" t="s">
        <v>5</v>
      </c>
      <c r="F104" s="10">
        <f>F83</f>
        <v>0.25</v>
      </c>
      <c r="G104" s="10"/>
      <c r="H104" s="10"/>
      <c r="I104" s="10" t="s">
        <v>69</v>
      </c>
      <c r="J104" s="10"/>
      <c r="K104" s="11" t="s">
        <v>55</v>
      </c>
      <c r="L104" s="12"/>
    </row>
    <row r="105" spans="5:12" x14ac:dyDescent="0.25">
      <c r="E105" s="16" t="s">
        <v>18</v>
      </c>
      <c r="F105" s="10"/>
      <c r="G105" s="10"/>
      <c r="H105" s="10">
        <v>49</v>
      </c>
      <c r="I105" s="10">
        <f>1/(1+$B$3*H105/12)</f>
        <v>0.94228504122497048</v>
      </c>
      <c r="J105" s="10">
        <f>EXP($F$82*$F$81)*(EXP(-$F$103*((H105-1)/12-$F$81))-EXP(-$F$103*((H105/12-$F$81))))</f>
        <v>2.6857730160741748E-3</v>
      </c>
      <c r="K105" s="10">
        <f>I105*J105</f>
        <v>2.5307637371723671E-3</v>
      </c>
      <c r="L105" s="12"/>
    </row>
    <row r="106" spans="5:12" x14ac:dyDescent="0.25">
      <c r="E106" s="16" t="s">
        <v>27</v>
      </c>
      <c r="F106" s="27">
        <f>B15/10000</f>
        <v>1.55E-2</v>
      </c>
      <c r="G106" s="10"/>
      <c r="H106" s="10">
        <f>H105+1</f>
        <v>50</v>
      </c>
      <c r="I106" s="10">
        <f t="shared" ref="I106:I116" si="20">1/(1+$B$3*H106/12)</f>
        <v>0.94117647058823528</v>
      </c>
      <c r="J106" s="10">
        <f t="shared" ref="J106:J116" si="21">EXP($F$82*$F$81)*(EXP(-$F$103*((H106-1)/12-$F$81))-EXP(-$F$103*((H106/12-$F$81))))</f>
        <v>2.679233602885852E-3</v>
      </c>
      <c r="K106" s="10">
        <f t="shared" ref="K106:K116" si="22">I106*J106</f>
        <v>2.5216316262455076E-3</v>
      </c>
      <c r="L106" s="12"/>
    </row>
    <row r="107" spans="5:12" x14ac:dyDescent="0.25">
      <c r="E107" s="13"/>
      <c r="F107" s="10"/>
      <c r="G107" s="10"/>
      <c r="H107" s="10">
        <f t="shared" ref="H107:H116" si="23">H106+1</f>
        <v>51</v>
      </c>
      <c r="I107" s="10">
        <f t="shared" si="20"/>
        <v>0.9400705052878966</v>
      </c>
      <c r="J107" s="10">
        <f t="shared" si="21"/>
        <v>2.6727101120872696E-3</v>
      </c>
      <c r="K107" s="10">
        <f t="shared" si="22"/>
        <v>2.5125359455579503E-3</v>
      </c>
      <c r="L107" s="12"/>
    </row>
    <row r="108" spans="5:12" x14ac:dyDescent="0.25">
      <c r="E108" s="29" t="s">
        <v>95</v>
      </c>
      <c r="F108" s="10">
        <f>1/(1+$B$3*G108)</f>
        <v>0.9400705052878966</v>
      </c>
      <c r="G108" s="10">
        <v>4.25</v>
      </c>
      <c r="H108" s="10">
        <f t="shared" si="23"/>
        <v>52</v>
      </c>
      <c r="I108" s="10">
        <f t="shared" si="20"/>
        <v>0.93896713615023475</v>
      </c>
      <c r="J108" s="10">
        <f t="shared" si="21"/>
        <v>2.6662025049099774E-3</v>
      </c>
      <c r="K108" s="10">
        <f t="shared" si="22"/>
        <v>2.5034765304319038E-3</v>
      </c>
      <c r="L108" s="12"/>
    </row>
    <row r="109" spans="5:12" x14ac:dyDescent="0.25">
      <c r="E109" s="29" t="s">
        <v>96</v>
      </c>
      <c r="F109" s="10">
        <f t="shared" ref="F109:F111" si="24">1/(1+$B$3*G109)</f>
        <v>0.93676814988290402</v>
      </c>
      <c r="G109" s="10">
        <v>4.5</v>
      </c>
      <c r="H109" s="10">
        <f t="shared" si="23"/>
        <v>53</v>
      </c>
      <c r="I109" s="10">
        <f t="shared" si="20"/>
        <v>0.93786635404454877</v>
      </c>
      <c r="J109" s="10">
        <f t="shared" si="21"/>
        <v>2.6597107426801895E-3</v>
      </c>
      <c r="K109" s="10">
        <f t="shared" si="22"/>
        <v>2.4944532170505882E-3</v>
      </c>
      <c r="L109" s="12"/>
    </row>
    <row r="110" spans="5:12" x14ac:dyDescent="0.25">
      <c r="E110" s="29" t="s">
        <v>97</v>
      </c>
      <c r="F110" s="10">
        <f t="shared" si="24"/>
        <v>0.93348891481913654</v>
      </c>
      <c r="G110" s="10">
        <v>4.75</v>
      </c>
      <c r="H110" s="10">
        <f t="shared" si="23"/>
        <v>54</v>
      </c>
      <c r="I110" s="10">
        <f t="shared" si="20"/>
        <v>0.93676814988290402</v>
      </c>
      <c r="J110" s="10">
        <f t="shared" si="21"/>
        <v>2.6532347868179276E-3</v>
      </c>
      <c r="K110" s="10">
        <f t="shared" si="22"/>
        <v>2.4854658424523913E-3</v>
      </c>
      <c r="L110" s="12"/>
    </row>
    <row r="111" spans="5:12" x14ac:dyDescent="0.25">
      <c r="E111" s="29" t="s">
        <v>98</v>
      </c>
      <c r="F111" s="10">
        <f t="shared" si="24"/>
        <v>0.93023255813953487</v>
      </c>
      <c r="G111" s="10">
        <v>5</v>
      </c>
      <c r="H111" s="10">
        <f t="shared" si="23"/>
        <v>55</v>
      </c>
      <c r="I111" s="10">
        <f t="shared" si="20"/>
        <v>0.93567251461988299</v>
      </c>
      <c r="J111" s="10">
        <f t="shared" si="21"/>
        <v>2.6467745988375114E-3</v>
      </c>
      <c r="K111" s="10">
        <f t="shared" si="22"/>
        <v>2.4765142445263262E-3</v>
      </c>
      <c r="L111" s="12"/>
    </row>
    <row r="112" spans="5:12" x14ac:dyDescent="0.25">
      <c r="E112" s="13"/>
      <c r="F112" s="10"/>
      <c r="G112" s="10"/>
      <c r="H112" s="10">
        <f t="shared" si="23"/>
        <v>56</v>
      </c>
      <c r="I112" s="10">
        <f t="shared" si="20"/>
        <v>0.93457943925233644</v>
      </c>
      <c r="J112" s="10">
        <f t="shared" si="21"/>
        <v>2.640330140346456E-3</v>
      </c>
      <c r="K112" s="10">
        <f t="shared" si="22"/>
        <v>2.4675982620060337E-3</v>
      </c>
      <c r="L112" s="12"/>
    </row>
    <row r="113" spans="4:13" x14ac:dyDescent="0.25">
      <c r="E113" s="13" t="s">
        <v>99</v>
      </c>
      <c r="F113" s="10">
        <f>EXP(-$F$82*$F$81 - $F$103*(G108 - $F$81))</f>
        <v>0.89996162758466369</v>
      </c>
      <c r="G113" s="10"/>
      <c r="H113" s="10">
        <f t="shared" si="23"/>
        <v>57</v>
      </c>
      <c r="I113" s="10">
        <f t="shared" si="20"/>
        <v>0.93348891481913654</v>
      </c>
      <c r="J113" s="10">
        <f t="shared" si="21"/>
        <v>2.6339013730462065E-3</v>
      </c>
      <c r="K113" s="10">
        <f t="shared" si="22"/>
        <v>2.458717734465537E-3</v>
      </c>
      <c r="L113" s="12"/>
    </row>
    <row r="114" spans="4:13" x14ac:dyDescent="0.25">
      <c r="E114" s="13" t="s">
        <v>100</v>
      </c>
      <c r="F114" s="10">
        <f t="shared" ref="F114:F116" si="25">EXP(-$F$82*$F$81 - $F$103*(G109 - $F$81))</f>
        <v>0.89340384739452428</v>
      </c>
      <c r="G114" s="10"/>
      <c r="H114" s="10">
        <f t="shared" si="23"/>
        <v>58</v>
      </c>
      <c r="I114" s="10">
        <f t="shared" si="20"/>
        <v>0.93240093240093236</v>
      </c>
      <c r="J114" s="10">
        <f t="shared" si="21"/>
        <v>2.6274882587314038E-3</v>
      </c>
      <c r="K114" s="10">
        <f t="shared" si="22"/>
        <v>2.449872502313663E-3</v>
      </c>
      <c r="L114" s="12"/>
    </row>
    <row r="115" spans="4:13" x14ac:dyDescent="0.25">
      <c r="E115" s="13" t="s">
        <v>101</v>
      </c>
      <c r="F115" s="10">
        <f t="shared" si="25"/>
        <v>0.88689385199842952</v>
      </c>
      <c r="G115" s="10"/>
      <c r="H115" s="10">
        <f t="shared" si="23"/>
        <v>59</v>
      </c>
      <c r="I115" s="10">
        <f t="shared" si="20"/>
        <v>0.93131548311990686</v>
      </c>
      <c r="J115" s="10">
        <f t="shared" si="21"/>
        <v>2.6210907592893939E-3</v>
      </c>
      <c r="K115" s="10">
        <f t="shared" si="22"/>
        <v>2.4410624067887255E-3</v>
      </c>
      <c r="L115" s="12"/>
    </row>
    <row r="116" spans="4:13" x14ac:dyDescent="0.25">
      <c r="E116" s="13" t="s">
        <v>102</v>
      </c>
      <c r="F116" s="10">
        <f t="shared" si="25"/>
        <v>0.88043129320133839</v>
      </c>
      <c r="G116" s="10"/>
      <c r="H116" s="10">
        <f t="shared" si="23"/>
        <v>60</v>
      </c>
      <c r="I116" s="10">
        <f t="shared" si="20"/>
        <v>0.93023255813953487</v>
      </c>
      <c r="J116" s="10">
        <f t="shared" si="21"/>
        <v>2.6147088367008413E-3</v>
      </c>
      <c r="K116" s="10">
        <f t="shared" si="22"/>
        <v>2.4322872899542711E-3</v>
      </c>
      <c r="L116" s="12"/>
    </row>
    <row r="117" spans="4:13" x14ac:dyDescent="0.25">
      <c r="E117" s="13"/>
      <c r="F117" s="10"/>
      <c r="G117" s="10"/>
      <c r="H117" s="10"/>
      <c r="I117" s="10"/>
      <c r="J117" s="9" t="s">
        <v>57</v>
      </c>
      <c r="K117" s="10">
        <f>SUM(K105:K116)</f>
        <v>2.9774379338965262E-2</v>
      </c>
      <c r="L117" s="12"/>
    </row>
    <row r="118" spans="4:13" x14ac:dyDescent="0.25">
      <c r="E118" s="16" t="s">
        <v>43</v>
      </c>
      <c r="F118" s="23">
        <f>F104*F108*F113+F104*F109*F114+F104*F110*F115+F104*F111*F116</f>
        <v>0.83246277120195677</v>
      </c>
      <c r="G118" s="10"/>
      <c r="H118" s="10"/>
      <c r="I118" s="10"/>
      <c r="J118" s="10"/>
      <c r="K118" s="10"/>
      <c r="L118" s="12"/>
    </row>
    <row r="119" spans="4:13" x14ac:dyDescent="0.25">
      <c r="E119" s="13" t="s">
        <v>18</v>
      </c>
      <c r="F119" s="10"/>
      <c r="G119" s="10"/>
      <c r="H119" s="10" t="s">
        <v>122</v>
      </c>
      <c r="I119" s="10"/>
      <c r="J119" s="10"/>
      <c r="K119" s="10"/>
      <c r="L119" s="12"/>
    </row>
    <row r="120" spans="4:13" x14ac:dyDescent="0.25">
      <c r="E120" s="13" t="s">
        <v>104</v>
      </c>
      <c r="F120" s="10"/>
      <c r="G120" s="10"/>
      <c r="H120" s="10" t="s">
        <v>105</v>
      </c>
      <c r="I120" s="10"/>
      <c r="J120" s="10"/>
      <c r="K120" s="10"/>
      <c r="L120" s="12"/>
    </row>
    <row r="121" spans="4:13" x14ac:dyDescent="0.25">
      <c r="E121" s="28">
        <f>F106*($F$118+$F$97+$F$76+$F$55+$F$33+$F$15)</f>
        <v>6.4171523378070763E-2</v>
      </c>
      <c r="F121" s="18"/>
      <c r="G121" s="18"/>
      <c r="H121" s="18">
        <f>I103*($K$12+$K$30+$K$54+$K$75+$K$96+$K$117)</f>
        <v>6.4171525217324152E-2</v>
      </c>
      <c r="I121" s="18"/>
      <c r="J121" s="18" t="s">
        <v>124</v>
      </c>
      <c r="K121" s="18">
        <f>E121-H121</f>
        <v>-1.8392533884803441E-9</v>
      </c>
      <c r="L121" s="19"/>
    </row>
    <row r="123" spans="4:13" x14ac:dyDescent="0.25">
      <c r="D123" s="25"/>
      <c r="E123" s="26" t="s">
        <v>108</v>
      </c>
      <c r="F123" s="26">
        <v>7</v>
      </c>
      <c r="G123" s="6"/>
      <c r="H123" s="26" t="s">
        <v>122</v>
      </c>
      <c r="I123" s="6" t="s">
        <v>69</v>
      </c>
      <c r="J123" s="30" t="s">
        <v>113</v>
      </c>
      <c r="K123" s="6"/>
      <c r="L123" s="6"/>
      <c r="M123" s="7"/>
    </row>
    <row r="124" spans="4:13" x14ac:dyDescent="0.25">
      <c r="D124" s="13"/>
      <c r="E124" s="11" t="s">
        <v>26</v>
      </c>
      <c r="F124" s="10">
        <v>3.185387451476878E-2</v>
      </c>
      <c r="G124" s="10"/>
      <c r="H124" s="10">
        <v>61</v>
      </c>
      <c r="I124" s="10">
        <f>1/(1+$B$3*H124/12)</f>
        <v>0.92915214866434381</v>
      </c>
      <c r="J124" s="10">
        <f>EXP(-$F$103*$F$102)*(EXP(-$F$124*((H124-1)/12-$F$102))-EXP(-$F$124*((H124/12-$F$102))))</f>
        <v>2.2902413429578719E-3</v>
      </c>
      <c r="K124" s="10">
        <f>I124*J124</f>
        <v>2.1279826647692189E-3</v>
      </c>
      <c r="L124" s="11" t="s">
        <v>114</v>
      </c>
      <c r="M124" s="12"/>
    </row>
    <row r="125" spans="4:13" x14ac:dyDescent="0.25">
      <c r="D125" s="13"/>
      <c r="E125" s="10" t="s">
        <v>5</v>
      </c>
      <c r="F125" s="10">
        <f>B7</f>
        <v>0.25</v>
      </c>
      <c r="G125" s="10"/>
      <c r="H125" s="10">
        <f>H124+1</f>
        <v>62</v>
      </c>
      <c r="I125" s="10">
        <f t="shared" ref="I125:I147" si="26">1/(1+$B$3*H125/12)</f>
        <v>0.92807424593967525</v>
      </c>
      <c r="J125" s="10">
        <f t="shared" ref="J125:J147" si="27">EXP(-$F$103*$F$102)*(EXP(-$F$124*((H125-1)/12-$F$102))-EXP(-$F$124*((H125/12-$F$102))))</f>
        <v>2.2841699830080694E-3</v>
      </c>
      <c r="K125" s="10">
        <f t="shared" ref="K125:K147" si="28">I125*J125</f>
        <v>2.1198793345782547E-3</v>
      </c>
      <c r="L125" s="10"/>
      <c r="M125" s="12"/>
    </row>
    <row r="126" spans="4:13" x14ac:dyDescent="0.25">
      <c r="D126" s="13"/>
      <c r="E126" s="10" t="s">
        <v>34</v>
      </c>
      <c r="F126" s="14">
        <f>I103</f>
        <v>0.6</v>
      </c>
      <c r="G126" s="10"/>
      <c r="H126" s="10">
        <f t="shared" ref="H126:H146" si="29">H125+1</f>
        <v>63</v>
      </c>
      <c r="I126" s="10">
        <f t="shared" si="26"/>
        <v>0.92699884125144838</v>
      </c>
      <c r="J126" s="10">
        <f t="shared" si="27"/>
        <v>2.2781147180483776E-3</v>
      </c>
      <c r="K126" s="10">
        <f t="shared" si="28"/>
        <v>2.111809703868716E-3</v>
      </c>
      <c r="L126" s="10"/>
      <c r="M126" s="12"/>
    </row>
    <row r="127" spans="4:13" x14ac:dyDescent="0.25">
      <c r="D127" s="13"/>
      <c r="E127" s="11" t="s">
        <v>18</v>
      </c>
      <c r="F127" s="10"/>
      <c r="G127" s="10"/>
      <c r="H127" s="10">
        <f t="shared" si="29"/>
        <v>64</v>
      </c>
      <c r="I127" s="10">
        <f t="shared" si="26"/>
        <v>0.92592592592592582</v>
      </c>
      <c r="J127" s="10">
        <f t="shared" si="27"/>
        <v>2.272075505411275E-3</v>
      </c>
      <c r="K127" s="10">
        <f t="shared" si="28"/>
        <v>2.1037736161215507E-3</v>
      </c>
      <c r="L127" s="10"/>
      <c r="M127" s="12"/>
    </row>
    <row r="128" spans="4:13" x14ac:dyDescent="0.25">
      <c r="D128" s="13"/>
      <c r="E128" s="11" t="s">
        <v>27</v>
      </c>
      <c r="F128" s="27">
        <f>B16/10000</f>
        <v>1.6500000000000001E-2</v>
      </c>
      <c r="G128" s="10"/>
      <c r="H128" s="10">
        <f t="shared" si="29"/>
        <v>65</v>
      </c>
      <c r="I128" s="10">
        <f t="shared" si="26"/>
        <v>0.92485549132947975</v>
      </c>
      <c r="J128" s="10">
        <f t="shared" si="27"/>
        <v>2.2660523025429002E-3</v>
      </c>
      <c r="K128" s="10">
        <f t="shared" si="28"/>
        <v>2.0957709156466131E-3</v>
      </c>
      <c r="L128" s="10"/>
      <c r="M128" s="12"/>
    </row>
    <row r="129" spans="4:13" x14ac:dyDescent="0.25">
      <c r="D129" s="13"/>
      <c r="E129" s="10"/>
      <c r="F129" s="10"/>
      <c r="G129" s="10"/>
      <c r="H129" s="10">
        <f t="shared" si="29"/>
        <v>66</v>
      </c>
      <c r="I129" s="10">
        <f t="shared" si="26"/>
        <v>0.92378752886836024</v>
      </c>
      <c r="J129" s="10">
        <f t="shared" si="27"/>
        <v>2.2600450670014196E-3</v>
      </c>
      <c r="K129" s="10">
        <f t="shared" si="28"/>
        <v>2.087801447576369E-3</v>
      </c>
      <c r="L129" s="10"/>
      <c r="M129" s="12"/>
    </row>
    <row r="130" spans="4:13" x14ac:dyDescent="0.25">
      <c r="D130" s="13" t="s">
        <v>109</v>
      </c>
      <c r="E130" s="10" t="s">
        <v>69</v>
      </c>
      <c r="F130" s="10" t="s">
        <v>110</v>
      </c>
      <c r="G130" s="11" t="s">
        <v>111</v>
      </c>
      <c r="H130" s="10">
        <f t="shared" si="29"/>
        <v>67</v>
      </c>
      <c r="I130" s="10">
        <f t="shared" si="26"/>
        <v>0.92272202998846597</v>
      </c>
      <c r="J130" s="10">
        <f t="shared" si="27"/>
        <v>2.2540537564582756E-3</v>
      </c>
      <c r="K130" s="10">
        <f t="shared" si="28"/>
        <v>2.0798650578623071E-3</v>
      </c>
      <c r="L130" s="10"/>
      <c r="M130" s="12"/>
    </row>
    <row r="131" spans="4:13" x14ac:dyDescent="0.25">
      <c r="D131" s="13">
        <v>5.25</v>
      </c>
      <c r="E131" s="10">
        <f>1/(1+$B$3*D131)</f>
        <v>0.92699884125144838</v>
      </c>
      <c r="F131" s="10">
        <f>EXP(-$F$103*$F$102 - $F$124*(D131-$F$102))</f>
        <v>0.85707342339325621</v>
      </c>
      <c r="G131" s="10">
        <f>$F$125*E131*F131</f>
        <v>0.19862651758824013</v>
      </c>
      <c r="H131" s="10">
        <f t="shared" si="29"/>
        <v>68</v>
      </c>
      <c r="I131" s="10">
        <f t="shared" si="26"/>
        <v>0.92165898617511521</v>
      </c>
      <c r="J131" s="10">
        <f t="shared" si="27"/>
        <v>2.2480783286966516E-3</v>
      </c>
      <c r="K131" s="10">
        <f t="shared" si="28"/>
        <v>2.0719615932688032E-3</v>
      </c>
      <c r="L131" s="10"/>
      <c r="M131" s="12"/>
    </row>
    <row r="132" spans="4:13" x14ac:dyDescent="0.25">
      <c r="D132" s="13">
        <v>5.5</v>
      </c>
      <c r="E132" s="10">
        <f t="shared" ref="E132:E138" si="30">1/(1+$B$3*D132)</f>
        <v>0.92378752886836024</v>
      </c>
      <c r="F132" s="10">
        <f t="shared" ref="F132:F138" si="31">EXP(-$F$103*$F$102 - $F$124*(D132-$F$102))</f>
        <v>0.85027525051830055</v>
      </c>
      <c r="G132" s="10">
        <f t="shared" ref="G132:G138" si="32">$F$125*E132*F132</f>
        <v>0.19636841813355671</v>
      </c>
      <c r="H132" s="10">
        <f t="shared" si="29"/>
        <v>69</v>
      </c>
      <c r="I132" s="10">
        <f t="shared" si="26"/>
        <v>0.92059838895281942</v>
      </c>
      <c r="J132" s="10">
        <f t="shared" si="27"/>
        <v>2.2421187416116635E-3</v>
      </c>
      <c r="K132" s="10">
        <f t="shared" si="28"/>
        <v>2.0640909013686201E-3</v>
      </c>
      <c r="L132" s="10"/>
      <c r="M132" s="12"/>
    </row>
    <row r="133" spans="4:13" x14ac:dyDescent="0.25">
      <c r="D133" s="13">
        <v>5.75</v>
      </c>
      <c r="E133" s="10">
        <f t="shared" si="30"/>
        <v>0.92059838895281942</v>
      </c>
      <c r="F133" s="10">
        <f t="shared" si="31"/>
        <v>0.84353099969153389</v>
      </c>
      <c r="G133" s="10">
        <f t="shared" si="32"/>
        <v>0.19413831983694682</v>
      </c>
      <c r="H133" s="10">
        <f t="shared" si="29"/>
        <v>70</v>
      </c>
      <c r="I133" s="10">
        <f t="shared" si="26"/>
        <v>0.91954022988505757</v>
      </c>
      <c r="J133" s="10">
        <f t="shared" si="27"/>
        <v>2.2361749532103614E-3</v>
      </c>
      <c r="K133" s="10">
        <f t="shared" si="28"/>
        <v>2.0562528305382638E-3</v>
      </c>
      <c r="L133" s="10"/>
      <c r="M133" s="12"/>
    </row>
    <row r="134" spans="4:13" x14ac:dyDescent="0.25">
      <c r="D134" s="13">
        <v>6</v>
      </c>
      <c r="E134" s="10">
        <f t="shared" si="30"/>
        <v>0.9174311926605504</v>
      </c>
      <c r="F134" s="10">
        <f t="shared" si="31"/>
        <v>0.83684024321167039</v>
      </c>
      <c r="G134" s="10">
        <f t="shared" si="32"/>
        <v>0.19193583559900695</v>
      </c>
      <c r="H134" s="10">
        <f t="shared" si="29"/>
        <v>71</v>
      </c>
      <c r="I134" s="10">
        <f t="shared" si="26"/>
        <v>0.91848450057405273</v>
      </c>
      <c r="J134" s="10">
        <f t="shared" si="27"/>
        <v>2.2302469216108631E-3</v>
      </c>
      <c r="K134" s="10">
        <f t="shared" si="28"/>
        <v>2.0484472299525723E-3</v>
      </c>
      <c r="L134" s="10"/>
      <c r="M134" s="12"/>
    </row>
    <row r="135" spans="4:13" x14ac:dyDescent="0.25">
      <c r="D135" s="13">
        <v>6.25</v>
      </c>
      <c r="E135" s="10">
        <f t="shared" si="30"/>
        <v>0.91428571428571426</v>
      </c>
      <c r="F135" s="10">
        <f t="shared" si="31"/>
        <v>0.83020255676988408</v>
      </c>
      <c r="G135" s="10">
        <f t="shared" si="32"/>
        <v>0.18976058440454494</v>
      </c>
      <c r="H135" s="10">
        <f t="shared" si="29"/>
        <v>72</v>
      </c>
      <c r="I135" s="10">
        <f t="shared" si="26"/>
        <v>0.9174311926605504</v>
      </c>
      <c r="J135" s="10">
        <f t="shared" si="27"/>
        <v>2.2243346050422616E-3</v>
      </c>
      <c r="K135" s="10">
        <f t="shared" si="28"/>
        <v>2.0406739495800563E-3</v>
      </c>
      <c r="L135" s="10"/>
      <c r="M135" s="12"/>
    </row>
    <row r="136" spans="4:13" x14ac:dyDescent="0.25">
      <c r="D136" s="13">
        <v>6.5</v>
      </c>
      <c r="E136" s="10">
        <f t="shared" si="30"/>
        <v>0.91116173120728938</v>
      </c>
      <c r="F136" s="10">
        <f t="shared" si="31"/>
        <v>0.82361751942290018</v>
      </c>
      <c r="G136" s="10">
        <f t="shared" si="32"/>
        <v>0.18761219121250575</v>
      </c>
      <c r="H136" s="10">
        <f t="shared" si="29"/>
        <v>73</v>
      </c>
      <c r="I136" s="10">
        <f t="shared" si="26"/>
        <v>0.91638029782359676</v>
      </c>
      <c r="J136" s="10">
        <f t="shared" si="27"/>
        <v>2.2184379618446232E-3</v>
      </c>
      <c r="K136" s="10">
        <f t="shared" si="28"/>
        <v>2.0329328401783486E-3</v>
      </c>
      <c r="L136" s="10"/>
      <c r="M136" s="12"/>
    </row>
    <row r="137" spans="4:13" x14ac:dyDescent="0.25">
      <c r="D137" s="13">
        <v>6.75</v>
      </c>
      <c r="E137" s="10">
        <f t="shared" si="30"/>
        <v>0.90805902383654935</v>
      </c>
      <c r="F137" s="10">
        <f t="shared" si="31"/>
        <v>0.81708471356630097</v>
      </c>
      <c r="G137" s="10">
        <f t="shared" si="32"/>
        <v>0.18549028684819543</v>
      </c>
      <c r="H137" s="10">
        <f t="shared" si="29"/>
        <v>74</v>
      </c>
      <c r="I137" s="10">
        <f t="shared" si="26"/>
        <v>0.91533180778032031</v>
      </c>
      <c r="J137" s="10">
        <f t="shared" si="27"/>
        <v>2.2125569504682198E-3</v>
      </c>
      <c r="K137" s="10">
        <f t="shared" si="28"/>
        <v>2.0252237532889881E-3</v>
      </c>
      <c r="L137" s="10"/>
      <c r="M137" s="12"/>
    </row>
    <row r="138" spans="4:13" x14ac:dyDescent="0.25">
      <c r="D138" s="13">
        <v>7</v>
      </c>
      <c r="E138" s="10">
        <f t="shared" si="30"/>
        <v>0.90497737556561086</v>
      </c>
      <c r="F138" s="10">
        <f t="shared" si="31"/>
        <v>0.81060372490804145</v>
      </c>
      <c r="G138" s="10">
        <f t="shared" si="32"/>
        <v>0.18339450789774694</v>
      </c>
      <c r="H138" s="10">
        <f t="shared" si="29"/>
        <v>75</v>
      </c>
      <c r="I138" s="10">
        <f t="shared" si="26"/>
        <v>0.91428571428571426</v>
      </c>
      <c r="J138" s="10">
        <f t="shared" si="27"/>
        <v>2.2066915294736275E-3</v>
      </c>
      <c r="K138" s="10">
        <f t="shared" si="28"/>
        <v>2.0175465412330309E-3</v>
      </c>
      <c r="L138" s="10"/>
      <c r="M138" s="12"/>
    </row>
    <row r="139" spans="4:13" x14ac:dyDescent="0.25">
      <c r="D139" s="13"/>
      <c r="E139" s="10"/>
      <c r="F139" s="10"/>
      <c r="G139" s="10"/>
      <c r="H139" s="10">
        <f t="shared" si="29"/>
        <v>76</v>
      </c>
      <c r="I139" s="10">
        <f t="shared" si="26"/>
        <v>0.91324200913242015</v>
      </c>
      <c r="J139" s="10">
        <f t="shared" si="27"/>
        <v>2.2008416575311465E-3</v>
      </c>
      <c r="K139" s="10">
        <f t="shared" si="28"/>
        <v>2.00990105710607E-3</v>
      </c>
      <c r="L139" s="10"/>
      <c r="M139" s="12"/>
    </row>
    <row r="140" spans="4:13" x14ac:dyDescent="0.25">
      <c r="D140" s="13"/>
      <c r="E140" s="11" t="s">
        <v>43</v>
      </c>
      <c r="F140" s="23">
        <f>SUM(G131:G138)</f>
        <v>1.5273266615207437</v>
      </c>
      <c r="G140" s="10"/>
      <c r="H140" s="10">
        <f t="shared" si="29"/>
        <v>77</v>
      </c>
      <c r="I140" s="10">
        <f t="shared" si="26"/>
        <v>0.91220068415051314</v>
      </c>
      <c r="J140" s="10">
        <f t="shared" si="27"/>
        <v>2.1950072934208064E-3</v>
      </c>
      <c r="K140" s="10">
        <f t="shared" si="28"/>
        <v>2.0022871547738259E-3</v>
      </c>
      <c r="L140" s="10"/>
      <c r="M140" s="12"/>
    </row>
    <row r="141" spans="4:13" x14ac:dyDescent="0.25">
      <c r="D141" s="13"/>
      <c r="E141" s="10"/>
      <c r="F141" s="10"/>
      <c r="G141" s="10"/>
      <c r="H141" s="10">
        <f t="shared" si="29"/>
        <v>78</v>
      </c>
      <c r="I141" s="10">
        <f t="shared" si="26"/>
        <v>0.91116173120728938</v>
      </c>
      <c r="J141" s="10">
        <f t="shared" si="27"/>
        <v>2.1891883960317867E-3</v>
      </c>
      <c r="K141" s="10">
        <f t="shared" si="28"/>
        <v>1.9947046888672318E-3</v>
      </c>
      <c r="L141" s="10"/>
      <c r="M141" s="12"/>
    </row>
    <row r="142" spans="4:13" x14ac:dyDescent="0.25">
      <c r="D142" s="13"/>
      <c r="E142" s="10"/>
      <c r="F142" s="10"/>
      <c r="G142" s="10"/>
      <c r="H142" s="10">
        <f t="shared" si="29"/>
        <v>79</v>
      </c>
      <c r="I142" s="10">
        <f t="shared" si="26"/>
        <v>0.91012514220705354</v>
      </c>
      <c r="J142" s="10">
        <f t="shared" si="27"/>
        <v>2.1833849243623228E-3</v>
      </c>
      <c r="K142" s="10">
        <f t="shared" si="28"/>
        <v>1.987153514777996E-3</v>
      </c>
      <c r="L142" s="10"/>
      <c r="M142" s="12"/>
    </row>
    <row r="143" spans="4:13" x14ac:dyDescent="0.25">
      <c r="D143" s="13"/>
      <c r="E143" s="10"/>
      <c r="F143" s="10"/>
      <c r="G143" s="10"/>
      <c r="H143" s="10">
        <f t="shared" si="29"/>
        <v>80</v>
      </c>
      <c r="I143" s="10">
        <f t="shared" si="26"/>
        <v>0.90909090909090906</v>
      </c>
      <c r="J143" s="10">
        <f t="shared" si="27"/>
        <v>2.1775968375192258E-3</v>
      </c>
      <c r="K143" s="10">
        <f t="shared" si="28"/>
        <v>1.9796334886538415E-3</v>
      </c>
      <c r="L143" s="10"/>
      <c r="M143" s="12"/>
    </row>
    <row r="144" spans="4:13" x14ac:dyDescent="0.25">
      <c r="D144" s="13"/>
      <c r="E144" s="10"/>
      <c r="F144" s="10"/>
      <c r="G144" s="10"/>
      <c r="H144" s="10">
        <f>H143+1</f>
        <v>81</v>
      </c>
      <c r="I144" s="10">
        <f t="shared" si="26"/>
        <v>0.90805902383654935</v>
      </c>
      <c r="J144" s="10">
        <f t="shared" si="27"/>
        <v>2.1718240947176904E-3</v>
      </c>
      <c r="K144" s="10">
        <f t="shared" si="28"/>
        <v>1.9721444673940435E-3</v>
      </c>
      <c r="L144" s="10"/>
      <c r="M144" s="12"/>
    </row>
    <row r="145" spans="4:13" x14ac:dyDescent="0.25">
      <c r="D145" s="13"/>
      <c r="E145" s="10"/>
      <c r="F145" s="10"/>
      <c r="G145" s="10"/>
      <c r="H145" s="10">
        <f t="shared" si="29"/>
        <v>82</v>
      </c>
      <c r="I145" s="10">
        <f t="shared" si="26"/>
        <v>0.90702947845804982</v>
      </c>
      <c r="J145" s="10">
        <f t="shared" si="27"/>
        <v>2.1660666552814878E-3</v>
      </c>
      <c r="K145" s="10">
        <f t="shared" si="28"/>
        <v>1.9646863086453404E-3</v>
      </c>
      <c r="L145" s="10"/>
      <c r="M145" s="12"/>
    </row>
    <row r="146" spans="4:13" x14ac:dyDescent="0.25">
      <c r="D146" s="13"/>
      <c r="E146" s="10"/>
      <c r="F146" s="10"/>
      <c r="G146" s="10"/>
      <c r="H146" s="10">
        <f t="shared" si="29"/>
        <v>83</v>
      </c>
      <c r="I146" s="10">
        <f t="shared" si="26"/>
        <v>0.9060022650056625</v>
      </c>
      <c r="J146" s="10">
        <f t="shared" si="27"/>
        <v>2.1603244786414302E-3</v>
      </c>
      <c r="K146" s="10">
        <f t="shared" si="28"/>
        <v>1.9572588707963126E-3</v>
      </c>
      <c r="L146" s="10"/>
      <c r="M146" s="12"/>
    </row>
    <row r="147" spans="4:13" x14ac:dyDescent="0.25">
      <c r="D147" s="13"/>
      <c r="E147" s="10"/>
      <c r="F147" s="10"/>
      <c r="G147" s="10"/>
      <c r="H147" s="10">
        <f>H146+1</f>
        <v>84</v>
      </c>
      <c r="I147" s="10">
        <f t="shared" si="26"/>
        <v>0.90497737556561086</v>
      </c>
      <c r="J147" s="10">
        <f t="shared" si="27"/>
        <v>2.1545975243366174E-3</v>
      </c>
      <c r="K147" s="10">
        <f t="shared" si="28"/>
        <v>1.9498620129743145E-3</v>
      </c>
      <c r="L147" s="10"/>
      <c r="M147" s="12"/>
    </row>
    <row r="148" spans="4:13" x14ac:dyDescent="0.25">
      <c r="D148" s="13"/>
      <c r="E148" s="10" t="s">
        <v>18</v>
      </c>
      <c r="F148" s="10"/>
      <c r="G148" s="10"/>
      <c r="H148" s="10" t="s">
        <v>122</v>
      </c>
      <c r="I148" s="10"/>
      <c r="J148" s="10"/>
      <c r="K148" s="10">
        <f>SUM(K124:K147)</f>
        <v>4.890164394382069E-2</v>
      </c>
      <c r="L148" s="10"/>
      <c r="M148" s="12"/>
    </row>
    <row r="149" spans="4:13" x14ac:dyDescent="0.25">
      <c r="D149" s="13"/>
      <c r="E149" s="10" t="s">
        <v>112</v>
      </c>
      <c r="F149" s="10"/>
      <c r="G149" s="10"/>
      <c r="H149" s="10" t="s">
        <v>115</v>
      </c>
      <c r="I149" s="10"/>
      <c r="J149" s="10"/>
      <c r="K149" s="10"/>
      <c r="L149" s="10"/>
      <c r="M149" s="12"/>
    </row>
    <row r="150" spans="4:13" x14ac:dyDescent="0.25">
      <c r="D150" s="28"/>
      <c r="E150" s="18">
        <f>F128*($F$140+$F$118+$F$97+$F$76+$F$55+$F$33+$F$15)</f>
        <v>9.3512511575619212E-2</v>
      </c>
      <c r="F150" s="18"/>
      <c r="G150" s="18"/>
      <c r="H150" s="18">
        <f>F126*($K$12+$K$30+$K$54+$K$75+$K$96+$K$117+$K$148)</f>
        <v>9.351251158361655E-2</v>
      </c>
      <c r="I150" s="18"/>
      <c r="J150" s="18" t="s">
        <v>124</v>
      </c>
      <c r="K150" s="18">
        <f>E150-H150</f>
        <v>-7.9973389022214292E-12</v>
      </c>
      <c r="L150" s="18"/>
      <c r="M150" s="19"/>
    </row>
    <row r="152" spans="4:13" x14ac:dyDescent="0.25">
      <c r="D152" s="25"/>
      <c r="E152" s="26" t="s">
        <v>116</v>
      </c>
      <c r="F152" s="6">
        <v>10</v>
      </c>
      <c r="G152" s="6"/>
      <c r="H152" s="26" t="s">
        <v>122</v>
      </c>
      <c r="I152" s="6" t="s">
        <v>69</v>
      </c>
      <c r="J152" s="30" t="s">
        <v>120</v>
      </c>
      <c r="K152" s="6"/>
      <c r="L152" s="6"/>
      <c r="M152" s="7"/>
    </row>
    <row r="153" spans="4:13" x14ac:dyDescent="0.25">
      <c r="D153" s="13"/>
      <c r="E153" s="11" t="s">
        <v>117</v>
      </c>
      <c r="F153" s="10">
        <v>2.7375588810550584E-2</v>
      </c>
      <c r="G153" s="10"/>
      <c r="H153" s="10">
        <v>85</v>
      </c>
      <c r="I153" s="10">
        <f>1/(1+$B$3*H153/12)</f>
        <v>0.903954802259887</v>
      </c>
      <c r="J153" s="10">
        <f>EXP(-$F$124*$F$123)*(EXP(-$F$153*((H153-1)/12-$F$123))-EXP(-$F$153*((H153/12-$F$123))))</f>
        <v>1.8232625257816458E-3</v>
      </c>
      <c r="K153" s="10">
        <f>I153*J153</f>
        <v>1.6481469159608099E-3</v>
      </c>
      <c r="L153" s="11" t="s">
        <v>114</v>
      </c>
      <c r="M153" s="12"/>
    </row>
    <row r="154" spans="4:13" x14ac:dyDescent="0.25">
      <c r="D154" s="13"/>
      <c r="E154" s="10" t="s">
        <v>5</v>
      </c>
      <c r="F154" s="10">
        <f>B7</f>
        <v>0.25</v>
      </c>
      <c r="G154" s="10"/>
      <c r="H154" s="10">
        <f>H153+1</f>
        <v>86</v>
      </c>
      <c r="I154" s="10">
        <f t="shared" ref="I154:I188" si="33">1/(1+$B$3*H154/12)</f>
        <v>0.90293453724604977</v>
      </c>
      <c r="J154" s="10">
        <f t="shared" ref="J154:J188" si="34">EXP(-$F$124*$F$123)*(EXP(-$F$153*((H154-1)/12-$F$123))-EXP(-$F$153*((H154/12-$F$123))))</f>
        <v>1.8191078595016007E-3</v>
      </c>
      <c r="K154" s="10">
        <f t="shared" ref="K154:K188" si="35">I154*J154</f>
        <v>1.6425353133197298E-3</v>
      </c>
      <c r="L154" s="10"/>
      <c r="M154" s="12"/>
    </row>
    <row r="155" spans="4:13" x14ac:dyDescent="0.25">
      <c r="D155" s="13"/>
      <c r="E155" s="10" t="s">
        <v>34</v>
      </c>
      <c r="F155" s="14">
        <f>F126</f>
        <v>0.6</v>
      </c>
      <c r="G155" s="10"/>
      <c r="H155" s="10">
        <f t="shared" ref="H155:H175" si="36">H154+1</f>
        <v>87</v>
      </c>
      <c r="I155" s="10">
        <f t="shared" si="33"/>
        <v>0.90191657271702375</v>
      </c>
      <c r="J155" s="10">
        <f t="shared" si="34"/>
        <v>1.8149626604551771E-3</v>
      </c>
      <c r="K155" s="10">
        <f t="shared" si="35"/>
        <v>1.6369449023271047E-3</v>
      </c>
      <c r="L155" s="10"/>
      <c r="M155" s="12"/>
    </row>
    <row r="156" spans="4:13" x14ac:dyDescent="0.25">
      <c r="D156" s="13"/>
      <c r="E156" s="11" t="s">
        <v>18</v>
      </c>
      <c r="F156" s="10"/>
      <c r="G156" s="10"/>
      <c r="H156" s="10">
        <f t="shared" si="36"/>
        <v>88</v>
      </c>
      <c r="I156" s="10">
        <f t="shared" si="33"/>
        <v>0.90090090090090102</v>
      </c>
      <c r="J156" s="10">
        <f t="shared" si="34"/>
        <v>1.8108269070690173E-3</v>
      </c>
      <c r="K156" s="10">
        <f t="shared" si="35"/>
        <v>1.63137559195407E-3</v>
      </c>
      <c r="L156" s="10"/>
      <c r="M156" s="12"/>
    </row>
    <row r="157" spans="4:13" x14ac:dyDescent="0.25">
      <c r="D157" s="13"/>
      <c r="E157" s="32" t="s">
        <v>27</v>
      </c>
      <c r="F157" s="27">
        <f>B17/10000</f>
        <v>1.7999999999999999E-2</v>
      </c>
      <c r="G157" s="10"/>
      <c r="H157" s="10">
        <f t="shared" si="36"/>
        <v>89</v>
      </c>
      <c r="I157" s="10">
        <f t="shared" si="33"/>
        <v>0.8998875140607423</v>
      </c>
      <c r="J157" s="10">
        <f t="shared" si="34"/>
        <v>1.8067005778195089E-3</v>
      </c>
      <c r="K157" s="10">
        <f t="shared" si="35"/>
        <v>1.6258272916261046E-3</v>
      </c>
      <c r="L157" s="10"/>
      <c r="M157" s="12"/>
    </row>
    <row r="158" spans="4:13" x14ac:dyDescent="0.25">
      <c r="D158" s="13" t="s">
        <v>109</v>
      </c>
      <c r="E158" s="32" t="s">
        <v>69</v>
      </c>
      <c r="F158" s="10" t="s">
        <v>118</v>
      </c>
      <c r="G158" s="11" t="s">
        <v>55</v>
      </c>
      <c r="H158" s="10">
        <f t="shared" si="36"/>
        <v>90</v>
      </c>
      <c r="I158" s="10">
        <f t="shared" si="33"/>
        <v>0.898876404494382</v>
      </c>
      <c r="J158" s="10">
        <f t="shared" si="34"/>
        <v>1.8025836512318976E-3</v>
      </c>
      <c r="K158" s="10">
        <f t="shared" si="35"/>
        <v>1.6202999112196832E-3</v>
      </c>
      <c r="L158" s="10"/>
      <c r="M158" s="12"/>
    </row>
    <row r="159" spans="4:13" x14ac:dyDescent="0.25">
      <c r="D159" s="13">
        <v>7.25</v>
      </c>
      <c r="E159" s="10">
        <f>1/(1+$B$3*D159)</f>
        <v>0.90191657271702375</v>
      </c>
      <c r="F159" s="10">
        <f>EXP(-$F$124*$F$123 - $F$153*(D159-$F$123))</f>
        <v>0.79467582180307839</v>
      </c>
      <c r="G159" s="10">
        <f>$F$154*E159*F159</f>
        <v>0.17918282340542918</v>
      </c>
      <c r="H159" s="10">
        <f t="shared" si="36"/>
        <v>91</v>
      </c>
      <c r="I159" s="10">
        <f t="shared" si="33"/>
        <v>0.89786756453423122</v>
      </c>
      <c r="J159" s="10">
        <f t="shared" si="34"/>
        <v>1.7984761058802874E-3</v>
      </c>
      <c r="K159" s="10">
        <f t="shared" si="35"/>
        <v>1.6147933610597418E-3</v>
      </c>
      <c r="L159" s="10"/>
      <c r="M159" s="12"/>
    </row>
    <row r="160" spans="4:13" x14ac:dyDescent="0.25">
      <c r="D160" s="13">
        <f>D159+0.25</f>
        <v>7.5</v>
      </c>
      <c r="E160" s="10">
        <f t="shared" ref="E160:E170" si="37">1/(1+$B$3*D160)</f>
        <v>0.898876404494382</v>
      </c>
      <c r="F160" s="10">
        <f t="shared" ref="F160:F170" si="38">EXP(-$F$124*$F$123 - $F$153*(D160-$F$123))</f>
        <v>0.78925571066695799</v>
      </c>
      <c r="G160" s="10">
        <f t="shared" ref="G160:G170" si="39">$F$154*E160*F160</f>
        <v>0.17736083385774337</v>
      </c>
      <c r="H160" s="10">
        <f t="shared" si="36"/>
        <v>92</v>
      </c>
      <c r="I160" s="10">
        <f t="shared" si="33"/>
        <v>0.89686098654708524</v>
      </c>
      <c r="J160" s="10">
        <f t="shared" si="34"/>
        <v>1.7943779203876402E-3</v>
      </c>
      <c r="K160" s="10">
        <f t="shared" si="35"/>
        <v>1.6093075519171662E-3</v>
      </c>
      <c r="L160" s="10"/>
      <c r="M160" s="12"/>
    </row>
    <row r="161" spans="4:13" x14ac:dyDescent="0.25">
      <c r="D161" s="13">
        <f t="shared" ref="D161:D170" si="40">D160+0.25</f>
        <v>7.75</v>
      </c>
      <c r="E161" s="10">
        <f t="shared" si="37"/>
        <v>0.89585666293393063</v>
      </c>
      <c r="F161" s="10">
        <f t="shared" si="38"/>
        <v>0.78387256756726431</v>
      </c>
      <c r="G161" s="10">
        <f t="shared" si="39"/>
        <v>0.17555936563656538</v>
      </c>
      <c r="H161" s="10">
        <f t="shared" si="36"/>
        <v>93</v>
      </c>
      <c r="I161" s="10">
        <f t="shared" si="33"/>
        <v>0.89585666293393063</v>
      </c>
      <c r="J161" s="10">
        <f t="shared" si="34"/>
        <v>1.7902890734257755E-3</v>
      </c>
      <c r="K161" s="10">
        <f t="shared" si="35"/>
        <v>1.603842395006294E-3</v>
      </c>
      <c r="L161" s="10"/>
      <c r="M161" s="12"/>
    </row>
    <row r="162" spans="4:13" x14ac:dyDescent="0.25">
      <c r="D162" s="13">
        <f t="shared" si="40"/>
        <v>8</v>
      </c>
      <c r="E162" s="10">
        <f t="shared" si="37"/>
        <v>0.89285714285714279</v>
      </c>
      <c r="F162" s="10">
        <f t="shared" si="38"/>
        <v>0.77852614036235623</v>
      </c>
      <c r="G162" s="10">
        <f t="shared" si="39"/>
        <v>0.17377815633088309</v>
      </c>
      <c r="H162" s="10">
        <f t="shared" si="36"/>
        <v>94</v>
      </c>
      <c r="I162" s="10">
        <f t="shared" si="33"/>
        <v>0.89485458612975399</v>
      </c>
      <c r="J162" s="10">
        <f t="shared" si="34"/>
        <v>1.7862095437147492E-3</v>
      </c>
      <c r="K162" s="10">
        <f t="shared" si="35"/>
        <v>1.5983978019818786E-3</v>
      </c>
      <c r="L162" s="10"/>
      <c r="M162" s="12"/>
    </row>
    <row r="163" spans="4:13" x14ac:dyDescent="0.25">
      <c r="D163" s="13">
        <f t="shared" si="40"/>
        <v>8.25</v>
      </c>
      <c r="E163" s="10">
        <f t="shared" si="37"/>
        <v>0.88987764182424911</v>
      </c>
      <c r="F163" s="10">
        <f t="shared" si="38"/>
        <v>0.77321617863033243</v>
      </c>
      <c r="G163" s="10">
        <f t="shared" si="39"/>
        <v>0.17201694741497939</v>
      </c>
      <c r="H163" s="10">
        <f t="shared" si="36"/>
        <v>95</v>
      </c>
      <c r="I163" s="10">
        <f t="shared" si="33"/>
        <v>0.89385474860335201</v>
      </c>
      <c r="J163" s="10">
        <f t="shared" si="34"/>
        <v>1.7821393100237416E-3</v>
      </c>
      <c r="K163" s="10">
        <f t="shared" si="35"/>
        <v>1.5929736849374227E-3</v>
      </c>
      <c r="L163" s="10"/>
      <c r="M163" s="12"/>
    </row>
    <row r="164" spans="4:13" x14ac:dyDescent="0.25">
      <c r="D164" s="13">
        <f t="shared" si="40"/>
        <v>8.5</v>
      </c>
      <c r="E164" s="10">
        <f t="shared" si="37"/>
        <v>0.88691796008869184</v>
      </c>
      <c r="F164" s="10">
        <f t="shared" si="38"/>
        <v>0.76794243365730208</v>
      </c>
      <c r="G164" s="10">
        <f t="shared" si="39"/>
        <v>0.17027548418121999</v>
      </c>
      <c r="H164" s="10">
        <f t="shared" si="36"/>
        <v>96</v>
      </c>
      <c r="I164" s="10">
        <f t="shared" si="33"/>
        <v>0.89285714285714279</v>
      </c>
      <c r="J164" s="10">
        <f t="shared" si="34"/>
        <v>1.778078351169547E-3</v>
      </c>
      <c r="K164" s="10">
        <f t="shared" si="35"/>
        <v>1.5875699564013811E-3</v>
      </c>
      <c r="L164" s="10"/>
      <c r="M164" s="12"/>
    </row>
    <row r="165" spans="4:13" x14ac:dyDescent="0.25">
      <c r="D165" s="13">
        <f t="shared" si="40"/>
        <v>8.75</v>
      </c>
      <c r="E165" s="10">
        <f t="shared" si="37"/>
        <v>0.88397790055248615</v>
      </c>
      <c r="F165" s="10">
        <f t="shared" si="38"/>
        <v>0.76270465842573498</v>
      </c>
      <c r="G165" s="10">
        <f t="shared" si="39"/>
        <v>0.16855351567419558</v>
      </c>
      <c r="H165" s="10">
        <f t="shared" si="36"/>
        <v>97</v>
      </c>
      <c r="I165" s="10">
        <f t="shared" si="33"/>
        <v>0.89186176142697871</v>
      </c>
      <c r="J165" s="10">
        <f t="shared" si="34"/>
        <v>1.7740266460178182E-3</v>
      </c>
      <c r="K165" s="10">
        <f t="shared" si="35"/>
        <v>1.5821865293358466E-3</v>
      </c>
      <c r="L165" s="10"/>
      <c r="M165" s="12"/>
    </row>
    <row r="166" spans="4:13" x14ac:dyDescent="0.25">
      <c r="D166" s="13">
        <f>D165+0.25</f>
        <v>9</v>
      </c>
      <c r="E166" s="10">
        <f t="shared" si="37"/>
        <v>0.88105726872246692</v>
      </c>
      <c r="F166" s="10">
        <f t="shared" si="38"/>
        <v>0.75750260760289179</v>
      </c>
      <c r="G166" s="10">
        <f t="shared" si="39"/>
        <v>0.1668507946261876</v>
      </c>
      <c r="H166" s="10">
        <f t="shared" si="36"/>
        <v>98</v>
      </c>
      <c r="I166" s="10">
        <f t="shared" si="33"/>
        <v>0.89086859688195985</v>
      </c>
      <c r="J166" s="10">
        <f t="shared" si="34"/>
        <v>1.7699841734819994E-3</v>
      </c>
      <c r="K166" s="10">
        <f t="shared" si="35"/>
        <v>1.5768233171331843E-3</v>
      </c>
      <c r="L166" s="10"/>
      <c r="M166" s="12"/>
    </row>
    <row r="167" spans="4:13" x14ac:dyDescent="0.25">
      <c r="D167" s="13">
        <f t="shared" si="40"/>
        <v>9.25</v>
      </c>
      <c r="E167" s="10">
        <f t="shared" si="37"/>
        <v>0.87815587266739847</v>
      </c>
      <c r="F167" s="10">
        <f t="shared" si="38"/>
        <v>0.75233603752933276</v>
      </c>
      <c r="G167" s="10">
        <f t="shared" si="39"/>
        <v>0.16516707739392597</v>
      </c>
      <c r="H167" s="10">
        <f t="shared" si="36"/>
        <v>99</v>
      </c>
      <c r="I167" s="10">
        <f t="shared" si="33"/>
        <v>0.88987764182424911</v>
      </c>
      <c r="J167" s="10">
        <f t="shared" si="34"/>
        <v>1.7659509125239491E-3</v>
      </c>
      <c r="K167" s="10">
        <f t="shared" si="35"/>
        <v>1.5714802336141925E-3</v>
      </c>
      <c r="L167" s="10"/>
      <c r="M167" s="12"/>
    </row>
    <row r="168" spans="4:13" x14ac:dyDescent="0.25">
      <c r="D168" s="13">
        <f t="shared" si="40"/>
        <v>9.5</v>
      </c>
      <c r="E168" s="10">
        <f t="shared" si="37"/>
        <v>0.87527352297592997</v>
      </c>
      <c r="F168" s="10">
        <f t="shared" si="38"/>
        <v>0.7472047062075049</v>
      </c>
      <c r="G168" s="10">
        <f t="shared" si="39"/>
        <v>0.1635021238966094</v>
      </c>
      <c r="H168" s="10">
        <f t="shared" si="36"/>
        <v>100</v>
      </c>
      <c r="I168" s="10">
        <f t="shared" si="33"/>
        <v>0.88888888888888884</v>
      </c>
      <c r="J168" s="10">
        <f t="shared" si="34"/>
        <v>1.7619268421530509E-3</v>
      </c>
      <c r="K168" s="10">
        <f t="shared" si="35"/>
        <v>1.566157193024934E-3</v>
      </c>
      <c r="L168" s="10"/>
      <c r="M168" s="12"/>
    </row>
    <row r="169" spans="4:13" x14ac:dyDescent="0.25">
      <c r="D169" s="13">
        <f>D168+0.25</f>
        <v>9.75</v>
      </c>
      <c r="E169" s="10">
        <f t="shared" si="37"/>
        <v>0.8724100327153762</v>
      </c>
      <c r="F169" s="10">
        <f t="shared" si="38"/>
        <v>0.74210837329040691</v>
      </c>
      <c r="G169" s="10">
        <f t="shared" si="39"/>
        <v>0.16185569755515963</v>
      </c>
      <c r="H169" s="10">
        <f t="shared" si="36"/>
        <v>101</v>
      </c>
      <c r="I169" s="10">
        <f t="shared" si="33"/>
        <v>0.88790233074361824</v>
      </c>
      <c r="J169" s="10">
        <f t="shared" si="34"/>
        <v>1.7579119414268356E-3</v>
      </c>
      <c r="K169" s="10">
        <f t="shared" si="35"/>
        <v>1.5608541100349262E-3</v>
      </c>
      <c r="L169" s="10"/>
      <c r="M169" s="12"/>
    </row>
    <row r="170" spans="4:13" x14ac:dyDescent="0.25">
      <c r="D170" s="13">
        <f t="shared" si="40"/>
        <v>10</v>
      </c>
      <c r="E170" s="10">
        <f t="shared" si="37"/>
        <v>0.86956521739130443</v>
      </c>
      <c r="F170" s="10">
        <f t="shared" si="38"/>
        <v>0.73704680007033196</v>
      </c>
      <c r="G170" s="10">
        <f t="shared" si="39"/>
        <v>0.16022756523268089</v>
      </c>
      <c r="H170" s="10">
        <f t="shared" si="36"/>
        <v>102</v>
      </c>
      <c r="I170" s="10">
        <f t="shared" si="33"/>
        <v>0.88691796008869184</v>
      </c>
      <c r="J170" s="10">
        <f t="shared" si="34"/>
        <v>1.7539061894504483E-3</v>
      </c>
      <c r="K170" s="10">
        <f t="shared" si="35"/>
        <v>1.5555708997343222E-3</v>
      </c>
      <c r="L170" s="10"/>
      <c r="M170" s="12"/>
    </row>
    <row r="171" spans="4:13" x14ac:dyDescent="0.25">
      <c r="D171" s="13"/>
      <c r="E171" s="11" t="s">
        <v>43</v>
      </c>
      <c r="F171" s="31">
        <f>SUM(G159:G170)</f>
        <v>2.0343303852055796</v>
      </c>
      <c r="G171" s="10"/>
      <c r="H171" s="10">
        <f t="shared" si="36"/>
        <v>103</v>
      </c>
      <c r="I171" s="10">
        <f t="shared" si="33"/>
        <v>0.88593576965669996</v>
      </c>
      <c r="J171" s="10">
        <f t="shared" si="34"/>
        <v>1.7499095653766489E-3</v>
      </c>
      <c r="K171" s="10">
        <f t="shared" si="35"/>
        <v>1.5503074776315828E-3</v>
      </c>
      <c r="L171" s="10"/>
      <c r="M171" s="12"/>
    </row>
    <row r="172" spans="4:13" x14ac:dyDescent="0.25">
      <c r="D172" s="13"/>
      <c r="E172" s="10"/>
      <c r="F172" s="10"/>
      <c r="G172" s="10"/>
      <c r="H172" s="10">
        <f t="shared" si="36"/>
        <v>104</v>
      </c>
      <c r="I172" s="10">
        <f t="shared" si="33"/>
        <v>0.88495575221238942</v>
      </c>
      <c r="J172" s="10">
        <f t="shared" si="34"/>
        <v>1.7459220484054559E-3</v>
      </c>
      <c r="K172" s="10">
        <f t="shared" si="35"/>
        <v>1.5450637596508461E-3</v>
      </c>
      <c r="L172" s="10"/>
      <c r="M172" s="12"/>
    </row>
    <row r="173" spans="4:13" x14ac:dyDescent="0.25">
      <c r="D173" s="16" t="s">
        <v>18</v>
      </c>
      <c r="E173" s="10" t="s">
        <v>119</v>
      </c>
      <c r="F173" s="10"/>
      <c r="G173" s="10"/>
      <c r="H173" s="10">
        <f>H172+1</f>
        <v>105</v>
      </c>
      <c r="I173" s="10">
        <f t="shared" si="33"/>
        <v>0.88397790055248615</v>
      </c>
      <c r="J173" s="10">
        <f t="shared" si="34"/>
        <v>1.7419436177850349E-3</v>
      </c>
      <c r="K173" s="10">
        <f t="shared" si="35"/>
        <v>1.5398396621304174E-3</v>
      </c>
      <c r="L173" s="10"/>
      <c r="M173" s="12"/>
    </row>
    <row r="174" spans="4:13" x14ac:dyDescent="0.25">
      <c r="D174" s="13"/>
      <c r="E174" s="10">
        <f>F128*($F$171+$F$140+$F$118+$F$97+$F$76+$F$55+$F$33+$F$15)</f>
        <v>0.1270789629315113</v>
      </c>
      <c r="F174" s="10"/>
      <c r="G174" s="10"/>
      <c r="H174" s="10">
        <f t="shared" si="36"/>
        <v>106</v>
      </c>
      <c r="I174" s="10">
        <f t="shared" si="33"/>
        <v>0.88300220750551872</v>
      </c>
      <c r="J174" s="10">
        <f t="shared" si="34"/>
        <v>1.7379742528097447E-3</v>
      </c>
      <c r="K174" s="10">
        <f t="shared" si="35"/>
        <v>1.5346351018187591E-3</v>
      </c>
      <c r="L174" s="10"/>
      <c r="M174" s="12"/>
    </row>
    <row r="175" spans="4:13" x14ac:dyDescent="0.25">
      <c r="D175" s="13"/>
      <c r="E175" s="10"/>
      <c r="F175" s="10"/>
      <c r="G175" s="10"/>
      <c r="H175" s="10">
        <f t="shared" si="36"/>
        <v>107</v>
      </c>
      <c r="I175" s="10">
        <f t="shared" si="33"/>
        <v>0.88202866593164275</v>
      </c>
      <c r="J175" s="10">
        <f t="shared" si="34"/>
        <v>1.7340139328221799E-3</v>
      </c>
      <c r="K175" s="10">
        <f t="shared" si="35"/>
        <v>1.5294499958740286E-3</v>
      </c>
      <c r="L175" s="10"/>
      <c r="M175" s="12"/>
    </row>
    <row r="176" spans="4:13" x14ac:dyDescent="0.25">
      <c r="D176" s="16" t="s">
        <v>122</v>
      </c>
      <c r="E176" s="10" t="s">
        <v>123</v>
      </c>
      <c r="F176" s="10"/>
      <c r="G176" s="10"/>
      <c r="H176" s="10">
        <f>H175+1</f>
        <v>108</v>
      </c>
      <c r="I176" s="10">
        <f t="shared" si="33"/>
        <v>0.88105726872246692</v>
      </c>
      <c r="J176" s="10">
        <f t="shared" si="34"/>
        <v>1.7300626372112177E-3</v>
      </c>
      <c r="K176" s="10">
        <f t="shared" si="35"/>
        <v>1.5242842618601036E-3</v>
      </c>
      <c r="L176" s="10"/>
      <c r="M176" s="12"/>
    </row>
    <row r="177" spans="4:13" x14ac:dyDescent="0.25">
      <c r="D177" s="13"/>
      <c r="E177" s="10">
        <f>F155*($K$12+$K$30+$K$54+$K$75+$K$96+$K$117+$K$148+$K$190)</f>
        <v>0.12707896661167128</v>
      </c>
      <c r="F177" s="10"/>
      <c r="G177" s="10"/>
      <c r="H177" s="10">
        <f t="shared" ref="H177:H188" si="41">H176+1</f>
        <v>109</v>
      </c>
      <c r="I177" s="10">
        <f t="shared" si="33"/>
        <v>0.88008800880088012</v>
      </c>
      <c r="J177" s="10">
        <f t="shared" si="34"/>
        <v>1.7261203454132597E-3</v>
      </c>
      <c r="K177" s="10">
        <f t="shared" si="35"/>
        <v>1.519137817745443E-3</v>
      </c>
      <c r="L177" s="10"/>
      <c r="M177" s="12"/>
    </row>
    <row r="178" spans="4:13" x14ac:dyDescent="0.25">
      <c r="D178" s="13"/>
      <c r="E178" s="10"/>
      <c r="F178" s="10"/>
      <c r="G178" s="10"/>
      <c r="H178" s="10">
        <f t="shared" si="41"/>
        <v>110</v>
      </c>
      <c r="I178" s="10">
        <f t="shared" si="33"/>
        <v>0.87912087912087911</v>
      </c>
      <c r="J178" s="10">
        <f t="shared" si="34"/>
        <v>1.7221870369110788E-3</v>
      </c>
      <c r="K178" s="10">
        <f t="shared" si="35"/>
        <v>1.5140105818998496E-3</v>
      </c>
      <c r="L178" s="10"/>
      <c r="M178" s="12"/>
    </row>
    <row r="179" spans="4:13" x14ac:dyDescent="0.25">
      <c r="D179" s="13" t="s">
        <v>124</v>
      </c>
      <c r="E179" s="10">
        <f>E174-E177</f>
        <v>-3.680159982311082E-9</v>
      </c>
      <c r="F179" s="10"/>
      <c r="G179" s="10"/>
      <c r="H179" s="10">
        <f t="shared" si="41"/>
        <v>111</v>
      </c>
      <c r="I179" s="10">
        <f t="shared" si="33"/>
        <v>0.87815587266739847</v>
      </c>
      <c r="J179" s="10">
        <f t="shared" si="34"/>
        <v>1.7182626912347068E-3</v>
      </c>
      <c r="K179" s="10">
        <f t="shared" si="35"/>
        <v>1.5089024730930466E-3</v>
      </c>
      <c r="L179" s="10"/>
      <c r="M179" s="12"/>
    </row>
    <row r="180" spans="4:13" x14ac:dyDescent="0.25">
      <c r="D180" s="13"/>
      <c r="E180" s="10"/>
      <c r="F180" s="10"/>
      <c r="G180" s="10"/>
      <c r="H180" s="10">
        <f t="shared" si="41"/>
        <v>112</v>
      </c>
      <c r="I180" s="10">
        <f t="shared" si="33"/>
        <v>0.87719298245614041</v>
      </c>
      <c r="J180" s="10">
        <f t="shared" si="34"/>
        <v>1.7143472879603682E-3</v>
      </c>
      <c r="K180" s="10">
        <f t="shared" si="35"/>
        <v>1.5038134104915512E-3</v>
      </c>
      <c r="L180" s="10"/>
      <c r="M180" s="12"/>
    </row>
    <row r="181" spans="4:13" x14ac:dyDescent="0.25">
      <c r="D181" s="13"/>
      <c r="E181" s="10"/>
      <c r="F181" s="10"/>
      <c r="G181" s="10"/>
      <c r="H181" s="10">
        <f t="shared" si="41"/>
        <v>113</v>
      </c>
      <c r="I181" s="10">
        <f t="shared" si="33"/>
        <v>0.87623220153340642</v>
      </c>
      <c r="J181" s="10">
        <f t="shared" si="34"/>
        <v>1.7104408067111026E-3</v>
      </c>
      <c r="K181" s="10">
        <f t="shared" si="35"/>
        <v>1.4987433136570451E-3</v>
      </c>
      <c r="L181" s="10"/>
      <c r="M181" s="12"/>
    </row>
    <row r="182" spans="4:13" x14ac:dyDescent="0.25">
      <c r="D182" s="13"/>
      <c r="E182" s="10"/>
      <c r="F182" s="10"/>
      <c r="G182" s="10"/>
      <c r="H182" s="10">
        <f>H181+1</f>
        <v>114</v>
      </c>
      <c r="I182" s="10">
        <f t="shared" si="33"/>
        <v>0.87527352297592997</v>
      </c>
      <c r="J182" s="10">
        <f t="shared" si="34"/>
        <v>1.7065432271564087E-3</v>
      </c>
      <c r="K182" s="10">
        <f t="shared" si="35"/>
        <v>1.4936921025439026E-3</v>
      </c>
      <c r="L182" s="10"/>
      <c r="M182" s="12"/>
    </row>
    <row r="183" spans="4:13" x14ac:dyDescent="0.25">
      <c r="D183" s="13"/>
      <c r="E183" s="10"/>
      <c r="F183" s="10"/>
      <c r="G183" s="10"/>
      <c r="H183" s="10">
        <f t="shared" si="41"/>
        <v>115</v>
      </c>
      <c r="I183" s="10">
        <f t="shared" si="33"/>
        <v>0.87431693989071035</v>
      </c>
      <c r="J183" s="10">
        <f t="shared" si="34"/>
        <v>1.702654529011801E-3</v>
      </c>
      <c r="K183" s="10">
        <f t="shared" si="35"/>
        <v>1.4886596974966566E-3</v>
      </c>
      <c r="L183" s="10"/>
      <c r="M183" s="12"/>
    </row>
    <row r="184" spans="4:13" x14ac:dyDescent="0.25">
      <c r="D184" s="13"/>
      <c r="E184" s="10"/>
      <c r="F184" s="10"/>
      <c r="G184" s="10"/>
      <c r="H184" s="10">
        <f t="shared" si="41"/>
        <v>116</v>
      </c>
      <c r="I184" s="10">
        <f t="shared" si="33"/>
        <v>0.8733624454148472</v>
      </c>
      <c r="J184" s="10">
        <f t="shared" si="34"/>
        <v>1.6987746920391642E-3</v>
      </c>
      <c r="K184" s="10">
        <f t="shared" si="35"/>
        <v>1.4836460192481783E-3</v>
      </c>
      <c r="L184" s="10"/>
      <c r="M184" s="12"/>
    </row>
    <row r="185" spans="4:13" x14ac:dyDescent="0.25">
      <c r="D185" s="13"/>
      <c r="E185" s="10"/>
      <c r="F185" s="10"/>
      <c r="G185" s="10"/>
      <c r="H185" s="10">
        <f t="shared" si="41"/>
        <v>117</v>
      </c>
      <c r="I185" s="10">
        <f t="shared" si="33"/>
        <v>0.8724100327153762</v>
      </c>
      <c r="J185" s="10">
        <f t="shared" si="34"/>
        <v>1.6949036960470201E-3</v>
      </c>
      <c r="K185" s="10">
        <f t="shared" si="35"/>
        <v>1.4786509889177929E-3</v>
      </c>
      <c r="L185" s="10"/>
      <c r="M185" s="12"/>
    </row>
    <row r="186" spans="4:13" x14ac:dyDescent="0.25">
      <c r="D186" s="13"/>
      <c r="E186" s="10"/>
      <c r="F186" s="10"/>
      <c r="G186" s="10"/>
      <c r="H186" s="10">
        <f t="shared" si="41"/>
        <v>118</v>
      </c>
      <c r="I186" s="10">
        <f t="shared" si="33"/>
        <v>0.8714596949891068</v>
      </c>
      <c r="J186" s="10">
        <f t="shared" si="34"/>
        <v>1.6910415208888404E-3</v>
      </c>
      <c r="K186" s="10">
        <f t="shared" si="35"/>
        <v>1.4736745280077041E-3</v>
      </c>
      <c r="L186" s="10"/>
      <c r="M186" s="12"/>
    </row>
    <row r="187" spans="4:13" x14ac:dyDescent="0.25">
      <c r="D187" s="13"/>
      <c r="E187" s="10"/>
      <c r="F187" s="10"/>
      <c r="G187" s="10"/>
      <c r="H187" s="10">
        <f>H186+1</f>
        <v>119</v>
      </c>
      <c r="I187" s="10">
        <f t="shared" si="33"/>
        <v>0.87051142546245919</v>
      </c>
      <c r="J187" s="10">
        <f t="shared" si="34"/>
        <v>1.6871881464649997E-3</v>
      </c>
      <c r="K187" s="10">
        <f t="shared" si="35"/>
        <v>1.4687165584026112E-3</v>
      </c>
      <c r="L187" s="10"/>
      <c r="M187" s="12"/>
    </row>
    <row r="188" spans="4:13" x14ac:dyDescent="0.25">
      <c r="D188" s="13"/>
      <c r="E188" s="10"/>
      <c r="F188" s="10"/>
      <c r="G188" s="10"/>
      <c r="H188" s="10">
        <f t="shared" si="41"/>
        <v>120</v>
      </c>
      <c r="I188" s="10">
        <f t="shared" si="33"/>
        <v>0.86956521739130443</v>
      </c>
      <c r="J188" s="10">
        <f t="shared" si="34"/>
        <v>1.6833435527211775E-3</v>
      </c>
      <c r="K188" s="10">
        <f t="shared" si="35"/>
        <v>1.4637770023662414E-3</v>
      </c>
      <c r="L188" s="10"/>
      <c r="M188" s="12"/>
    </row>
    <row r="189" spans="4:13" x14ac:dyDescent="0.25">
      <c r="D189" s="13"/>
      <c r="E189" s="10"/>
      <c r="F189" s="10"/>
      <c r="G189" s="10"/>
      <c r="H189" s="10"/>
      <c r="I189" s="10"/>
      <c r="J189" s="10"/>
      <c r="K189" s="10"/>
      <c r="L189" s="10"/>
      <c r="M189" s="12"/>
    </row>
    <row r="190" spans="4:13" x14ac:dyDescent="0.25">
      <c r="D190" s="28"/>
      <c r="E190" s="18"/>
      <c r="F190" s="18"/>
      <c r="G190" s="18"/>
      <c r="H190" s="18"/>
      <c r="I190" s="18"/>
      <c r="J190" s="33" t="s">
        <v>57</v>
      </c>
      <c r="K190" s="18">
        <f>SUM(K153:K188)</f>
        <v>5.594409171342455E-2</v>
      </c>
      <c r="L190" s="18"/>
      <c r="M190" s="1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Gincel</dc:creator>
  <cp:lastModifiedBy>Adam</cp:lastModifiedBy>
  <dcterms:created xsi:type="dcterms:W3CDTF">2018-04-10T07:03:10Z</dcterms:created>
  <dcterms:modified xsi:type="dcterms:W3CDTF">2018-04-12T00:13:20Z</dcterms:modified>
</cp:coreProperties>
</file>