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T:\WWP\2025\Digital FY25\FY25 Analytics &amp; Data\Pacing to Goal by Channel\"/>
    </mc:Choice>
  </mc:AlternateContent>
  <xr:revisionPtr revIDLastSave="0" documentId="13_ncr:1_{0B82D5F7-6675-4826-B7FE-0B7879F3E789}" xr6:coauthVersionLast="47" xr6:coauthVersionMax="47" xr10:uidLastSave="{00000000-0000-0000-0000-000000000000}"/>
  <bookViews>
    <workbookView xWindow="-28920" yWindow="-120" windowWidth="29040" windowHeight="15720" tabRatio="607" firstSheet="1" activeTab="1" xr2:uid="{0B4FB225-5641-4D13-B069-80703AF969A4}"/>
  </bookViews>
  <sheets>
    <sheet name="FY and Quarterly" sheetId="1" state="hidden" r:id="rId1"/>
    <sheet name="By Month" sheetId="2" r:id="rId2"/>
    <sheet name="Special - EOY" sheetId="14" r:id="rId3"/>
    <sheet name="Special - Giving Tuesday" sheetId="13" r:id="rId4"/>
    <sheet name="Special - Vets Day" sheetId="12" r:id="rId5"/>
    <sheet name="Projected Rev Values" sheetId="11" r:id="rId6"/>
    <sheet name="July 4" sheetId="4" state="hidden" r:id="rId7"/>
    <sheet name="911" sheetId="5" state="hidden" r:id="rId8"/>
  </sheets>
  <definedNames>
    <definedName name="_xlnm._FilterDatabase" localSheetId="5" hidden="1">'Projected Rev Values'!$A$1:$H$85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8" i="2" l="1"/>
  <c r="G65" i="2" l="1"/>
  <c r="L65" i="2" s="1"/>
  <c r="H70" i="2"/>
  <c r="H69" i="2"/>
  <c r="H68" i="2"/>
  <c r="H67" i="2"/>
  <c r="H66" i="2"/>
  <c r="H65" i="2" a="1"/>
  <c r="H65" i="2" s="1"/>
  <c r="H64" i="2"/>
  <c r="H63" i="2"/>
  <c r="H62" i="2"/>
  <c r="G62" i="2" l="1"/>
  <c r="G63" i="2"/>
  <c r="G64" i="2"/>
  <c r="G66" i="2"/>
  <c r="G67" i="2"/>
  <c r="G69" i="2"/>
  <c r="G70" i="2"/>
  <c r="W62" i="2" l="1"/>
  <c r="N2" i="2" l="1"/>
  <c r="G47" i="2" l="1"/>
  <c r="H54" i="2" l="1"/>
  <c r="H53" i="2"/>
  <c r="H52" i="2"/>
  <c r="H51" i="2"/>
  <c r="H50" i="2" a="1"/>
  <c r="H50" i="2" s="1"/>
  <c r="H49" i="2"/>
  <c r="H48" i="2"/>
  <c r="H47" i="2"/>
  <c r="G52" i="2" l="1"/>
  <c r="G51" i="2"/>
  <c r="G49" i="2"/>
  <c r="G48" i="2"/>
  <c r="R67" i="2"/>
  <c r="R64" i="2"/>
  <c r="R63" i="2"/>
  <c r="R62" i="2"/>
  <c r="V70" i="2"/>
  <c r="V69" i="2"/>
  <c r="V67" i="2"/>
  <c r="V64" i="2"/>
  <c r="T63" i="2"/>
  <c r="U71" i="2"/>
  <c r="S71" i="2"/>
  <c r="W71" i="2" s="1"/>
  <c r="Q71" i="2"/>
  <c r="O71" i="2"/>
  <c r="V68" i="2"/>
  <c r="W67" i="2"/>
  <c r="W66" i="2"/>
  <c r="W65" i="2"/>
  <c r="W64" i="2"/>
  <c r="W63" i="2"/>
  <c r="Q61" i="2"/>
  <c r="O61" i="2"/>
  <c r="K61" i="2"/>
  <c r="G61" i="2"/>
  <c r="F61" i="2"/>
  <c r="F70" i="2" s="1"/>
  <c r="Q60" i="2"/>
  <c r="O60" i="2"/>
  <c r="G71" i="2" l="1"/>
  <c r="R71" i="2" s="1"/>
  <c r="T67" i="2"/>
  <c r="V63" i="2"/>
  <c r="V65" i="2"/>
  <c r="T65" i="2"/>
  <c r="R66" i="2"/>
  <c r="V62" i="2"/>
  <c r="F64" i="2"/>
  <c r="T66" i="2"/>
  <c r="R65" i="2"/>
  <c r="V66" i="2"/>
  <c r="F68" i="2"/>
  <c r="F63" i="2"/>
  <c r="T64" i="2"/>
  <c r="F67" i="2"/>
  <c r="F69" i="2"/>
  <c r="H71" i="2"/>
  <c r="T62" i="2"/>
  <c r="F62" i="2"/>
  <c r="F66" i="2"/>
  <c r="Q72" i="2" l="1"/>
  <c r="P63" i="2"/>
  <c r="P66" i="2"/>
  <c r="P62" i="2"/>
  <c r="F65" i="2"/>
  <c r="F71" i="2" s="1"/>
  <c r="S72" i="2"/>
  <c r="V71" i="2"/>
  <c r="T71" i="2"/>
  <c r="P67" i="2"/>
  <c r="P64" i="2"/>
  <c r="O72" i="2" l="1"/>
  <c r="P71" i="2"/>
  <c r="P65" i="2"/>
  <c r="H55" i="2" l="1"/>
  <c r="G55" i="2" l="1"/>
  <c r="N11" i="2" l="1"/>
  <c r="N13" i="2"/>
  <c r="N12" i="2"/>
  <c r="N10" i="2"/>
  <c r="N9" i="2"/>
  <c r="N8" i="2"/>
  <c r="N7" i="2"/>
  <c r="N6" i="2"/>
  <c r="N5" i="2"/>
  <c r="N4" i="2"/>
  <c r="N3" i="2"/>
  <c r="M14" i="2"/>
  <c r="G54" i="2" l="1"/>
  <c r="G53" i="2"/>
  <c r="R49" i="2"/>
  <c r="V47" i="2"/>
  <c r="U56" i="2"/>
  <c r="S56" i="2"/>
  <c r="Q56" i="2"/>
  <c r="O56" i="2"/>
  <c r="W52" i="2"/>
  <c r="W51" i="2"/>
  <c r="W50" i="2"/>
  <c r="W49" i="2"/>
  <c r="W48" i="2"/>
  <c r="W47" i="2"/>
  <c r="Q46" i="2"/>
  <c r="O46" i="2"/>
  <c r="K46" i="2"/>
  <c r="G46" i="2"/>
  <c r="F46" i="2"/>
  <c r="Q45" i="2"/>
  <c r="O45" i="2"/>
  <c r="F49" i="2" l="1"/>
  <c r="P49" i="2" s="1"/>
  <c r="F55" i="2"/>
  <c r="F52" i="2"/>
  <c r="F54" i="2"/>
  <c r="G50" i="2"/>
  <c r="R50" i="2" s="1"/>
  <c r="V55" i="2"/>
  <c r="F47" i="2"/>
  <c r="W56" i="2"/>
  <c r="V53" i="2"/>
  <c r="V48" i="2"/>
  <c r="T48" i="2"/>
  <c r="T47" i="2"/>
  <c r="R51" i="2"/>
  <c r="F51" i="2"/>
  <c r="R52" i="2"/>
  <c r="R47" i="2"/>
  <c r="R48" i="2"/>
  <c r="F53" i="2"/>
  <c r="F48" i="2"/>
  <c r="G40" i="2"/>
  <c r="G39" i="2"/>
  <c r="H39" i="2" s="1"/>
  <c r="V39" i="2" s="1"/>
  <c r="G38" i="2"/>
  <c r="H38" i="2" s="1"/>
  <c r="G37" i="2"/>
  <c r="R37" i="2" s="1"/>
  <c r="G35" i="2"/>
  <c r="R35" i="2" s="1"/>
  <c r="G34" i="2"/>
  <c r="R34" i="2" s="1"/>
  <c r="G33" i="2"/>
  <c r="H33" i="2" s="1"/>
  <c r="V33" i="2" s="1"/>
  <c r="U41" i="2"/>
  <c r="S41" i="2"/>
  <c r="Q41" i="2"/>
  <c r="O41" i="2"/>
  <c r="W38" i="2"/>
  <c r="W37" i="2"/>
  <c r="W36" i="2"/>
  <c r="W35" i="2"/>
  <c r="W34" i="2"/>
  <c r="W33" i="2"/>
  <c r="Q32" i="2"/>
  <c r="O32" i="2"/>
  <c r="K32" i="2"/>
  <c r="G32" i="2"/>
  <c r="F32" i="2"/>
  <c r="F39" i="2" s="1"/>
  <c r="Q31" i="2"/>
  <c r="O31" i="2"/>
  <c r="G19" i="2"/>
  <c r="U27" i="2"/>
  <c r="G56" i="2" l="1"/>
  <c r="R56" i="2" s="1"/>
  <c r="F50" i="2"/>
  <c r="F56" i="2" s="1"/>
  <c r="P51" i="2"/>
  <c r="V52" i="2"/>
  <c r="T52" i="2"/>
  <c r="P47" i="2"/>
  <c r="V49" i="2"/>
  <c r="T49" i="2"/>
  <c r="P52" i="2"/>
  <c r="V51" i="2"/>
  <c r="T51" i="2"/>
  <c r="P48" i="2"/>
  <c r="V54" i="2"/>
  <c r="W41" i="2"/>
  <c r="H34" i="2"/>
  <c r="V34" i="2" s="1"/>
  <c r="V38" i="2"/>
  <c r="T38" i="2"/>
  <c r="G36" i="2"/>
  <c r="H36" i="2" s="1"/>
  <c r="R38" i="2"/>
  <c r="H35" i="2"/>
  <c r="V35" i="2" s="1"/>
  <c r="H37" i="2"/>
  <c r="V37" i="2" s="1"/>
  <c r="H40" i="2"/>
  <c r="V40" i="2" s="1"/>
  <c r="F35" i="2"/>
  <c r="P35" i="2" s="1"/>
  <c r="F34" i="2"/>
  <c r="P34" i="2" s="1"/>
  <c r="R33" i="2"/>
  <c r="F37" i="2"/>
  <c r="F38" i="2"/>
  <c r="F40" i="2"/>
  <c r="T33" i="2"/>
  <c r="F33" i="2"/>
  <c r="W24" i="2"/>
  <c r="O57" i="2" l="1"/>
  <c r="H56" i="2"/>
  <c r="S57" i="2" s="1"/>
  <c r="V50" i="2"/>
  <c r="Q57" i="2"/>
  <c r="T50" i="2"/>
  <c r="P50" i="2"/>
  <c r="T34" i="2"/>
  <c r="G41" i="2"/>
  <c r="Q42" i="2" s="1"/>
  <c r="T35" i="2"/>
  <c r="T37" i="2"/>
  <c r="R36" i="2"/>
  <c r="F36" i="2"/>
  <c r="P36" i="2" s="1"/>
  <c r="P33" i="2"/>
  <c r="P37" i="2"/>
  <c r="T36" i="2"/>
  <c r="V36" i="2"/>
  <c r="H41" i="2"/>
  <c r="S42" i="2" s="1"/>
  <c r="P38" i="2"/>
  <c r="H25" i="2"/>
  <c r="G25" i="2"/>
  <c r="V56" i="2" l="1"/>
  <c r="T56" i="2"/>
  <c r="P56" i="2"/>
  <c r="F41" i="2"/>
  <c r="O42" i="2" s="1"/>
  <c r="R41" i="2"/>
  <c r="V41" i="2"/>
  <c r="T41" i="2"/>
  <c r="H19" i="2"/>
  <c r="H20" i="2"/>
  <c r="G20" i="2"/>
  <c r="H21" i="2"/>
  <c r="G21" i="2"/>
  <c r="G23" i="2"/>
  <c r="H23" i="2"/>
  <c r="G24" i="2"/>
  <c r="H24" i="2"/>
  <c r="G26" i="2"/>
  <c r="G22" i="2" s="1"/>
  <c r="H26" i="2"/>
  <c r="H22" i="2" s="1"/>
  <c r="P41" i="2" l="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K26" i="2" s="1"/>
  <c r="F5" i="11"/>
  <c r="F4" i="11"/>
  <c r="F3" i="11"/>
  <c r="F2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K47" i="2" l="1"/>
  <c r="K62" i="2"/>
  <c r="K67" i="2"/>
  <c r="L67" i="2" s="1"/>
  <c r="K63" i="2"/>
  <c r="L63" i="2" s="1"/>
  <c r="K64" i="2"/>
  <c r="L64" i="2" s="1"/>
  <c r="K69" i="2"/>
  <c r="K66" i="2"/>
  <c r="L66" i="2" s="1"/>
  <c r="K68" i="2"/>
  <c r="L68" i="2" s="1"/>
  <c r="K53" i="2"/>
  <c r="L53" i="2" s="1"/>
  <c r="K49" i="2"/>
  <c r="L49" i="2" s="1"/>
  <c r="K52" i="2"/>
  <c r="L52" i="2" s="1"/>
  <c r="K54" i="2"/>
  <c r="K48" i="2"/>
  <c r="L48" i="2" s="1"/>
  <c r="K19" i="2"/>
  <c r="K51" i="2"/>
  <c r="L51" i="2" s="1"/>
  <c r="I23" i="2"/>
  <c r="I67" i="2"/>
  <c r="J67" i="2" s="1"/>
  <c r="I63" i="2"/>
  <c r="J63" i="2" s="1"/>
  <c r="I69" i="2"/>
  <c r="I66" i="2"/>
  <c r="J66" i="2" s="1"/>
  <c r="I62" i="2"/>
  <c r="I68" i="2"/>
  <c r="J68" i="2" s="1"/>
  <c r="I64" i="2"/>
  <c r="J64" i="2" s="1"/>
  <c r="I53" i="2"/>
  <c r="I49" i="2"/>
  <c r="J49" i="2" s="1"/>
  <c r="I51" i="2"/>
  <c r="J51" i="2" s="1"/>
  <c r="I52" i="2"/>
  <c r="J52" i="2" s="1"/>
  <c r="I54" i="2"/>
  <c r="J54" i="2" s="1"/>
  <c r="I48" i="2"/>
  <c r="J48" i="2" s="1"/>
  <c r="I47" i="2"/>
  <c r="K25" i="2"/>
  <c r="K23" i="2"/>
  <c r="M25" i="2"/>
  <c r="M63" i="2"/>
  <c r="N63" i="2" s="1"/>
  <c r="M64" i="2"/>
  <c r="M69" i="2"/>
  <c r="M66" i="2"/>
  <c r="N66" i="2" s="1"/>
  <c r="M62" i="2"/>
  <c r="N62" i="2" s="1"/>
  <c r="M68" i="2"/>
  <c r="N68" i="2" s="1"/>
  <c r="M67" i="2"/>
  <c r="N67" i="2" s="1"/>
  <c r="M49" i="2"/>
  <c r="N49" i="2" s="1"/>
  <c r="M48" i="2"/>
  <c r="N48" i="2" s="1"/>
  <c r="M52" i="2"/>
  <c r="N52" i="2" s="1"/>
  <c r="M51" i="2"/>
  <c r="N51" i="2" s="1"/>
  <c r="M54" i="2"/>
  <c r="M47" i="2"/>
  <c r="M53" i="2"/>
  <c r="N53" i="2" s="1"/>
  <c r="K22" i="2"/>
  <c r="I19" i="2"/>
  <c r="M20" i="2"/>
  <c r="I25" i="2"/>
  <c r="M21" i="2"/>
  <c r="I26" i="2"/>
  <c r="M23" i="2"/>
  <c r="I21" i="2"/>
  <c r="I24" i="2"/>
  <c r="K34" i="2"/>
  <c r="L34" i="2" s="1"/>
  <c r="K39" i="2"/>
  <c r="L39" i="2" s="1"/>
  <c r="K37" i="2"/>
  <c r="L37" i="2" s="1"/>
  <c r="K38" i="2"/>
  <c r="L38" i="2" s="1"/>
  <c r="K40" i="2"/>
  <c r="K33" i="2"/>
  <c r="K35" i="2"/>
  <c r="L35" i="2" s="1"/>
  <c r="K20" i="2"/>
  <c r="M24" i="2"/>
  <c r="K21" i="2"/>
  <c r="M39" i="2"/>
  <c r="M37" i="2"/>
  <c r="N37" i="2" s="1"/>
  <c r="M34" i="2"/>
  <c r="N34" i="2" s="1"/>
  <c r="M38" i="2"/>
  <c r="N38" i="2" s="1"/>
  <c r="M33" i="2"/>
  <c r="M40" i="2"/>
  <c r="N40" i="2" s="1"/>
  <c r="M35" i="2"/>
  <c r="N35" i="2" s="1"/>
  <c r="M26" i="2"/>
  <c r="I34" i="2"/>
  <c r="J34" i="2" s="1"/>
  <c r="I39" i="2"/>
  <c r="I37" i="2"/>
  <c r="J37" i="2" s="1"/>
  <c r="I33" i="2"/>
  <c r="J33" i="2" s="1"/>
  <c r="I35" i="2"/>
  <c r="J35" i="2" s="1"/>
  <c r="I38" i="2"/>
  <c r="J38" i="2" s="1"/>
  <c r="I40" i="2"/>
  <c r="J40" i="2" s="1"/>
  <c r="M19" i="2"/>
  <c r="K24" i="2"/>
  <c r="I20" i="2"/>
  <c r="N69" i="2" l="1"/>
  <c r="M65" i="2"/>
  <c r="N65" i="2" s="1"/>
  <c r="I50" i="2"/>
  <c r="J50" i="2" s="1"/>
  <c r="J53" i="2"/>
  <c r="K50" i="2"/>
  <c r="L50" i="2" s="1"/>
  <c r="L54" i="2"/>
  <c r="M50" i="2"/>
  <c r="N50" i="2" s="1"/>
  <c r="N54" i="2"/>
  <c r="I65" i="2"/>
  <c r="J65" i="2" s="1"/>
  <c r="J69" i="2"/>
  <c r="I56" i="2"/>
  <c r="J56" i="2" s="1"/>
  <c r="J47" i="2"/>
  <c r="K65" i="2"/>
  <c r="L69" i="2"/>
  <c r="J62" i="2"/>
  <c r="N47" i="2"/>
  <c r="M22" i="2"/>
  <c r="K71" i="2"/>
  <c r="L71" i="2" s="1"/>
  <c r="L62" i="2"/>
  <c r="M71" i="2"/>
  <c r="N71" i="2" s="1"/>
  <c r="N64" i="2"/>
  <c r="K56" i="2"/>
  <c r="L56" i="2" s="1"/>
  <c r="L47" i="2"/>
  <c r="I22" i="2"/>
  <c r="I27" i="2" s="1"/>
  <c r="N33" i="2"/>
  <c r="M36" i="2"/>
  <c r="N36" i="2" s="1"/>
  <c r="N39" i="2"/>
  <c r="J39" i="2"/>
  <c r="I36" i="2"/>
  <c r="L33" i="2"/>
  <c r="K36" i="2"/>
  <c r="L36" i="2" s="1"/>
  <c r="L40" i="2"/>
  <c r="Q18" i="2"/>
  <c r="Q17" i="2"/>
  <c r="K18" i="2"/>
  <c r="O18" i="2"/>
  <c r="O17" i="2"/>
  <c r="G18" i="2"/>
  <c r="V26" i="2"/>
  <c r="N25" i="2"/>
  <c r="V24" i="2"/>
  <c r="T23" i="2"/>
  <c r="V22" i="2"/>
  <c r="T21" i="2"/>
  <c r="T20" i="2"/>
  <c r="V19" i="2"/>
  <c r="L26" i="2"/>
  <c r="L25" i="2"/>
  <c r="L24" i="2"/>
  <c r="L22" i="2"/>
  <c r="R21" i="2"/>
  <c r="R20" i="2"/>
  <c r="L19" i="2"/>
  <c r="S27" i="2"/>
  <c r="Q27" i="2"/>
  <c r="O27" i="2"/>
  <c r="M27" i="2"/>
  <c r="K27" i="2"/>
  <c r="W23" i="2"/>
  <c r="W22" i="2"/>
  <c r="W21" i="2"/>
  <c r="W20" i="2"/>
  <c r="W19" i="2"/>
  <c r="F18" i="2"/>
  <c r="M56" i="2" l="1"/>
  <c r="N56" i="2" s="1"/>
  <c r="I71" i="2"/>
  <c r="J71" i="2" s="1"/>
  <c r="F26" i="2"/>
  <c r="J26" i="2" s="1"/>
  <c r="F23" i="2"/>
  <c r="J23" i="2" s="1"/>
  <c r="F21" i="2"/>
  <c r="P21" i="2" s="1"/>
  <c r="F20" i="2"/>
  <c r="P20" i="2" s="1"/>
  <c r="F19" i="2"/>
  <c r="J19" i="2" s="1"/>
  <c r="F24" i="2"/>
  <c r="P24" i="2" s="1"/>
  <c r="F25" i="2"/>
  <c r="K41" i="2"/>
  <c r="L41" i="2" s="1"/>
  <c r="I41" i="2"/>
  <c r="J41" i="2" s="1"/>
  <c r="J36" i="2"/>
  <c r="M41" i="2"/>
  <c r="N41" i="2" s="1"/>
  <c r="W27" i="2"/>
  <c r="R19" i="2"/>
  <c r="N26" i="2"/>
  <c r="V21" i="2"/>
  <c r="H27" i="2"/>
  <c r="N20" i="2"/>
  <c r="V20" i="2"/>
  <c r="G27" i="2"/>
  <c r="L21" i="2"/>
  <c r="N22" i="2"/>
  <c r="R24" i="2"/>
  <c r="L20" i="2"/>
  <c r="N21" i="2"/>
  <c r="R23" i="2"/>
  <c r="T24" i="2"/>
  <c r="N19" i="2"/>
  <c r="T22" i="2"/>
  <c r="V23" i="2"/>
  <c r="T19" i="2"/>
  <c r="L23" i="2"/>
  <c r="N24" i="2"/>
  <c r="V25" i="2"/>
  <c r="N23" i="2"/>
  <c r="R22" i="2"/>
  <c r="P19" i="2" l="1"/>
  <c r="P23" i="2"/>
  <c r="J20" i="2"/>
  <c r="F22" i="2"/>
  <c r="J25" i="2"/>
  <c r="J24" i="2"/>
  <c r="J21" i="2"/>
  <c r="L27" i="2"/>
  <c r="Q28" i="2"/>
  <c r="R27" i="2"/>
  <c r="W28" i="2"/>
  <c r="N27" i="2"/>
  <c r="V27" i="2"/>
  <c r="S28" i="2"/>
  <c r="T27" i="2"/>
  <c r="J22" i="2" l="1"/>
  <c r="P22" i="2"/>
  <c r="F27" i="2"/>
  <c r="L14" i="2"/>
  <c r="P27" i="2" l="1"/>
  <c r="O28" i="2"/>
  <c r="J27" i="2"/>
  <c r="K14" i="2" l="1"/>
  <c r="F14" i="2"/>
  <c r="G14" i="2"/>
  <c r="H14" i="2"/>
  <c r="I14" i="2"/>
  <c r="J14" i="2"/>
  <c r="N14" i="2" l="1"/>
  <c r="N7" i="5"/>
  <c r="N3" i="5"/>
  <c r="N4" i="5"/>
  <c r="N5" i="5"/>
  <c r="N6" i="5"/>
  <c r="N2" i="5"/>
  <c r="G7" i="5"/>
  <c r="G3" i="5"/>
  <c r="G4" i="5"/>
  <c r="G5" i="5"/>
  <c r="G6" i="5"/>
  <c r="G2" i="5"/>
  <c r="M7" i="5"/>
  <c r="F7" i="5"/>
  <c r="K7" i="5"/>
  <c r="L6" i="5"/>
  <c r="L5" i="5"/>
  <c r="L3" i="5"/>
  <c r="L2" i="5"/>
  <c r="E3" i="5"/>
  <c r="E5" i="5"/>
  <c r="E6" i="5"/>
  <c r="E2" i="5"/>
  <c r="C13" i="5"/>
  <c r="C4" i="5"/>
  <c r="C7" i="5"/>
  <c r="E7" i="5"/>
  <c r="D7" i="5"/>
  <c r="J4" i="5"/>
  <c r="J7" i="5"/>
  <c r="L7" i="5"/>
  <c r="E4" i="5"/>
  <c r="L4" i="5"/>
  <c r="G72" i="4"/>
  <c r="F75" i="4"/>
  <c r="E12" i="4"/>
  <c r="D12" i="4"/>
  <c r="D22" i="4"/>
  <c r="E18" i="4"/>
  <c r="D18" i="4"/>
  <c r="E15" i="4"/>
  <c r="D15" i="4"/>
  <c r="D6" i="4"/>
  <c r="D11" i="4"/>
  <c r="E11" i="4"/>
  <c r="D19" i="4"/>
  <c r="E22" i="4"/>
  <c r="E69" i="4"/>
  <c r="D69" i="4"/>
  <c r="G69" i="4"/>
  <c r="E51" i="4"/>
  <c r="D51" i="4"/>
  <c r="E47" i="4"/>
  <c r="D47" i="4"/>
  <c r="E39" i="4"/>
  <c r="D39" i="4"/>
  <c r="E36" i="4"/>
  <c r="D36" i="4"/>
  <c r="E33" i="4"/>
  <c r="D33" i="4"/>
  <c r="E30" i="4"/>
  <c r="D30" i="4"/>
  <c r="E6" i="4"/>
  <c r="E52" i="4"/>
  <c r="D52" i="4"/>
  <c r="G52" i="4"/>
  <c r="E19" i="4"/>
  <c r="E25" i="4"/>
  <c r="D40" i="4"/>
  <c r="G40" i="4"/>
  <c r="E40" i="4"/>
  <c r="D24" i="4"/>
  <c r="D25" i="4"/>
  <c r="D76" i="4"/>
  <c r="E76" i="4"/>
  <c r="E24" i="4"/>
  <c r="E75" i="4"/>
  <c r="D75" i="4"/>
  <c r="G75" i="4"/>
  <c r="G24" i="4"/>
  <c r="B7" i="1"/>
  <c r="D7" i="1" s="1"/>
  <c r="G30" i="1"/>
  <c r="G28" i="1"/>
  <c r="G27" i="1"/>
  <c r="G26" i="1"/>
  <c r="G25" i="1"/>
  <c r="F30" i="1"/>
  <c r="F29" i="1"/>
  <c r="I29" i="1" s="1"/>
  <c r="F28" i="1"/>
  <c r="F27" i="1"/>
  <c r="F26" i="1"/>
  <c r="F25" i="1"/>
  <c r="C30" i="1"/>
  <c r="C28" i="1"/>
  <c r="C27" i="1"/>
  <c r="C26" i="1"/>
  <c r="C25" i="1"/>
  <c r="B30" i="1"/>
  <c r="B29" i="1"/>
  <c r="E29" i="1" s="1"/>
  <c r="B28" i="1"/>
  <c r="B27" i="1"/>
  <c r="B26" i="1"/>
  <c r="B25" i="1"/>
  <c r="G19" i="1"/>
  <c r="G17" i="1"/>
  <c r="G16" i="1"/>
  <c r="G15" i="1"/>
  <c r="G14" i="1"/>
  <c r="C19" i="1"/>
  <c r="C17" i="1"/>
  <c r="C16" i="1"/>
  <c r="C15" i="1"/>
  <c r="C14" i="1"/>
  <c r="F9" i="1"/>
  <c r="I9" i="1" s="1"/>
  <c r="F8" i="1"/>
  <c r="I8" i="1" s="1"/>
  <c r="F7" i="1"/>
  <c r="I7" i="1" s="1"/>
  <c r="F6" i="1"/>
  <c r="H6" i="1" s="1"/>
  <c r="F5" i="1"/>
  <c r="I5" i="1" s="1"/>
  <c r="F4" i="1"/>
  <c r="H4" i="1" s="1"/>
  <c r="B9" i="1"/>
  <c r="E9" i="1" s="1"/>
  <c r="B8" i="1"/>
  <c r="E8" i="1" s="1"/>
  <c r="B6" i="1"/>
  <c r="D6" i="1" s="1"/>
  <c r="B5" i="1"/>
  <c r="D5" i="1" s="1"/>
  <c r="B4" i="1"/>
  <c r="E4" i="1" s="1"/>
  <c r="F19" i="1"/>
  <c r="F18" i="1"/>
  <c r="I18" i="1" s="1"/>
  <c r="F17" i="1"/>
  <c r="F16" i="1"/>
  <c r="F15" i="1"/>
  <c r="F14" i="1"/>
  <c r="B19" i="1"/>
  <c r="B18" i="1"/>
  <c r="E18" i="1" s="1"/>
  <c r="B17" i="1"/>
  <c r="B16" i="1"/>
  <c r="B15" i="1"/>
  <c r="B14" i="1"/>
  <c r="G10" i="1"/>
  <c r="C10" i="1"/>
  <c r="E14" i="1" l="1"/>
  <c r="I28" i="1"/>
  <c r="I19" i="1"/>
  <c r="E25" i="1"/>
  <c r="E16" i="1"/>
  <c r="H9" i="1"/>
  <c r="H17" i="1"/>
  <c r="H28" i="1"/>
  <c r="D16" i="1"/>
  <c r="D27" i="1"/>
  <c r="H19" i="1"/>
  <c r="D15" i="1"/>
  <c r="I17" i="1"/>
  <c r="E6" i="1"/>
  <c r="D19" i="1"/>
  <c r="E17" i="1"/>
  <c r="I27" i="1"/>
  <c r="H25" i="1"/>
  <c r="I15" i="1"/>
  <c r="H26" i="1"/>
  <c r="D30" i="1"/>
  <c r="H5" i="1"/>
  <c r="E7" i="1"/>
  <c r="D17" i="1"/>
  <c r="D26" i="1"/>
  <c r="E19" i="1"/>
  <c r="H27" i="1"/>
  <c r="G31" i="1"/>
  <c r="H7" i="1"/>
  <c r="I6" i="1"/>
  <c r="D4" i="1"/>
  <c r="I26" i="1"/>
  <c r="I25" i="1"/>
  <c r="H15" i="1"/>
  <c r="E15" i="1"/>
  <c r="H14" i="1"/>
  <c r="D25" i="1"/>
  <c r="E27" i="1"/>
  <c r="I14" i="1"/>
  <c r="E30" i="1"/>
  <c r="E26" i="1"/>
  <c r="H30" i="1"/>
  <c r="D9" i="1"/>
  <c r="F20" i="1"/>
  <c r="E28" i="1"/>
  <c r="C20" i="1"/>
  <c r="D14" i="1"/>
  <c r="B20" i="1"/>
  <c r="B31" i="1"/>
  <c r="G20" i="1"/>
  <c r="I4" i="1"/>
  <c r="H16" i="1"/>
  <c r="F10" i="1"/>
  <c r="E5" i="1"/>
  <c r="I30" i="1"/>
  <c r="I16" i="1"/>
  <c r="F31" i="1"/>
  <c r="B10" i="1"/>
  <c r="D28" i="1"/>
  <c r="C31" i="1"/>
  <c r="E31" i="1" l="1"/>
  <c r="H20" i="1"/>
  <c r="I20" i="1"/>
  <c r="E20" i="1"/>
  <c r="D20" i="1"/>
  <c r="H10" i="1"/>
  <c r="I10" i="1"/>
  <c r="D10" i="1"/>
  <c r="E10" i="1"/>
  <c r="H31" i="1"/>
  <c r="I31" i="1"/>
  <c r="D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<sst xmlns="http://schemas.openxmlformats.org/spreadsheetml/2006/main" count="1766" uniqueCount="670">
  <si>
    <t>Q1 Goal</t>
  </si>
  <si>
    <t>Email</t>
  </si>
  <si>
    <t>Social</t>
  </si>
  <si>
    <t>SEM</t>
  </si>
  <si>
    <t>Display</t>
  </si>
  <si>
    <t>Lightbox</t>
  </si>
  <si>
    <t>Current Revenue</t>
  </si>
  <si>
    <t>Current # Gifts</t>
  </si>
  <si>
    <t>Goal Revenue</t>
  </si>
  <si>
    <t>Goal Gifts</t>
  </si>
  <si>
    <t>% to goal Revenue</t>
  </si>
  <si>
    <t>% to goal # Gifts</t>
  </si>
  <si>
    <t>November</t>
  </si>
  <si>
    <t>TOTAL</t>
  </si>
  <si>
    <t>December</t>
  </si>
  <si>
    <t>BF Codes</t>
  </si>
  <si>
    <t>October</t>
  </si>
  <si>
    <t>FY 21 Goal</t>
  </si>
  <si>
    <t>Q2 Goal</t>
  </si>
  <si>
    <t xml:space="preserve"> - </t>
  </si>
  <si>
    <t>Revenue to Goal</t>
  </si>
  <si>
    <t># Gifts to Goal</t>
  </si>
  <si>
    <t>% to goal</t>
  </si>
  <si>
    <t>CURRENT REVENUE</t>
  </si>
  <si>
    <t>FY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</si>
  <si>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</si>
  <si>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</si>
  <si>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</si>
  <si>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</si>
  <si>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</si>
  <si>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</si>
  <si>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</si>
  <si>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</si>
  <si>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EMAIL</t>
  </si>
  <si>
    <t>SOCIAL</t>
  </si>
  <si>
    <t>DISPLAY</t>
  </si>
  <si>
    <t>SEARCH</t>
  </si>
  <si>
    <t>Google Search Discovery Retargeting</t>
  </si>
  <si>
    <t>Google Search Discovery Prospecting</t>
  </si>
  <si>
    <t>Google Search Brand Exact</t>
  </si>
  <si>
    <t>Google Search NonBrand Exact</t>
  </si>
  <si>
    <t>Google Grant Brand Exact</t>
  </si>
  <si>
    <t>Google Grant NonBrand Exact</t>
  </si>
  <si>
    <t>Bing Search Brand Exact</t>
  </si>
  <si>
    <t>Bing Search NonBrand Exact</t>
  </si>
  <si>
    <t>BB21001ALPSAAA</t>
  </si>
  <si>
    <t>BB21002ALPSAAA</t>
  </si>
  <si>
    <t>BB21003ALPSAAA</t>
  </si>
  <si>
    <t>LIGHTBOX</t>
  </si>
  <si>
    <t>APPEAL CODE</t>
  </si>
  <si>
    <t>Revenue</t>
  </si>
  <si>
    <t>DMI Gifts</t>
  </si>
  <si>
    <t>REVENUE</t>
  </si>
  <si>
    <t>DMI GIFTS</t>
  </si>
  <si>
    <t>GOAL</t>
  </si>
  <si>
    <t>% to Goal</t>
  </si>
  <si>
    <t>w/ Sustainers</t>
  </si>
  <si>
    <t>TOTAL - control</t>
  </si>
  <si>
    <t>TOTAL - test</t>
  </si>
  <si>
    <t>JULY 4th TENTPOLE</t>
  </si>
  <si>
    <t>MH21032FADMAA07</t>
  </si>
  <si>
    <t>MH21032FANMAA07</t>
  </si>
  <si>
    <t>MH21033FADMAA07</t>
  </si>
  <si>
    <t>MH21033FANMAA07</t>
  </si>
  <si>
    <t>MH21033FIDMAA07</t>
  </si>
  <si>
    <t>AD21033FASMAA07</t>
  </si>
  <si>
    <t>MH21034FADMAB07</t>
  </si>
  <si>
    <t>MH21034FANMAB07</t>
  </si>
  <si>
    <t>MH21034FADMAC07</t>
  </si>
  <si>
    <t>MH21034FANMAC07</t>
  </si>
  <si>
    <t>MH21035FADMAA07</t>
  </si>
  <si>
    <t>MH21035FANMAA07</t>
  </si>
  <si>
    <t>MH21036FTYAAA07</t>
  </si>
  <si>
    <t>LEGACY 6.25 - 7.5</t>
  </si>
  <si>
    <t>Google Search Brand Phrase</t>
  </si>
  <si>
    <t>Google Search NonBrand Phrase</t>
  </si>
  <si>
    <t>Google Grant Brand Phrase</t>
  </si>
  <si>
    <t>Google Grant NonBrand Phrase</t>
  </si>
  <si>
    <t>Bing Search Brand Phrase</t>
  </si>
  <si>
    <t>Bing Search NonBrand Phrase</t>
  </si>
  <si>
    <t>BS21027FAADSRMA</t>
  </si>
  <si>
    <t>BS21027FAADSPMA</t>
  </si>
  <si>
    <t>BS21027FAABREMA</t>
  </si>
  <si>
    <t>BS21027FAABRHMA</t>
  </si>
  <si>
    <t>BS21027FAANBEMA</t>
  </si>
  <si>
    <t>BS21027FAANBHMA</t>
  </si>
  <si>
    <t>BS21027FABBREMA</t>
  </si>
  <si>
    <t>BS21027FABBRHMA</t>
  </si>
  <si>
    <t>BS21027FABNBEMA</t>
  </si>
  <si>
    <t>BS21027FABNBHMA</t>
  </si>
  <si>
    <t>BS21027FACBREMA</t>
  </si>
  <si>
    <t>BS21027FACBRHMA</t>
  </si>
  <si>
    <t>BS21027FACNBEMA</t>
  </si>
  <si>
    <t>BS21027FACNBHMA</t>
  </si>
  <si>
    <t>July 4 - Sean Karpf - Prospecting</t>
  </si>
  <si>
    <t>July 4 - Sean Karpf - Retargeting</t>
  </si>
  <si>
    <t>July 4 - Chris Gordon - Prospecting</t>
  </si>
  <si>
    <t>July 4 - Chris Gordon - Retargeting</t>
  </si>
  <si>
    <t>July 4 Video - Prospecting</t>
  </si>
  <si>
    <t>July 4 Video - Retargeting</t>
  </si>
  <si>
    <t>Post-July 4 - Retargeting</t>
  </si>
  <si>
    <t>Post-July 4 - Prospecting</t>
  </si>
  <si>
    <t>YF21027FFPRMAA</t>
  </si>
  <si>
    <t>YF21027FFRTMAA</t>
  </si>
  <si>
    <t>YF21028FFPRMAA</t>
  </si>
  <si>
    <t>YF21028FFRTMAA</t>
  </si>
  <si>
    <t>YF21029FFPRMAA</t>
  </si>
  <si>
    <t>YF21029FFRTMAA</t>
  </si>
  <si>
    <t>YF21030FFPRLGA</t>
  </si>
  <si>
    <t>July 4 Banner - Sean Karpf - Retargeting</t>
  </si>
  <si>
    <t>July 4 Banner - Sean Karpf - Prospecting</t>
  </si>
  <si>
    <t>July 4 Lead Gen - Prospecting</t>
  </si>
  <si>
    <t>BB21009FGPSMAA</t>
  </si>
  <si>
    <t>BB21009FGRTMAA</t>
  </si>
  <si>
    <t>July 4 - Sean Karpf</t>
  </si>
  <si>
    <t>BLB21017FMAA06</t>
  </si>
  <si>
    <t>TOTAL July 4th</t>
  </si>
  <si>
    <t>DMI Revenue</t>
  </si>
  <si>
    <t>YF21035FFPRMAA</t>
  </si>
  <si>
    <t>YF21035FFRTMAA</t>
  </si>
  <si>
    <t>2465 leads</t>
  </si>
  <si>
    <t>07.01.21 - Pre-July 4 - Active Donors</t>
  </si>
  <si>
    <t>07.01.21 - Pre-July 4 - Active NonDonors</t>
  </si>
  <si>
    <t>07.04.21 - July Day Of Video - Active Donors</t>
  </si>
  <si>
    <t>07.04.21 - July Day Of Video - Active NonDonors</t>
  </si>
  <si>
    <t>07.04.21 - July Day Of Video - Inactive Donors</t>
  </si>
  <si>
    <t>07.04.21 - July Day Of Video - Sustainers</t>
  </si>
  <si>
    <t>TOTAL w/ Sustainers</t>
  </si>
  <si>
    <t>TOTAL w/o Sustainers</t>
  </si>
  <si>
    <t>07.05.21 - Post July 4 - Control (FWD: format) - Active Donors</t>
  </si>
  <si>
    <t>07.05.21 - Post July 4 - Control (FWD: format) - Active NonDonors</t>
  </si>
  <si>
    <t>07.05.21 - Post July 4 - Test (Linnington Unformatted) - Active Donors</t>
  </si>
  <si>
    <t>07.05.21 - Post July 4 - Test (Linnington Unformatted) - Active NonDonors</t>
  </si>
  <si>
    <t>07.06.21 - July 4 Follow Up - Active Donors</t>
  </si>
  <si>
    <t>07.06.21 - July 4 Follow Up - Active NonDonors</t>
  </si>
  <si>
    <t xml:space="preserve">07.09.21 - July 4 Match Thank You </t>
  </si>
  <si>
    <t>TOTAL - w/o sustainers</t>
  </si>
  <si>
    <t>TOTAL - w/ sustainers</t>
  </si>
  <si>
    <t>All channels - w/o sustainers</t>
  </si>
  <si>
    <t>% of goal</t>
  </si>
  <si>
    <t>Display - Goodway</t>
  </si>
  <si>
    <t>Display - Total</t>
  </si>
  <si>
    <t>Revenue Goal</t>
  </si>
  <si>
    <t>Revenue to Date</t>
  </si>
  <si>
    <t>9/11 - Digital Revenue</t>
  </si>
  <si>
    <t>Display - Legacy (9/1 - 9/13)</t>
  </si>
  <si>
    <t>EMAIL - no sustainers</t>
  </si>
  <si>
    <t>EMAIL - w. sustainers</t>
  </si>
  <si>
    <t>FY20</t>
  </si>
  <si>
    <t>YoY</t>
  </si>
  <si>
    <t>Q1</t>
  </si>
  <si>
    <t>YoY to date</t>
  </si>
  <si>
    <t>FY to date</t>
  </si>
  <si>
    <t>Programmatic</t>
  </si>
  <si>
    <t>FYTD YOY</t>
  </si>
  <si>
    <t>Full Previous FY Totals</t>
  </si>
  <si>
    <t>Totals</t>
  </si>
  <si>
    <t>April</t>
  </si>
  <si>
    <t>% to Total</t>
  </si>
  <si>
    <t>Q2</t>
  </si>
  <si>
    <t>Q3</t>
  </si>
  <si>
    <t>Legacy</t>
  </si>
  <si>
    <t>Prog + Legacy</t>
  </si>
  <si>
    <t>-</t>
  </si>
  <si>
    <t>Q4</t>
  </si>
  <si>
    <t>Channel</t>
  </si>
  <si>
    <t>FY24</t>
  </si>
  <si>
    <t>FYTD FY24</t>
  </si>
  <si>
    <t>FY25 Rev Goal</t>
  </si>
  <si>
    <t>% to Full FY24</t>
  </si>
  <si>
    <t>Month</t>
  </si>
  <si>
    <t>Projected Revenue</t>
  </si>
  <si>
    <t>Quarter</t>
  </si>
  <si>
    <t>Quarter Rollup</t>
  </si>
  <si>
    <t>Month Rollup</t>
  </si>
  <si>
    <t>FY25</t>
  </si>
  <si>
    <t>FY Rollup</t>
  </si>
  <si>
    <t>* Below YOY #s pulled from 11.06.23</t>
  </si>
  <si>
    <t>By channel - Topline</t>
  </si>
  <si>
    <t>UNOFFICIAL VETS DAY TOTAL</t>
  </si>
  <si>
    <t>GIFTS</t>
  </si>
  <si>
    <t>CHANNEL</t>
  </si>
  <si>
    <t>TO LST YR TOT (REV):</t>
  </si>
  <si>
    <t>FY24 TENTPOLE TOTAL</t>
  </si>
  <si>
    <t>LB/HERO</t>
  </si>
  <si>
    <t>% DIFFERENCE FROM LAST YEAR</t>
  </si>
  <si>
    <t>PROG (no leg)</t>
  </si>
  <si>
    <t>LEGACY</t>
  </si>
  <si>
    <t>TEXT</t>
  </si>
  <si>
    <t>LIGHTBOX/HERO</t>
  </si>
  <si>
    <t>Creative</t>
  </si>
  <si>
    <t>Appeal Code</t>
  </si>
  <si>
    <t>Gifts</t>
  </si>
  <si>
    <t>Unlock Vets Day Match Graphic PR 2024</t>
  </si>
  <si>
    <t>YF24067BFPRAAA</t>
  </si>
  <si>
    <t>Vets Day Hero</t>
  </si>
  <si>
    <t>Schei Fam</t>
  </si>
  <si>
    <t>BLB24046BMAA11</t>
  </si>
  <si>
    <t>Unlock Vets Day Match Graphic RT 2024</t>
  </si>
  <si>
    <t>YF24067BFRTAAA</t>
  </si>
  <si>
    <t>Vets Day Hero (not too late)</t>
  </si>
  <si>
    <t>BLB24047BMAA11</t>
  </si>
  <si>
    <t>Unlock Vets Day Match Video PR 2024</t>
  </si>
  <si>
    <t>YF24068BFPRAAA</t>
  </si>
  <si>
    <t>Vets Day LB v1 TEST</t>
  </si>
  <si>
    <t>Jason Ehrhart</t>
  </si>
  <si>
    <t>BLB24048BMAC11</t>
  </si>
  <si>
    <t>Unlock Vets Day Match Video RT 2024</t>
  </si>
  <si>
    <t>YF24068BFRTAAA</t>
  </si>
  <si>
    <t>Vets Day LB v1 CONT</t>
  </si>
  <si>
    <t>BLB24048BMAB11</t>
  </si>
  <si>
    <t>Thank a Warrior – Lead Gen PR 2024</t>
  </si>
  <si>
    <t>YF24069BFPRAAA</t>
  </si>
  <si>
    <t>Vets Day LB v2 TEST</t>
  </si>
  <si>
    <t>RBD Video</t>
  </si>
  <si>
    <t>BLB24049BMAC11</t>
  </si>
  <si>
    <t>RBD Vets Day Video PR 2024</t>
  </si>
  <si>
    <t>YF24070BFPRMAA</t>
  </si>
  <si>
    <t>Vets Day LB v2 CONT</t>
  </si>
  <si>
    <t>BLB24049BMAB11</t>
  </si>
  <si>
    <t>RBD Vets Day Video RT 2024</t>
  </si>
  <si>
    <t>YF24070BFRTMAA</t>
  </si>
  <si>
    <t>Vets Day LB v3 TEST</t>
  </si>
  <si>
    <t>Mark Lalli</t>
  </si>
  <si>
    <t>BLB24050BMAC11</t>
  </si>
  <si>
    <t>Mark Lalli Video PR 2024</t>
  </si>
  <si>
    <t>YF24071BFPRMAA</t>
  </si>
  <si>
    <t>Vets Day LB v3 CONT</t>
  </si>
  <si>
    <t>BLB24050BMAB11</t>
  </si>
  <si>
    <t>Mark Lalli Video RT 2024</t>
  </si>
  <si>
    <t>YF24071BFRTMAA</t>
  </si>
  <si>
    <t>FY25 LIGHTBOX/HERO TOTAL</t>
  </si>
  <si>
    <t>Camo Gif PR 2024</t>
  </si>
  <si>
    <t>YF24072BFPRMAA</t>
  </si>
  <si>
    <t>FY24 LIGHTBOX/HERO TOTAL</t>
  </si>
  <si>
    <t>Camo Gif RT 2024</t>
  </si>
  <si>
    <t>YF24072BFRTMAA</t>
  </si>
  <si>
    <t>Vets Day Flag Premium PR 2024</t>
  </si>
  <si>
    <t>YF24073BFPRMPA</t>
  </si>
  <si>
    <t>Vets Day Flag Premium RT 2024</t>
  </si>
  <si>
    <t>YF24073BFRTMPA</t>
  </si>
  <si>
    <t>Vets Day It’s Not Too Late PR 2024</t>
  </si>
  <si>
    <t>YF24074BFPRMAA</t>
  </si>
  <si>
    <t>Vets Day It’s Not Too Late RT 2024</t>
  </si>
  <si>
    <t>YF24074BFRTMAA</t>
  </si>
  <si>
    <t>Google Search Demand Gen Prospecting</t>
  </si>
  <si>
    <t>BS24030BAADSPMA</t>
  </si>
  <si>
    <t>FY25 SOCIAL TOTAL</t>
  </si>
  <si>
    <t>Google Search Demand Gen Retargeting</t>
  </si>
  <si>
    <t>BS24030BAADSRMA</t>
  </si>
  <si>
    <t>FY24 SOCIAL TOTAL</t>
  </si>
  <si>
    <t>BS24030BAABREMA</t>
  </si>
  <si>
    <t>BS24030BAABRHMA</t>
  </si>
  <si>
    <t>BS24030BAANBEMA</t>
  </si>
  <si>
    <t>BS24030BAANBHMA</t>
  </si>
  <si>
    <t>CREATIVE</t>
  </si>
  <si>
    <t>BS24030BABBREMA</t>
  </si>
  <si>
    <t>VDay-UnlockMatch1-TEST</t>
  </si>
  <si>
    <t>MH24104BADAAC10</t>
  </si>
  <si>
    <t>BS24030BABBRHMA</t>
  </si>
  <si>
    <t>VDay-UnlockMatch1-CONT</t>
  </si>
  <si>
    <t>MH24104BADAAB10</t>
  </si>
  <si>
    <t>BS24030BABNBEMA</t>
  </si>
  <si>
    <t>MH24104BANAAC10</t>
  </si>
  <si>
    <t>BS24030BABNBHMA</t>
  </si>
  <si>
    <t>MH24104BANAAB10</t>
  </si>
  <si>
    <t>BS24030BACBREMA</t>
  </si>
  <si>
    <t>VDay-UnlockMatch1</t>
  </si>
  <si>
    <t>MH24104BIDAAA10</t>
  </si>
  <si>
    <t>BS24030BACBRHMA</t>
  </si>
  <si>
    <t>VDay-UnlockMatch2-TEST</t>
  </si>
  <si>
    <t>MH24105BADAAC10</t>
  </si>
  <si>
    <t>BS24030BACNBEMA</t>
  </si>
  <si>
    <t>VDay-UnlockMatch2-CONT</t>
  </si>
  <si>
    <t>MH24105BADAAB10</t>
  </si>
  <si>
    <t>BS24030BACNBHMA</t>
  </si>
  <si>
    <t>MH24105BANAAC10</t>
  </si>
  <si>
    <t>Google Search Performance Max</t>
  </si>
  <si>
    <t>BS24030BAAPMFMA</t>
  </si>
  <si>
    <t>MH24105BANAAB10</t>
  </si>
  <si>
    <t>FY25 SEARCH TOTAL</t>
  </si>
  <si>
    <t>VDay1-Launch</t>
  </si>
  <si>
    <t>MH24107BADMAA11</t>
  </si>
  <si>
    <t>FY24 SEARCH TOTAL</t>
  </si>
  <si>
    <t>MH24107BANMAA11</t>
  </si>
  <si>
    <t>MH24107BIDMAA11</t>
  </si>
  <si>
    <t>VDay2-Early-TEST</t>
  </si>
  <si>
    <t>MH24108BADMAC11</t>
  </si>
  <si>
    <t>PROGRAMMATIC (NO LEGACY)</t>
  </si>
  <si>
    <t>VDay2-Early-CONT</t>
  </si>
  <si>
    <t>MH24108BADMAB11</t>
  </si>
  <si>
    <t>MH24108BANMAC11</t>
  </si>
  <si>
    <t>Camouflage</t>
  </si>
  <si>
    <t>BBB24099BDAQMAA</t>
  </si>
  <si>
    <t>MH24108BANMAB11</t>
  </si>
  <si>
    <t>BBB24099BDRTMAA</t>
  </si>
  <si>
    <t>VDay3-CaringAbVets-TEST</t>
  </si>
  <si>
    <t>MH24109BADMAC11</t>
  </si>
  <si>
    <t>BBB24099BDPDMAA</t>
  </si>
  <si>
    <t>VDay3-CaringAbVets-CONT</t>
  </si>
  <si>
    <t>MH24109BADMAB11</t>
  </si>
  <si>
    <t>BBB24100BDAQMAA</t>
  </si>
  <si>
    <t>MH24109BANMAC11</t>
  </si>
  <si>
    <t>BBB24100BDRTMAA</t>
  </si>
  <si>
    <t>MH24109BANMAB11</t>
  </si>
  <si>
    <t>BBB24100BDPDMAA</t>
  </si>
  <si>
    <t>VDay4-SecureYourMatch</t>
  </si>
  <si>
    <t>MH24110BADMAA11</t>
  </si>
  <si>
    <t>Native</t>
  </si>
  <si>
    <t>BBE24101BDAQMAA</t>
  </si>
  <si>
    <t>MH24110BANMAA11</t>
  </si>
  <si>
    <t>BBE24101BDRTMAA</t>
  </si>
  <si>
    <t>VDay5-FlagWithMatch</t>
  </si>
  <si>
    <t>MH24111BADMPA11</t>
  </si>
  <si>
    <t>BBE24101BDPDMAA</t>
  </si>
  <si>
    <t>MH24111BANMPA11</t>
  </si>
  <si>
    <t>BBE24102BDAQMAA</t>
  </si>
  <si>
    <t>MH24111BIDMPA11</t>
  </si>
  <si>
    <t>BBE24102BDRTMAA</t>
  </si>
  <si>
    <t>VDay6-DayOf-AM</t>
  </si>
  <si>
    <t>MH24112BADMAA11</t>
  </si>
  <si>
    <t>BBE24102BDPDMAA</t>
  </si>
  <si>
    <t>MH24112BANMAA11</t>
  </si>
  <si>
    <t>Video Online</t>
  </si>
  <si>
    <t>Vets Day Video RBD</t>
  </si>
  <si>
    <t>BBD24103BDAQMAA</t>
  </si>
  <si>
    <t>MH24112BIDMAA11</t>
  </si>
  <si>
    <t>BBD24103BDRTMAA</t>
  </si>
  <si>
    <t>VDay7-DayOf-PM</t>
  </si>
  <si>
    <t>MH24113BADMAA11</t>
  </si>
  <si>
    <t>BBD24103BDPDMAA</t>
  </si>
  <si>
    <t>MH24113BANMAA11</t>
  </si>
  <si>
    <t>Streaming Audio</t>
  </si>
  <si>
    <t>BBA24104BDAQMAA</t>
  </si>
  <si>
    <t>VDay8-DayOf-Late</t>
  </si>
  <si>
    <t>MH24114BADMAA11</t>
  </si>
  <si>
    <t>BBA24104BDRTMAA</t>
  </si>
  <si>
    <t>MH24114BANMAA11</t>
  </si>
  <si>
    <t>BBA24104BDPDMAA</t>
  </si>
  <si>
    <t>VDay9-Follow-Up</t>
  </si>
  <si>
    <t>MH24115BADMAA11</t>
  </si>
  <si>
    <t>CTV</t>
  </si>
  <si>
    <t>Vets Day</t>
  </si>
  <si>
    <t>BBC24105BDAQMAB</t>
  </si>
  <si>
    <t>MH24115BANMAA11</t>
  </si>
  <si>
    <t>BBC24105BDAQMAC</t>
  </si>
  <si>
    <t>VDay10-FWDofFU</t>
  </si>
  <si>
    <t>MH24116BADMAA11</t>
  </si>
  <si>
    <t>BBC24105BDAQMAA</t>
  </si>
  <si>
    <t>MH24116BANMAA11</t>
  </si>
  <si>
    <t>FY25 PROGRAMMATIC TOTAL</t>
  </si>
  <si>
    <t>MH24116BIDMAA11</t>
  </si>
  <si>
    <t>FY24 PROGRAMMATIC TOTAL</t>
  </si>
  <si>
    <t>Vets Day Thank You</t>
  </si>
  <si>
    <t>MH24118BTYAAA11</t>
  </si>
  <si>
    <t>FY25 EMAIL TOTAL (Sustainer Mailing Removed)</t>
  </si>
  <si>
    <t>FY24 EMAIL TOTAL (Sustainer Mailing Removerd)</t>
  </si>
  <si>
    <t>Note: For reporting purposes, only revenue that has sustainer mailing removed should be used.</t>
  </si>
  <si>
    <t>CLIO</t>
  </si>
  <si>
    <t>BBB24011ALAQAAA</t>
  </si>
  <si>
    <t>Featured Charity</t>
  </si>
  <si>
    <t>BBB24013ALAQAAA</t>
  </si>
  <si>
    <t>TEXTING</t>
  </si>
  <si>
    <t>Keyword</t>
  </si>
  <si>
    <t>BBB24012ALAQAAA</t>
  </si>
  <si>
    <t>BBB24028ALAQAAA</t>
  </si>
  <si>
    <t>BBB24057ALAQAAA</t>
  </si>
  <si>
    <t>BBB24058ALAQAAA</t>
  </si>
  <si>
    <t>FY25 TEXTING TOTAL</t>
  </si>
  <si>
    <t>FY25 LEGACY TOTAL</t>
  </si>
  <si>
    <t>FY24 LEGACY TOTAL</t>
  </si>
  <si>
    <t xml:space="preserve">Note: Legacy is tracked by day. The gifts and revenue are all three codes together rather than separately. They are listed here for tracking purposes. </t>
  </si>
  <si>
    <t>LEGACY (10/29-11/13)</t>
  </si>
  <si>
    <t>---- Results as of 11/22/2024 ----</t>
  </si>
  <si>
    <t>UNOFFICIAL GIVING TUESDAY TOTAL</t>
  </si>
  <si>
    <t>RBD GT video PR 2024</t>
  </si>
  <si>
    <t>YF24081CFPRMAA</t>
  </si>
  <si>
    <t>GT Hero - main match</t>
  </si>
  <si>
    <t>Josh Sommers</t>
  </si>
  <si>
    <t>BLB24053CMAB11</t>
  </si>
  <si>
    <t>RBD GT video RT 2024</t>
  </si>
  <si>
    <t>YF24081CFRTMAA</t>
  </si>
  <si>
    <t>GT Hero - match extension</t>
  </si>
  <si>
    <t>N/A</t>
  </si>
  <si>
    <t>BLB24054CMAB12</t>
  </si>
  <si>
    <t>GT Calendar PR 2024</t>
  </si>
  <si>
    <t>YF24082CFPRMAA</t>
  </si>
  <si>
    <t>GT LB V1</t>
  </si>
  <si>
    <t>Erik Schei</t>
  </si>
  <si>
    <t>BLB24055CMAB11</t>
  </si>
  <si>
    <t>GT Calendar RT 2024</t>
  </si>
  <si>
    <t>YF24082CFRTMAA</t>
  </si>
  <si>
    <t>GT LB V2</t>
  </si>
  <si>
    <t>BLB24056CMAB12</t>
  </si>
  <si>
    <t>GT Anthony V. PR 2024</t>
  </si>
  <si>
    <t>YF24083CFPRMAA</t>
  </si>
  <si>
    <t>GT LB V3</t>
  </si>
  <si>
    <t>Sean Karpf</t>
  </si>
  <si>
    <t>BLB24057CMAB12</t>
  </si>
  <si>
    <t>GT Anthony V. RT 2024</t>
  </si>
  <si>
    <t>YF24083CFRTMAA</t>
  </si>
  <si>
    <t>GT Day-of – Josh S PR 2024</t>
  </si>
  <si>
    <t>YF24084CFPRMAA</t>
  </si>
  <si>
    <t>GT Day-of – Josh S RT 2024</t>
  </si>
  <si>
    <t>YF24084CFRTMAA</t>
  </si>
  <si>
    <t>GT Match Extension PR 2024</t>
  </si>
  <si>
    <t>YF24085CFPRMAA</t>
  </si>
  <si>
    <t>GT Match Extension RT 2024</t>
  </si>
  <si>
    <t>YF24085CFRTMAA</t>
  </si>
  <si>
    <t>BS24031CAADSPMA</t>
  </si>
  <si>
    <t>BS24031CAADSRMA</t>
  </si>
  <si>
    <t>BS24031CAABREMA</t>
  </si>
  <si>
    <t>BS24031CAABRHMA</t>
  </si>
  <si>
    <t>BS24031CAANBEMA</t>
  </si>
  <si>
    <t>GT1 - EA Launch</t>
  </si>
  <si>
    <t>MH24120CADMAA11</t>
  </si>
  <si>
    <t>BS24031CAANBHMA</t>
  </si>
  <si>
    <t>MH24120CANMAA11</t>
  </si>
  <si>
    <t>BS24031CABBREMA</t>
  </si>
  <si>
    <t>MH24120CIDMAA11</t>
  </si>
  <si>
    <t>BS24031CABBRHMA</t>
  </si>
  <si>
    <t>GT2 - Trace - EA</t>
  </si>
  <si>
    <t>MH24121CADMAA11</t>
  </si>
  <si>
    <t>BS24031CABNBEMA</t>
  </si>
  <si>
    <t>MH24121CANMAA11</t>
  </si>
  <si>
    <t>BS24031CABNBHMA</t>
  </si>
  <si>
    <t>GT3 - Pre-Giving Tues</t>
  </si>
  <si>
    <t>MH24122CADMAA12</t>
  </si>
  <si>
    <t>BS24031CACBREMA</t>
  </si>
  <si>
    <t>MH24122CANMAA12</t>
  </si>
  <si>
    <t>BS24031CACBRHMA</t>
  </si>
  <si>
    <t>GT4 - FWD of GT3</t>
  </si>
  <si>
    <t>MH24123CADMAA12</t>
  </si>
  <si>
    <t>BS24031CACNBEMA</t>
  </si>
  <si>
    <t>MH24123CANMAA12</t>
  </si>
  <si>
    <t>BS24031CACNBHMA</t>
  </si>
  <si>
    <t>GT5 - Day-Of - AM</t>
  </si>
  <si>
    <t>MH24124CADMAA12</t>
  </si>
  <si>
    <t>BS24031CAAPMFMA</t>
  </si>
  <si>
    <t>MH24124CANMAA12</t>
  </si>
  <si>
    <t>MH24124CIDMAA12</t>
  </si>
  <si>
    <t>MH24124CINMAA12</t>
  </si>
  <si>
    <t>GT6 - Day-Of-WaltShort</t>
  </si>
  <si>
    <t>MH24125CADMAA12</t>
  </si>
  <si>
    <t>MH24125CANMAA12</t>
  </si>
  <si>
    <t>GT7 - Day-Of-Afternoon</t>
  </si>
  <si>
    <t>MH24126CADMAA12</t>
  </si>
  <si>
    <t>MH24126CANMAA12</t>
  </si>
  <si>
    <t>Calendar Graphic</t>
  </si>
  <si>
    <t>BBB24106CDAQMAA</t>
  </si>
  <si>
    <t>MH24126CIDMAA12</t>
  </si>
  <si>
    <t>BBB24106CDRTMAA</t>
  </si>
  <si>
    <t>GT8 - Day-Of-WeNeedYou</t>
  </si>
  <si>
    <t>MH24127CADMAA12</t>
  </si>
  <si>
    <t>BBB24106CDPDMAA</t>
  </si>
  <si>
    <t>MH24127CANMAA12</t>
  </si>
  <si>
    <t>Anthony Villarreal</t>
  </si>
  <si>
    <t>BBB24107CDAQMAA</t>
  </si>
  <si>
    <t>GT9 - Day-Of-VeryLate</t>
  </si>
  <si>
    <t>MH24128CADMAA12</t>
  </si>
  <si>
    <t>BBB24107CDRTMAA</t>
  </si>
  <si>
    <t>MH24128CANMAA12</t>
  </si>
  <si>
    <t>BBB24107CDPDMAA</t>
  </si>
  <si>
    <t>GT10 - Follow-Up Ext</t>
  </si>
  <si>
    <t>MH24129CADMAA12</t>
  </si>
  <si>
    <t>BBB24125CDAQMAA</t>
  </si>
  <si>
    <t>MH24129CANMAA12</t>
  </si>
  <si>
    <t>BBB24125CDRTMAA</t>
  </si>
  <si>
    <t>MH24129CIDMAA12</t>
  </si>
  <si>
    <t>BBB24125CDPDMAA</t>
  </si>
  <si>
    <t>GT11-FollowUpExt-Blurb</t>
  </si>
  <si>
    <t>MH24130CADMAA12</t>
  </si>
  <si>
    <t>BBE24108CDAQMAA</t>
  </si>
  <si>
    <t>MH24130CANMAA12</t>
  </si>
  <si>
    <t>BBE24108CDRTMAA</t>
  </si>
  <si>
    <t>GT12 - FU Challenge</t>
  </si>
  <si>
    <t>MH24131CADMAA12</t>
  </si>
  <si>
    <t>BBE24108CDPDMAA</t>
  </si>
  <si>
    <t>MH24131CANMAA12</t>
  </si>
  <si>
    <t>BBE24109CDAQMAA</t>
  </si>
  <si>
    <t>GT13 - FWD of GT12</t>
  </si>
  <si>
    <t>MH24132CADMAA12</t>
  </si>
  <si>
    <t>BBE24109CDRTMAA</t>
  </si>
  <si>
    <t>MH24132CANMAA12</t>
  </si>
  <si>
    <t>BBE24109CDPDMAA</t>
  </si>
  <si>
    <t>GT14 - Walt Final Ask</t>
  </si>
  <si>
    <t>MH24133CADMAA12</t>
  </si>
  <si>
    <t>BBE24126CDAQMAA</t>
  </si>
  <si>
    <t>MH24133CANMAA12</t>
  </si>
  <si>
    <t>BBE24126CDRTMAA</t>
  </si>
  <si>
    <t>MH24133CIDMAA12</t>
  </si>
  <si>
    <t>BBE24126CDPDMAA</t>
  </si>
  <si>
    <t>Giving Tues Thank You</t>
  </si>
  <si>
    <t>MH24134CTYAAA12</t>
  </si>
  <si>
    <t>Giving Tuesday (RBD)</t>
  </si>
  <si>
    <t>BBD24110CDAQMAA</t>
  </si>
  <si>
    <t>BBD24110CDRTMAA</t>
  </si>
  <si>
    <t>BBD24110CDPDMAA</t>
  </si>
  <si>
    <t>BBA24111CDAQMAA</t>
  </si>
  <si>
    <t>BBA24111CDRTMAA</t>
  </si>
  <si>
    <t>BBA24111CDPDMAA</t>
  </si>
  <si>
    <t>Giving Tuesday (Vanity URL)</t>
  </si>
  <si>
    <t>BBC24112CDAQMAB</t>
  </si>
  <si>
    <t>Giving Tuesday (QR code)</t>
  </si>
  <si>
    <t>BBC24112CDAQMAC</t>
  </si>
  <si>
    <t>GivingTuesday-Day-Of</t>
  </si>
  <si>
    <t>MT24003CADMAA12</t>
  </si>
  <si>
    <t>Giving Tuesday (Companion Banner)</t>
  </si>
  <si>
    <t>BBC24112CDAQMAA</t>
  </si>
  <si>
    <t>MT24003CANMAA12</t>
  </si>
  <si>
    <t>GivingTuesday-Post</t>
  </si>
  <si>
    <t>MT24004CADMAA12</t>
  </si>
  <si>
    <t>MT24004CANMAA12</t>
  </si>
  <si>
    <t>Text</t>
  </si>
  <si>
    <t>12.05.2024_0830</t>
  </si>
  <si>
    <t>12.09.2024</t>
  </si>
  <si>
    <t>* Below YOY #s pulled from 12.8.23</t>
  </si>
  <si>
    <t xml:space="preserve">Note: Legacy is tracked by day. The gifts and revenue are all codes together rather than separately. They are listed here for tracking purposes. </t>
  </si>
  <si>
    <t>---- Results as of 12/12/2024 ----</t>
  </si>
  <si>
    <t>Date Range</t>
  </si>
  <si>
    <t>UNOFFICIAL EOY TOTAL</t>
  </si>
  <si>
    <t>BY DAY REVENUE AND GIFTS</t>
  </si>
  <si>
    <t>DATE</t>
  </si>
  <si>
    <t>EOY FY23 Video PR 2024</t>
  </si>
  <si>
    <t>YF24090DFPRMAA</t>
  </si>
  <si>
    <t>EOY Hero</t>
  </si>
  <si>
    <t>Multiple</t>
  </si>
  <si>
    <t>BLB24060DMAA12</t>
  </si>
  <si>
    <t>EOY FY23 Video RT 2024</t>
  </si>
  <si>
    <t>YF24090DFRTMAA</t>
  </si>
  <si>
    <t>EOY LB V1</t>
  </si>
  <si>
    <t>BLB24061DMAA12</t>
  </si>
  <si>
    <t>EOY RBD Video – 15 sec PR 2024</t>
  </si>
  <si>
    <t>YF24091DFPRMAA</t>
  </si>
  <si>
    <t>EOY LB V2</t>
  </si>
  <si>
    <t>BLB24062DMAA12</t>
  </si>
  <si>
    <t>EOY RBD Video – 15 sec RT 2024</t>
  </si>
  <si>
    <t>YF24091DFRTMAA</t>
  </si>
  <si>
    <t>EOY Hero - Match Extension</t>
  </si>
  <si>
    <t>BLB25001DMAA01</t>
  </si>
  <si>
    <t>EOY Anthony Close-up PR 2024</t>
  </si>
  <si>
    <t>YF24092DFPRMAA</t>
  </si>
  <si>
    <t>EOY LB - Match Extension</t>
  </si>
  <si>
    <t>BLB25002DMAA01</t>
  </si>
  <si>
    <t>EOY Anthony Close-up RT 2024</t>
  </si>
  <si>
    <t>YF24092DFRTMAA</t>
  </si>
  <si>
    <t>EOY Anthony – last chance PR 2024</t>
  </si>
  <si>
    <t>YF24093DFPRMAA</t>
  </si>
  <si>
    <t>EOY Anthony – last chance RT 2024</t>
  </si>
  <si>
    <t>YF24093DFRTMAA</t>
  </si>
  <si>
    <t>EOY Match Extension PR 2025</t>
  </si>
  <si>
    <t>YF25001DFPRMAA</t>
  </si>
  <si>
    <t>EOY Match Extension RT 2025</t>
  </si>
  <si>
    <t>YF25001DFRTMAA</t>
  </si>
  <si>
    <t>BS24033DAADSPMA</t>
  </si>
  <si>
    <t>BS24033DAADSRMA</t>
  </si>
  <si>
    <t>BS24033DAABREMA</t>
  </si>
  <si>
    <t>BS24033DAABRHMA</t>
  </si>
  <si>
    <t>BS24033DAANBEMA</t>
  </si>
  <si>
    <t>EOY1-EarlyAccess</t>
  </si>
  <si>
    <t>MH24140DADMAA12</t>
  </si>
  <si>
    <t>BS24033DAANBHMA</t>
  </si>
  <si>
    <t>MH24140DANMAA12</t>
  </si>
  <si>
    <t>BS24033DABBREMA</t>
  </si>
  <si>
    <t>MH24140DIDMAA12</t>
  </si>
  <si>
    <t>BS24033DABBRHMA</t>
  </si>
  <si>
    <t>EOY2-EA Spprtr Record</t>
  </si>
  <si>
    <t>MH24141DADMAA12</t>
  </si>
  <si>
    <t>BS24033DABNBEMA</t>
  </si>
  <si>
    <t>MH24141DANMAA12</t>
  </si>
  <si>
    <t>BS24033DABNBHMA</t>
  </si>
  <si>
    <t>EOY3a-EA Trace-Signed</t>
  </si>
  <si>
    <t>MH24142DADMAA12</t>
  </si>
  <si>
    <t>BS24033DACBREMA</t>
  </si>
  <si>
    <t>MH24142DANMAA12</t>
  </si>
  <si>
    <t>BS24033DACBRHMA</t>
  </si>
  <si>
    <t>EOY3b-EAWaltFWDofTrace</t>
  </si>
  <si>
    <t>MH24143DADMAA12</t>
  </si>
  <si>
    <t>BS24033DACNBEMA</t>
  </si>
  <si>
    <t>MH24143DANMAA12</t>
  </si>
  <si>
    <t>BS24033DACNBHMA</t>
  </si>
  <si>
    <t>EOY4-MatchAnnouncement</t>
  </si>
  <si>
    <t>MH24144DADMAA12</t>
  </si>
  <si>
    <t>BS24033DAAPMFMA</t>
  </si>
  <si>
    <t>MH24144DANMAA12</t>
  </si>
  <si>
    <t>Google Search Youtube</t>
  </si>
  <si>
    <t>BS24033DAAYTYMA</t>
  </si>
  <si>
    <t>MH24144DIDMAA12</t>
  </si>
  <si>
    <t>MH24144DINMAA12</t>
  </si>
  <si>
    <t>EOY5a-AnnncmntKicker</t>
  </si>
  <si>
    <t>MH24145DADMAA12</t>
  </si>
  <si>
    <t>MH24145DANMAA12</t>
  </si>
  <si>
    <t>EOY5b-2 Days Left</t>
  </si>
  <si>
    <t>MH24146DADMAA12</t>
  </si>
  <si>
    <t>MH24146DANMAA12</t>
  </si>
  <si>
    <t>EOY6a-48 Hours Left</t>
  </si>
  <si>
    <t>MH24147DADMAA12</t>
  </si>
  <si>
    <t>Aquisition</t>
  </si>
  <si>
    <t>BBB24121DDAQMAA</t>
  </si>
  <si>
    <t>MH24147DANMAA12</t>
  </si>
  <si>
    <t>Retargeting</t>
  </si>
  <si>
    <t>BBB24121DDRTMAA</t>
  </si>
  <si>
    <t>EOY6b-Counting on You</t>
  </si>
  <si>
    <t>MH24148DADMAA12</t>
  </si>
  <si>
    <t>Prior Donors</t>
  </si>
  <si>
    <t>BBB24121DDPDMAA</t>
  </si>
  <si>
    <t>MH24148DANMAA12</t>
  </si>
  <si>
    <t>BBB24122DDAQMAA</t>
  </si>
  <si>
    <t>EOY6c-Anthony-Signed</t>
  </si>
  <si>
    <t>MH24149DADMAA12</t>
  </si>
  <si>
    <t>BBB24122DDRTMAA</t>
  </si>
  <si>
    <t>MH24149DANMAA12</t>
  </si>
  <si>
    <t>BBB24122DDPDMAA</t>
  </si>
  <si>
    <t>EOY6d-CntngOnYouBlurb</t>
  </si>
  <si>
    <t>MH24150DADMAA12</t>
  </si>
  <si>
    <t>BBE24123DDAQMAA</t>
  </si>
  <si>
    <t>MH24150DANMAA12</t>
  </si>
  <si>
    <t>BBE24123DDRTMAA</t>
  </si>
  <si>
    <t>EOY7a-Final Day</t>
  </si>
  <si>
    <t>MH24151DADMAA12</t>
  </si>
  <si>
    <t>BBE24123DDPDMAA</t>
  </si>
  <si>
    <t>MH24151DANMAA12</t>
  </si>
  <si>
    <t>BBE24124DDAQMAA</t>
  </si>
  <si>
    <t>MH24151DIDMAA12</t>
  </si>
  <si>
    <t>BBE24124DDRTMAA</t>
  </si>
  <si>
    <t>EOY7b-Kicker of 7a</t>
  </si>
  <si>
    <t>MH24152DADMAA12</t>
  </si>
  <si>
    <t>BBE24124DDPDMAA</t>
  </si>
  <si>
    <t>MH24152DANMAA12</t>
  </si>
  <si>
    <t>Giving Season Match - Amazon</t>
  </si>
  <si>
    <t>BBC24119DZAQMAA</t>
  </si>
  <si>
    <t>EOY7c-Hours Left</t>
  </si>
  <si>
    <t>MH24153DADMAA12</t>
  </si>
  <si>
    <t>Giving Season Match</t>
  </si>
  <si>
    <t>BBD24113DDAQMAA</t>
  </si>
  <si>
    <t>MH24153DANMAA12</t>
  </si>
  <si>
    <t>BBD24113DDRTMAA</t>
  </si>
  <si>
    <t>EOY7d-Walt Short</t>
  </si>
  <si>
    <t>MH24154DADMAA12</t>
  </si>
  <si>
    <t>BBD24113DDPDMAA</t>
  </si>
  <si>
    <t>MH24154DANMAA12</t>
  </si>
  <si>
    <t>BBA24114DDAQMAA</t>
  </si>
  <si>
    <t>EOYExt1-MatchExtended</t>
  </si>
  <si>
    <t>MH25001DADMAA01</t>
  </si>
  <si>
    <t>BBA24114DDRTMAA</t>
  </si>
  <si>
    <t>MH25001DANMAA01</t>
  </si>
  <si>
    <t>BBA24114DDPDMAA</t>
  </si>
  <si>
    <t>EOYExt2-Last Chance</t>
  </si>
  <si>
    <t>MH25002DADMAA01</t>
  </si>
  <si>
    <t>Giving Season Match (Vanity URL)</t>
  </si>
  <si>
    <t>BBC24119DDAQMAB</t>
  </si>
  <si>
    <t>MH25002DANMAA01</t>
  </si>
  <si>
    <t>Giving Season Match (QR code)</t>
  </si>
  <si>
    <t>BBC24119DDAQMAC</t>
  </si>
  <si>
    <t>EOY Thank You</t>
  </si>
  <si>
    <t>MH25003DTYAAA01</t>
  </si>
  <si>
    <t>EOY1-Announcement</t>
  </si>
  <si>
    <t>MT24005DADMAA12</t>
  </si>
  <si>
    <t>MT24005DANMAA12</t>
  </si>
  <si>
    <t>EOY2-48Hours</t>
  </si>
  <si>
    <t>MT24006DADMAA12</t>
  </si>
  <si>
    <t>MT24006DANMAA12</t>
  </si>
  <si>
    <t>EOY3-FinalChance</t>
  </si>
  <si>
    <t>MT24007DADMAA12</t>
  </si>
  <si>
    <t>MT24007DANMAA12</t>
  </si>
  <si>
    <t>* Below YOY #s pulled from 01.08.24</t>
  </si>
  <si>
    <t>01.15.2025</t>
  </si>
  <si>
    <t>---- Results as of 01/24/2025 ----</t>
  </si>
  <si>
    <t>2.19.25</t>
  </si>
  <si>
    <t>* Below YOY #s pulled from 02.20.24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</si>
</sst>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[$-F800]dddd\,\ mmmm\ dd\,\ yyyy"/>
    <numFmt numFmtId="166" formatCode="_(* #,##0_);_(* \(#,##0\);_(* &quot;-&quot;??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3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8"/>
      <name val="Calibri"/>
      <family val="2"/>
      <scheme val="minor"/>
    </font>
    <font>
      <strike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b/>
      <strike/>
      <sz val="14"/>
      <color theme="1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trike/>
      <sz val="10"/>
      <name val="Calibri"/>
      <family val="2"/>
      <scheme val="minor"/>
    </font>
    <font>
      <b/>
      <strike/>
      <sz val="12"/>
      <name val="Calibri"/>
      <family val="2"/>
      <scheme val="minor"/>
    </font>
    <font>
      <i/>
      <sz val="9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1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6" fillId="0" borderId="0"/>
    <xf numFmtId="0" fontId="19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64">
    <xf numFmtId="0" fontId="0" fillId="0" borderId="0" xfId="0"/>
    <xf numFmtId="164" fontId="0" fillId="0" borderId="0" xfId="1" applyNumberFormat="1" applyFont="1"/>
    <xf numFmtId="10" fontId="0" fillId="0" borderId="0" xfId="2" applyNumberFormat="1" applyFont="1"/>
    <xf numFmtId="0" fontId="2" fillId="0" borderId="0" xfId="0" applyFont="1"/>
    <xf numFmtId="164" fontId="2" fillId="0" borderId="0" xfId="1" applyNumberFormat="1" applyFont="1" applyBorder="1"/>
    <xf numFmtId="10" fontId="2" fillId="0" borderId="0" xfId="2" applyNumberFormat="1" applyFont="1" applyBorder="1"/>
    <xf numFmtId="3" fontId="0" fillId="0" borderId="0" xfId="0" applyNumberFormat="1"/>
    <xf numFmtId="3" fontId="2" fillId="0" borderId="0" xfId="0" applyNumberFormat="1" applyFont="1"/>
    <xf numFmtId="44" fontId="0" fillId="0" borderId="0" xfId="0" applyNumberFormat="1"/>
    <xf numFmtId="10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/>
    </xf>
    <xf numFmtId="10" fontId="0" fillId="0" borderId="8" xfId="2" applyNumberFormat="1" applyFont="1" applyBorder="1"/>
    <xf numFmtId="164" fontId="0" fillId="0" borderId="8" xfId="2" applyNumberFormat="1" applyFont="1" applyBorder="1"/>
    <xf numFmtId="164" fontId="0" fillId="0" borderId="13" xfId="2" applyNumberFormat="1" applyFont="1" applyBorder="1"/>
    <xf numFmtId="164" fontId="2" fillId="0" borderId="9" xfId="2" applyNumberFormat="1" applyFont="1" applyBorder="1"/>
    <xf numFmtId="0" fontId="0" fillId="0" borderId="11" xfId="0" applyBorder="1"/>
    <xf numFmtId="0" fontId="0" fillId="0" borderId="12" xfId="0" applyBorder="1"/>
    <xf numFmtId="0" fontId="2" fillId="0" borderId="14" xfId="0" applyFont="1" applyBorder="1"/>
    <xf numFmtId="164" fontId="0" fillId="0" borderId="2" xfId="0" applyNumberFormat="1" applyBorder="1"/>
    <xf numFmtId="164" fontId="0" fillId="0" borderId="15" xfId="0" applyNumberFormat="1" applyBorder="1"/>
    <xf numFmtId="164" fontId="2" fillId="0" borderId="3" xfId="1" applyNumberFormat="1" applyFont="1" applyBorder="1"/>
    <xf numFmtId="164" fontId="0" fillId="0" borderId="5" xfId="1" applyNumberFormat="1" applyFont="1" applyBorder="1"/>
    <xf numFmtId="164" fontId="1" fillId="0" borderId="16" xfId="1" applyNumberFormat="1" applyFont="1" applyBorder="1"/>
    <xf numFmtId="164" fontId="2" fillId="0" borderId="6" xfId="1" applyNumberFormat="1" applyFont="1" applyBorder="1"/>
    <xf numFmtId="10" fontId="0" fillId="0" borderId="5" xfId="2" applyNumberFormat="1" applyFont="1" applyBorder="1"/>
    <xf numFmtId="10" fontId="1" fillId="0" borderId="16" xfId="2" applyNumberFormat="1" applyFont="1" applyBorder="1"/>
    <xf numFmtId="10" fontId="2" fillId="0" borderId="6" xfId="2" applyNumberFormat="1" applyFont="1" applyBorder="1"/>
    <xf numFmtId="3" fontId="0" fillId="0" borderId="2" xfId="0" applyNumberFormat="1" applyBorder="1"/>
    <xf numFmtId="3" fontId="0" fillId="0" borderId="15" xfId="0" applyNumberFormat="1" applyBorder="1"/>
    <xf numFmtId="3" fontId="2" fillId="0" borderId="3" xfId="0" applyNumberFormat="1" applyFont="1" applyBorder="1"/>
    <xf numFmtId="3" fontId="0" fillId="0" borderId="5" xfId="0" applyNumberFormat="1" applyBorder="1"/>
    <xf numFmtId="3" fontId="0" fillId="0" borderId="16" xfId="0" applyNumberFormat="1" applyBorder="1"/>
    <xf numFmtId="3" fontId="2" fillId="0" borderId="6" xfId="0" applyNumberFormat="1" applyFont="1" applyBorder="1"/>
    <xf numFmtId="9" fontId="0" fillId="0" borderId="5" xfId="2" applyFont="1" applyBorder="1"/>
    <xf numFmtId="9" fontId="0" fillId="0" borderId="5" xfId="2" applyFont="1" applyBorder="1" applyAlignment="1">
      <alignment horizontal="center"/>
    </xf>
    <xf numFmtId="9" fontId="0" fillId="0" borderId="16" xfId="2" applyFont="1" applyBorder="1"/>
    <xf numFmtId="9" fontId="2" fillId="0" borderId="6" xfId="2" applyFont="1" applyBorder="1"/>
    <xf numFmtId="9" fontId="1" fillId="0" borderId="5" xfId="2" applyFont="1" applyBorder="1"/>
    <xf numFmtId="9" fontId="1" fillId="0" borderId="16" xfId="2" applyFont="1" applyBorder="1"/>
    <xf numFmtId="0" fontId="2" fillId="2" borderId="10" xfId="0" applyFon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10" fontId="0" fillId="2" borderId="4" xfId="2" applyNumberFormat="1" applyFon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center"/>
    </xf>
    <xf numFmtId="10" fontId="2" fillId="2" borderId="6" xfId="2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0" fontId="2" fillId="2" borderId="9" xfId="2" applyNumberFormat="1" applyFont="1" applyFill="1" applyBorder="1" applyAlignment="1">
      <alignment horizontal="center"/>
    </xf>
    <xf numFmtId="10" fontId="0" fillId="2" borderId="7" xfId="2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9" fontId="0" fillId="0" borderId="8" xfId="2" applyFont="1" applyBorder="1"/>
    <xf numFmtId="0" fontId="3" fillId="0" borderId="14" xfId="0" applyFont="1" applyBorder="1"/>
    <xf numFmtId="164" fontId="3" fillId="0" borderId="3" xfId="1" applyNumberFormat="1" applyFont="1" applyBorder="1"/>
    <xf numFmtId="164" fontId="3" fillId="0" borderId="6" xfId="1" applyNumberFormat="1" applyFont="1" applyBorder="1"/>
    <xf numFmtId="10" fontId="3" fillId="0" borderId="6" xfId="2" applyNumberFormat="1" applyFont="1" applyBorder="1"/>
    <xf numFmtId="164" fontId="3" fillId="0" borderId="9" xfId="2" applyNumberFormat="1" applyFont="1" applyBorder="1"/>
    <xf numFmtId="3" fontId="3" fillId="0" borderId="3" xfId="0" applyNumberFormat="1" applyFont="1" applyBorder="1"/>
    <xf numFmtId="3" fontId="3" fillId="0" borderId="6" xfId="0" applyNumberFormat="1" applyFont="1" applyBorder="1"/>
    <xf numFmtId="9" fontId="3" fillId="0" borderId="6" xfId="2" applyFont="1" applyBorder="1"/>
    <xf numFmtId="164" fontId="0" fillId="0" borderId="5" xfId="2" applyNumberFormat="1" applyFont="1" applyBorder="1"/>
    <xf numFmtId="164" fontId="2" fillId="0" borderId="6" xfId="2" applyNumberFormat="1" applyFont="1" applyBorder="1"/>
    <xf numFmtId="164" fontId="0" fillId="0" borderId="16" xfId="2" applyNumberFormat="1" applyFont="1" applyBorder="1"/>
    <xf numFmtId="9" fontId="1" fillId="0" borderId="5" xfId="2" applyFont="1" applyBorder="1" applyAlignment="1">
      <alignment horizontal="center"/>
    </xf>
    <xf numFmtId="10" fontId="0" fillId="0" borderId="5" xfId="2" applyNumberFormat="1" applyFont="1" applyBorder="1" applyAlignment="1">
      <alignment horizontal="center"/>
    </xf>
    <xf numFmtId="164" fontId="0" fillId="0" borderId="17" xfId="2" applyNumberFormat="1" applyFont="1" applyBorder="1"/>
    <xf numFmtId="3" fontId="0" fillId="0" borderId="0" xfId="2" applyNumberFormat="1" applyFont="1"/>
    <xf numFmtId="3" fontId="0" fillId="2" borderId="7" xfId="2" applyNumberFormat="1" applyFont="1" applyFill="1" applyBorder="1" applyAlignment="1">
      <alignment horizontal="center"/>
    </xf>
    <xf numFmtId="3" fontId="2" fillId="2" borderId="9" xfId="2" applyNumberFormat="1" applyFont="1" applyFill="1" applyBorder="1" applyAlignment="1">
      <alignment horizontal="center"/>
    </xf>
    <xf numFmtId="3" fontId="0" fillId="0" borderId="8" xfId="2" applyNumberFormat="1" applyFont="1" applyBorder="1"/>
    <xf numFmtId="3" fontId="0" fillId="0" borderId="13" xfId="2" applyNumberFormat="1" applyFont="1" applyBorder="1"/>
    <xf numFmtId="3" fontId="3" fillId="0" borderId="9" xfId="2" applyNumberFormat="1" applyFont="1" applyBorder="1"/>
    <xf numFmtId="3" fontId="2" fillId="0" borderId="9" xfId="2" applyNumberFormat="1" applyFont="1" applyBorder="1"/>
    <xf numFmtId="3" fontId="2" fillId="0" borderId="0" xfId="2" applyNumberFormat="1" applyFont="1" applyBorder="1"/>
    <xf numFmtId="3" fontId="0" fillId="0" borderId="18" xfId="2" applyNumberFormat="1" applyFont="1" applyBorder="1"/>
    <xf numFmtId="3" fontId="0" fillId="0" borderId="19" xfId="2" applyNumberFormat="1" applyFont="1" applyBorder="1"/>
    <xf numFmtId="3" fontId="0" fillId="0" borderId="17" xfId="2" applyNumberFormat="1" applyFont="1" applyBorder="1"/>
    <xf numFmtId="164" fontId="0" fillId="0" borderId="0" xfId="1" applyNumberFormat="1" applyFont="1" applyFill="1"/>
    <xf numFmtId="164" fontId="0" fillId="0" borderId="0" xfId="0" applyNumberFormat="1"/>
    <xf numFmtId="164" fontId="0" fillId="0" borderId="11" xfId="1" applyNumberFormat="1" applyFont="1" applyBorder="1"/>
    <xf numFmtId="164" fontId="0" fillId="0" borderId="11" xfId="1" applyNumberFormat="1" applyFont="1" applyFill="1" applyBorder="1"/>
    <xf numFmtId="0" fontId="0" fillId="0" borderId="14" xfId="0" applyBorder="1"/>
    <xf numFmtId="0" fontId="0" fillId="0" borderId="9" xfId="0" applyBorder="1"/>
    <xf numFmtId="3" fontId="0" fillId="0" borderId="14" xfId="0" applyNumberFormat="1" applyBorder="1"/>
    <xf numFmtId="0" fontId="2" fillId="0" borderId="10" xfId="0" applyFont="1" applyBorder="1"/>
    <xf numFmtId="44" fontId="0" fillId="0" borderId="20" xfId="1" applyFont="1" applyBorder="1"/>
    <xf numFmtId="0" fontId="2" fillId="0" borderId="11" xfId="0" applyFont="1" applyBorder="1"/>
    <xf numFmtId="44" fontId="0" fillId="0" borderId="0" xfId="1" applyFont="1" applyBorder="1"/>
    <xf numFmtId="44" fontId="0" fillId="0" borderId="21" xfId="1" applyFont="1" applyBorder="1"/>
    <xf numFmtId="0" fontId="0" fillId="3" borderId="0" xfId="0" applyFill="1"/>
    <xf numFmtId="9" fontId="0" fillId="3" borderId="8" xfId="2" applyFont="1" applyFill="1" applyBorder="1"/>
    <xf numFmtId="0" fontId="8" fillId="0" borderId="0" xfId="0" applyFont="1"/>
    <xf numFmtId="0" fontId="2" fillId="3" borderId="0" xfId="0" applyFont="1" applyFill="1" applyAlignment="1">
      <alignment horizontal="left" indent="2"/>
    </xf>
    <xf numFmtId="3" fontId="2" fillId="3" borderId="0" xfId="0" applyNumberFormat="1" applyFont="1" applyFill="1"/>
    <xf numFmtId="0" fontId="2" fillId="3" borderId="0" xfId="0" applyFont="1" applyFill="1"/>
    <xf numFmtId="0" fontId="9" fillId="5" borderId="0" xfId="0" applyFont="1" applyFill="1"/>
    <xf numFmtId="0" fontId="0" fillId="6" borderId="0" xfId="0" applyFill="1" applyAlignment="1">
      <alignment horizontal="left" indent="2"/>
    </xf>
    <xf numFmtId="3" fontId="0" fillId="6" borderId="0" xfId="0" applyNumberFormat="1" applyFill="1"/>
    <xf numFmtId="0" fontId="0" fillId="7" borderId="0" xfId="0" applyFill="1" applyAlignment="1">
      <alignment horizontal="left" indent="2"/>
    </xf>
    <xf numFmtId="3" fontId="0" fillId="7" borderId="0" xfId="0" applyNumberFormat="1" applyFill="1"/>
    <xf numFmtId="0" fontId="0" fillId="0" borderId="0" xfId="0" applyAlignment="1">
      <alignment horizontal="left"/>
    </xf>
    <xf numFmtId="2" fontId="0" fillId="0" borderId="0" xfId="0" applyNumberFormat="1"/>
    <xf numFmtId="0" fontId="11" fillId="5" borderId="0" xfId="0" applyFont="1" applyFill="1"/>
    <xf numFmtId="3" fontId="11" fillId="5" borderId="0" xfId="0" applyNumberFormat="1" applyFont="1" applyFill="1"/>
    <xf numFmtId="16" fontId="8" fillId="4" borderId="0" xfId="0" applyNumberFormat="1" applyFont="1" applyFill="1"/>
    <xf numFmtId="6" fontId="0" fillId="0" borderId="0" xfId="0" applyNumberFormat="1"/>
    <xf numFmtId="0" fontId="10" fillId="3" borderId="0" xfId="0" applyFont="1" applyFill="1"/>
    <xf numFmtId="3" fontId="10" fillId="3" borderId="0" xfId="0" applyNumberFormat="1" applyFont="1" applyFill="1"/>
    <xf numFmtId="164" fontId="11" fillId="5" borderId="0" xfId="1" applyNumberFormat="1" applyFont="1" applyFill="1"/>
    <xf numFmtId="164" fontId="0" fillId="6" borderId="0" xfId="1" applyNumberFormat="1" applyFont="1" applyFill="1"/>
    <xf numFmtId="164" fontId="0" fillId="7" borderId="0" xfId="1" applyNumberFormat="1" applyFont="1" applyFill="1"/>
    <xf numFmtId="164" fontId="2" fillId="3" borderId="0" xfId="1" applyNumberFormat="1" applyFont="1" applyFill="1"/>
    <xf numFmtId="164" fontId="10" fillId="3" borderId="0" xfId="1" applyNumberFormat="1" applyFont="1" applyFill="1"/>
    <xf numFmtId="0" fontId="0" fillId="0" borderId="0" xfId="0" applyAlignment="1">
      <alignment horizontal="center"/>
    </xf>
    <xf numFmtId="9" fontId="11" fillId="5" borderId="0" xfId="2" applyFont="1" applyFill="1" applyAlignment="1">
      <alignment horizontal="center"/>
    </xf>
    <xf numFmtId="9" fontId="0" fillId="6" borderId="0" xfId="2" applyFont="1" applyFill="1" applyAlignment="1">
      <alignment horizontal="center"/>
    </xf>
    <xf numFmtId="9" fontId="0" fillId="7" borderId="0" xfId="2" applyFont="1" applyFill="1" applyAlignment="1">
      <alignment horizontal="center"/>
    </xf>
    <xf numFmtId="9" fontId="2" fillId="3" borderId="0" xfId="2" applyFon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9" fillId="5" borderId="0" xfId="2" applyFont="1" applyFill="1" applyAlignment="1">
      <alignment horizontal="center"/>
    </xf>
    <xf numFmtId="9" fontId="10" fillId="3" borderId="0" xfId="2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11" fillId="5" borderId="0" xfId="0" applyNumberFormat="1" applyFont="1" applyFill="1" applyAlignment="1">
      <alignment horizontal="center"/>
    </xf>
    <xf numFmtId="3" fontId="0" fillId="6" borderId="0" xfId="0" applyNumberFormat="1" applyFill="1" applyAlignment="1">
      <alignment horizontal="center"/>
    </xf>
    <xf numFmtId="3" fontId="0" fillId="7" borderId="0" xfId="0" applyNumberForma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9" fillId="5" borderId="0" xfId="0" applyNumberFormat="1" applyFont="1" applyFill="1" applyAlignment="1">
      <alignment horizontal="center"/>
    </xf>
    <xf numFmtId="3" fontId="10" fillId="3" borderId="0" xfId="0" applyNumberFormat="1" applyFont="1" applyFill="1" applyAlignment="1">
      <alignment horizontal="center"/>
    </xf>
    <xf numFmtId="164" fontId="11" fillId="5" borderId="0" xfId="1" applyNumberFormat="1" applyFont="1" applyFill="1" applyAlignment="1">
      <alignment horizontal="center"/>
    </xf>
    <xf numFmtId="164" fontId="9" fillId="5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left"/>
    </xf>
    <xf numFmtId="164" fontId="11" fillId="5" borderId="0" xfId="1" applyNumberFormat="1" applyFont="1" applyFill="1" applyAlignment="1">
      <alignment horizontal="left"/>
    </xf>
    <xf numFmtId="164" fontId="0" fillId="0" borderId="0" xfId="1" applyNumberFormat="1" applyFont="1" applyAlignment="1">
      <alignment horizontal="left"/>
    </xf>
    <xf numFmtId="164" fontId="0" fillId="6" borderId="0" xfId="1" applyNumberFormat="1" applyFont="1" applyFill="1" applyAlignment="1">
      <alignment horizontal="left"/>
    </xf>
    <xf numFmtId="164" fontId="0" fillId="7" borderId="0" xfId="1" applyNumberFormat="1" applyFont="1" applyFill="1" applyAlignment="1">
      <alignment horizontal="left"/>
    </xf>
    <xf numFmtId="164" fontId="2" fillId="3" borderId="0" xfId="1" applyNumberFormat="1" applyFont="1" applyFill="1" applyAlignment="1">
      <alignment horizontal="left"/>
    </xf>
    <xf numFmtId="164" fontId="0" fillId="0" borderId="0" xfId="1" applyNumberFormat="1" applyFont="1" applyFill="1" applyAlignment="1">
      <alignment horizontal="left"/>
    </xf>
    <xf numFmtId="164" fontId="10" fillId="3" borderId="0" xfId="1" applyNumberFormat="1" applyFont="1" applyFill="1" applyAlignment="1">
      <alignment horizontal="left"/>
    </xf>
    <xf numFmtId="10" fontId="0" fillId="0" borderId="0" xfId="0" applyNumberFormat="1" applyAlignment="1">
      <alignment horizontal="center"/>
    </xf>
    <xf numFmtId="0" fontId="11" fillId="5" borderId="0" xfId="0" applyFont="1" applyFill="1" applyAlignment="1">
      <alignment horizontal="left"/>
    </xf>
    <xf numFmtId="0" fontId="12" fillId="5" borderId="25" xfId="0" applyFont="1" applyFill="1" applyBorder="1" applyAlignment="1">
      <alignment horizontal="center"/>
    </xf>
    <xf numFmtId="164" fontId="12" fillId="5" borderId="25" xfId="1" applyNumberFormat="1" applyFont="1" applyFill="1" applyBorder="1" applyAlignment="1">
      <alignment horizontal="center"/>
    </xf>
    <xf numFmtId="9" fontId="12" fillId="5" borderId="25" xfId="2" applyFont="1" applyFill="1" applyBorder="1" applyAlignment="1">
      <alignment horizontal="center"/>
    </xf>
    <xf numFmtId="0" fontId="13" fillId="0" borderId="25" xfId="0" applyFont="1" applyBorder="1"/>
    <xf numFmtId="164" fontId="13" fillId="0" borderId="25" xfId="1" applyNumberFormat="1" applyFont="1" applyBorder="1"/>
    <xf numFmtId="9" fontId="13" fillId="0" borderId="25" xfId="2" applyFont="1" applyBorder="1"/>
    <xf numFmtId="0" fontId="13" fillId="0" borderId="26" xfId="0" applyFont="1" applyBorder="1"/>
    <xf numFmtId="164" fontId="13" fillId="0" borderId="26" xfId="1" applyNumberFormat="1" applyFont="1" applyBorder="1"/>
    <xf numFmtId="9" fontId="13" fillId="0" borderId="26" xfId="2" applyFont="1" applyBorder="1"/>
    <xf numFmtId="0" fontId="8" fillId="0" borderId="27" xfId="0" applyFont="1" applyBorder="1"/>
    <xf numFmtId="164" fontId="8" fillId="0" borderId="27" xfId="1" applyNumberFormat="1" applyFont="1" applyBorder="1"/>
    <xf numFmtId="9" fontId="8" fillId="0" borderId="27" xfId="2" applyFont="1" applyBorder="1"/>
    <xf numFmtId="44" fontId="14" fillId="0" borderId="26" xfId="0" applyNumberFormat="1" applyFont="1" applyBorder="1"/>
    <xf numFmtId="0" fontId="12" fillId="5" borderId="0" xfId="0" applyFont="1" applyFill="1" applyAlignment="1">
      <alignment horizontal="center"/>
    </xf>
    <xf numFmtId="44" fontId="13" fillId="0" borderId="25" xfId="1" applyFont="1" applyBorder="1"/>
    <xf numFmtId="44" fontId="13" fillId="0" borderId="26" xfId="1" applyFont="1" applyBorder="1"/>
    <xf numFmtId="44" fontId="8" fillId="0" borderId="27" xfId="1" applyFont="1" applyBorder="1"/>
    <xf numFmtId="9" fontId="15" fillId="3" borderId="8" xfId="2" applyFont="1" applyFill="1" applyBorder="1"/>
    <xf numFmtId="164" fontId="0" fillId="3" borderId="23" xfId="1" applyNumberFormat="1" applyFont="1" applyFill="1" applyBorder="1"/>
    <xf numFmtId="164" fontId="0" fillId="3" borderId="11" xfId="1" applyNumberFormat="1" applyFont="1" applyFill="1" applyBorder="1"/>
    <xf numFmtId="164" fontId="0" fillId="0" borderId="23" xfId="1" applyNumberFormat="1" applyFont="1" applyBorder="1"/>
    <xf numFmtId="164" fontId="15" fillId="3" borderId="11" xfId="1" applyNumberFormat="1" applyFont="1" applyFill="1" applyBorder="1"/>
    <xf numFmtId="164" fontId="8" fillId="0" borderId="22" xfId="1" applyNumberFormat="1" applyFont="1" applyBorder="1"/>
    <xf numFmtId="164" fontId="8" fillId="0" borderId="14" xfId="1" applyNumberFormat="1" applyFont="1" applyBorder="1"/>
    <xf numFmtId="164" fontId="8" fillId="0" borderId="14" xfId="0" applyNumberFormat="1" applyFont="1" applyBorder="1"/>
    <xf numFmtId="10" fontId="0" fillId="0" borderId="8" xfId="2" applyNumberFormat="1" applyFont="1" applyFill="1" applyBorder="1"/>
    <xf numFmtId="44" fontId="0" fillId="0" borderId="0" xfId="1" applyFont="1" applyFill="1" applyBorder="1"/>
    <xf numFmtId="9" fontId="8" fillId="4" borderId="9" xfId="2" applyFont="1" applyFill="1" applyBorder="1"/>
    <xf numFmtId="10" fontId="0" fillId="3" borderId="8" xfId="2" applyNumberFormat="1" applyFont="1" applyFill="1" applyBorder="1"/>
    <xf numFmtId="10" fontId="15" fillId="3" borderId="8" xfId="2" applyNumberFormat="1" applyFont="1" applyFill="1" applyBorder="1"/>
    <xf numFmtId="10" fontId="0" fillId="0" borderId="9" xfId="2" applyNumberFormat="1" applyFont="1" applyFill="1" applyBorder="1"/>
    <xf numFmtId="44" fontId="0" fillId="0" borderId="21" xfId="1" applyFont="1" applyFill="1" applyBorder="1"/>
    <xf numFmtId="9" fontId="0" fillId="0" borderId="8" xfId="2" applyFont="1" applyFill="1" applyBorder="1"/>
    <xf numFmtId="164" fontId="0" fillId="8" borderId="11" xfId="1" applyNumberFormat="1" applyFont="1" applyFill="1" applyBorder="1"/>
    <xf numFmtId="9" fontId="0" fillId="8" borderId="8" xfId="2" applyFont="1" applyFill="1" applyBorder="1"/>
    <xf numFmtId="164" fontId="15" fillId="0" borderId="11" xfId="1" applyNumberFormat="1" applyFont="1" applyFill="1" applyBorder="1"/>
    <xf numFmtId="164" fontId="15" fillId="8" borderId="11" xfId="1" applyNumberFormat="1" applyFont="1" applyFill="1" applyBorder="1"/>
    <xf numFmtId="3" fontId="16" fillId="0" borderId="0" xfId="0" applyNumberFormat="1" applyFont="1"/>
    <xf numFmtId="164" fontId="15" fillId="0" borderId="0" xfId="0" applyNumberFormat="1" applyFont="1"/>
    <xf numFmtId="0" fontId="17" fillId="0" borderId="0" xfId="0" applyFont="1"/>
    <xf numFmtId="10" fontId="15" fillId="0" borderId="8" xfId="2" applyNumberFormat="1" applyFont="1" applyFill="1" applyBorder="1"/>
    <xf numFmtId="10" fontId="18" fillId="0" borderId="0" xfId="0" applyNumberFormat="1" applyFont="1"/>
    <xf numFmtId="10" fontId="8" fillId="4" borderId="9" xfId="2" applyNumberFormat="1" applyFont="1" applyFill="1" applyBorder="1"/>
    <xf numFmtId="0" fontId="2" fillId="0" borderId="2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0" fontId="0" fillId="3" borderId="23" xfId="2" applyNumberFormat="1" applyFont="1" applyFill="1" applyBorder="1" applyAlignment="1">
      <alignment horizontal="center"/>
    </xf>
    <xf numFmtId="10" fontId="0" fillId="0" borderId="23" xfId="2" applyNumberFormat="1" applyFont="1" applyFill="1" applyBorder="1" applyAlignment="1">
      <alignment horizontal="center"/>
    </xf>
    <xf numFmtId="10" fontId="15" fillId="3" borderId="23" xfId="2" applyNumberFormat="1" applyFont="1" applyFill="1" applyBorder="1" applyAlignment="1">
      <alignment horizontal="center"/>
    </xf>
    <xf numFmtId="10" fontId="8" fillId="0" borderId="22" xfId="2" applyNumberFormat="1" applyFont="1" applyBorder="1" applyAlignment="1">
      <alignment horizontal="center"/>
    </xf>
    <xf numFmtId="0" fontId="2" fillId="0" borderId="29" xfId="0" applyFont="1" applyBorder="1"/>
    <xf numFmtId="164" fontId="0" fillId="0" borderId="30" xfId="1" applyNumberFormat="1" applyFont="1" applyBorder="1"/>
    <xf numFmtId="0" fontId="15" fillId="0" borderId="0" xfId="0" applyFont="1"/>
    <xf numFmtId="17" fontId="0" fillId="0" borderId="22" xfId="0" applyNumberFormat="1" applyBorder="1"/>
    <xf numFmtId="3" fontId="2" fillId="0" borderId="21" xfId="0" applyNumberFormat="1" applyFont="1" applyBorder="1"/>
    <xf numFmtId="3" fontId="0" fillId="0" borderId="11" xfId="0" applyNumberFormat="1" applyBorder="1"/>
    <xf numFmtId="44" fontId="0" fillId="0" borderId="11" xfId="0" applyNumberFormat="1" applyBorder="1"/>
    <xf numFmtId="44" fontId="0" fillId="0" borderId="20" xfId="10" applyFont="1" applyBorder="1"/>
    <xf numFmtId="44" fontId="0" fillId="0" borderId="0" xfId="10" applyFont="1" applyFill="1" applyBorder="1"/>
    <xf numFmtId="44" fontId="0" fillId="0" borderId="21" xfId="10" applyFont="1" applyFill="1" applyBorder="1"/>
    <xf numFmtId="44" fontId="0" fillId="0" borderId="0" xfId="10" applyFont="1" applyBorder="1"/>
    <xf numFmtId="164" fontId="2" fillId="0" borderId="0" xfId="1" applyNumberFormat="1" applyFont="1"/>
    <xf numFmtId="164" fontId="2" fillId="0" borderId="21" xfId="1" applyNumberFormat="1" applyFont="1" applyBorder="1"/>
    <xf numFmtId="164" fontId="2" fillId="0" borderId="30" xfId="0" applyNumberFormat="1" applyFont="1" applyBorder="1"/>
    <xf numFmtId="0" fontId="0" fillId="10" borderId="0" xfId="0" applyFill="1"/>
    <xf numFmtId="164" fontId="0" fillId="10" borderId="11" xfId="1" applyNumberFormat="1" applyFont="1" applyFill="1" applyBorder="1"/>
    <xf numFmtId="164" fontId="15" fillId="10" borderId="11" xfId="1" applyNumberFormat="1" applyFont="1" applyFill="1" applyBorder="1"/>
    <xf numFmtId="10" fontId="0" fillId="10" borderId="8" xfId="2" applyNumberFormat="1" applyFont="1" applyFill="1" applyBorder="1"/>
    <xf numFmtId="164" fontId="0" fillId="10" borderId="12" xfId="1" applyNumberFormat="1" applyFont="1" applyFill="1" applyBorder="1"/>
    <xf numFmtId="164" fontId="15" fillId="10" borderId="12" xfId="1" applyNumberFormat="1" applyFont="1" applyFill="1" applyBorder="1"/>
    <xf numFmtId="10" fontId="0" fillId="10" borderId="24" xfId="2" applyNumberFormat="1" applyFont="1" applyFill="1" applyBorder="1" applyAlignment="1">
      <alignment horizontal="center"/>
    </xf>
    <xf numFmtId="164" fontId="0" fillId="10" borderId="23" xfId="1" applyNumberFormat="1" applyFont="1" applyFill="1" applyBorder="1"/>
    <xf numFmtId="9" fontId="0" fillId="10" borderId="8" xfId="2" applyFont="1" applyFill="1" applyBorder="1"/>
    <xf numFmtId="10" fontId="15" fillId="10" borderId="8" xfId="2" applyNumberFormat="1" applyFont="1" applyFill="1" applyBorder="1"/>
    <xf numFmtId="10" fontId="0" fillId="10" borderId="23" xfId="2" applyNumberFormat="1" applyFont="1" applyFill="1" applyBorder="1" applyAlignment="1">
      <alignment horizontal="center"/>
    </xf>
    <xf numFmtId="164" fontId="0" fillId="10" borderId="24" xfId="1" applyNumberFormat="1" applyFont="1" applyFill="1" applyBorder="1"/>
    <xf numFmtId="9" fontId="0" fillId="10" borderId="13" xfId="2" applyFont="1" applyFill="1" applyBorder="1"/>
    <xf numFmtId="10" fontId="0" fillId="10" borderId="13" xfId="2" applyNumberFormat="1" applyFont="1" applyFill="1" applyBorder="1"/>
    <xf numFmtId="10" fontId="15" fillId="10" borderId="13" xfId="2" applyNumberFormat="1" applyFont="1" applyFill="1" applyBorder="1"/>
    <xf numFmtId="0" fontId="0" fillId="10" borderId="8" xfId="0" applyFill="1" applyBorder="1"/>
    <xf numFmtId="3" fontId="20" fillId="0" borderId="11" xfId="0" applyNumberFormat="1" applyFont="1" applyBorder="1"/>
    <xf numFmtId="0" fontId="0" fillId="8" borderId="0" xfId="0" applyFill="1"/>
    <xf numFmtId="164" fontId="0" fillId="8" borderId="23" xfId="1" applyNumberFormat="1" applyFont="1" applyFill="1" applyBorder="1"/>
    <xf numFmtId="10" fontId="0" fillId="8" borderId="8" xfId="2" applyNumberFormat="1" applyFont="1" applyFill="1" applyBorder="1"/>
    <xf numFmtId="10" fontId="15" fillId="8" borderId="8" xfId="2" applyNumberFormat="1" applyFont="1" applyFill="1" applyBorder="1"/>
    <xf numFmtId="10" fontId="0" fillId="8" borderId="23" xfId="2" applyNumberFormat="1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12" borderId="0" xfId="0" applyFill="1"/>
    <xf numFmtId="6" fontId="0" fillId="12" borderId="0" xfId="0" applyNumberFormat="1" applyFill="1"/>
    <xf numFmtId="0" fontId="0" fillId="11" borderId="0" xfId="0" applyFill="1"/>
    <xf numFmtId="6" fontId="0" fillId="11" borderId="0" xfId="0" applyNumberFormat="1" applyFill="1"/>
    <xf numFmtId="0" fontId="0" fillId="13" borderId="0" xfId="0" applyFill="1"/>
    <xf numFmtId="6" fontId="0" fillId="13" borderId="0" xfId="0" applyNumberFormat="1" applyFill="1"/>
    <xf numFmtId="0" fontId="0" fillId="14" borderId="0" xfId="0" applyFill="1"/>
    <xf numFmtId="6" fontId="0" fillId="14" borderId="0" xfId="0" applyNumberFormat="1" applyFill="1"/>
    <xf numFmtId="0" fontId="0" fillId="15" borderId="0" xfId="0" applyFill="1"/>
    <xf numFmtId="6" fontId="0" fillId="15" borderId="0" xfId="0" applyNumberFormat="1" applyFill="1"/>
    <xf numFmtId="0" fontId="0" fillId="2" borderId="0" xfId="0" applyFill="1"/>
    <xf numFmtId="6" fontId="0" fillId="2" borderId="0" xfId="0" applyNumberFormat="1" applyFill="1"/>
    <xf numFmtId="0" fontId="0" fillId="9" borderId="0" xfId="0" applyFill="1"/>
    <xf numFmtId="6" fontId="0" fillId="9" borderId="0" xfId="0" applyNumberFormat="1" applyFill="1"/>
    <xf numFmtId="0" fontId="2" fillId="4" borderId="21" xfId="0" applyFont="1" applyFill="1" applyBorder="1" applyAlignment="1">
      <alignment horizontal="center"/>
    </xf>
    <xf numFmtId="0" fontId="21" fillId="0" borderId="0" xfId="0" applyFont="1"/>
    <xf numFmtId="0" fontId="23" fillId="9" borderId="33" xfId="0" applyFont="1" applyFill="1" applyBorder="1" applyAlignment="1">
      <alignment horizontal="center" vertical="center"/>
    </xf>
    <xf numFmtId="0" fontId="23" fillId="9" borderId="34" xfId="0" applyFont="1" applyFill="1" applyBorder="1" applyAlignment="1">
      <alignment horizontal="center" vertical="center"/>
    </xf>
    <xf numFmtId="0" fontId="23" fillId="17" borderId="36" xfId="0" applyFont="1" applyFill="1" applyBorder="1" applyAlignment="1">
      <alignment horizontal="center"/>
    </xf>
    <xf numFmtId="0" fontId="23" fillId="17" borderId="25" xfId="0" applyFont="1" applyFill="1" applyBorder="1" applyAlignment="1">
      <alignment horizontal="center"/>
    </xf>
    <xf numFmtId="0" fontId="23" fillId="17" borderId="37" xfId="0" applyFont="1" applyFill="1" applyBorder="1"/>
    <xf numFmtId="0" fontId="21" fillId="0" borderId="0" xfId="0" applyFont="1" applyAlignment="1">
      <alignment horizontal="center"/>
    </xf>
    <xf numFmtId="0" fontId="15" fillId="0" borderId="36" xfId="0" applyFont="1" applyBorder="1" applyAlignment="1">
      <alignment horizontal="center"/>
    </xf>
    <xf numFmtId="3" fontId="15" fillId="0" borderId="25" xfId="0" applyNumberFormat="1" applyFont="1" applyBorder="1" applyAlignment="1">
      <alignment horizontal="center"/>
    </xf>
    <xf numFmtId="9" fontId="15" fillId="0" borderId="37" xfId="0" applyNumberFormat="1" applyFont="1" applyBorder="1" applyAlignment="1">
      <alignment horizontal="center"/>
    </xf>
    <xf numFmtId="0" fontId="15" fillId="3" borderId="36" xfId="0" applyFont="1" applyFill="1" applyBorder="1" applyAlignment="1">
      <alignment horizontal="center"/>
    </xf>
    <xf numFmtId="3" fontId="15" fillId="3" borderId="25" xfId="0" applyNumberFormat="1" applyFont="1" applyFill="1" applyBorder="1" applyAlignment="1">
      <alignment horizontal="center"/>
    </xf>
    <xf numFmtId="9" fontId="15" fillId="3" borderId="37" xfId="0" applyNumberFormat="1" applyFont="1" applyFill="1" applyBorder="1" applyAlignment="1">
      <alignment horizontal="center"/>
    </xf>
    <xf numFmtId="3" fontId="25" fillId="18" borderId="25" xfId="0" applyNumberFormat="1" applyFont="1" applyFill="1" applyBorder="1" applyAlignment="1">
      <alignment horizontal="center" vertical="center"/>
    </xf>
    <xf numFmtId="6" fontId="25" fillId="18" borderId="37" xfId="10" applyNumberFormat="1" applyFont="1" applyFill="1" applyBorder="1" applyAlignment="1">
      <alignment horizontal="center" vertical="center"/>
    </xf>
    <xf numFmtId="9" fontId="23" fillId="18" borderId="50" xfId="11" applyFont="1" applyFill="1" applyBorder="1" applyAlignment="1">
      <alignment horizontal="center" vertical="center"/>
    </xf>
    <xf numFmtId="9" fontId="23" fillId="18" borderId="51" xfId="11" applyFont="1" applyFill="1" applyBorder="1" applyAlignment="1">
      <alignment horizontal="center" vertical="center"/>
    </xf>
    <xf numFmtId="9" fontId="15" fillId="3" borderId="40" xfId="1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9" fontId="23" fillId="0" borderId="0" xfId="11" applyFont="1" applyFill="1" applyBorder="1" applyAlignment="1">
      <alignment horizontal="center" vertical="center"/>
    </xf>
    <xf numFmtId="9" fontId="15" fillId="0" borderId="37" xfId="11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/>
    </xf>
    <xf numFmtId="3" fontId="15" fillId="3" borderId="39" xfId="0" applyNumberFormat="1" applyFont="1" applyFill="1" applyBorder="1" applyAlignment="1">
      <alignment horizontal="center"/>
    </xf>
    <xf numFmtId="9" fontId="15" fillId="3" borderId="40" xfId="0" applyNumberFormat="1" applyFont="1" applyFill="1" applyBorder="1" applyAlignment="1">
      <alignment horizontal="center"/>
    </xf>
    <xf numFmtId="0" fontId="26" fillId="0" borderId="49" xfId="0" applyFont="1" applyBorder="1" applyAlignment="1">
      <alignment horizontal="center"/>
    </xf>
    <xf numFmtId="3" fontId="26" fillId="0" borderId="50" xfId="0" applyNumberFormat="1" applyFont="1" applyBorder="1" applyAlignment="1">
      <alignment horizontal="center"/>
    </xf>
    <xf numFmtId="9" fontId="26" fillId="0" borderId="51" xfId="0" applyNumberFormat="1" applyFont="1" applyBorder="1" applyAlignment="1">
      <alignment horizontal="center"/>
    </xf>
    <xf numFmtId="0" fontId="27" fillId="19" borderId="30" xfId="0" applyFont="1" applyFill="1" applyBorder="1" applyAlignment="1">
      <alignment horizontal="center"/>
    </xf>
    <xf numFmtId="0" fontId="27" fillId="19" borderId="21" xfId="0" applyFont="1" applyFill="1" applyBorder="1" applyAlignment="1">
      <alignment horizontal="center"/>
    </xf>
    <xf numFmtId="0" fontId="27" fillId="19" borderId="9" xfId="0" applyFont="1" applyFill="1" applyBorder="1" applyAlignment="1">
      <alignment horizontal="center"/>
    </xf>
    <xf numFmtId="0" fontId="21" fillId="0" borderId="20" xfId="0" applyFont="1" applyBorder="1"/>
    <xf numFmtId="166" fontId="21" fillId="0" borderId="0" xfId="12" applyNumberFormat="1" applyFont="1" applyBorder="1"/>
    <xf numFmtId="44" fontId="21" fillId="0" borderId="8" xfId="10" applyFont="1" applyBorder="1"/>
    <xf numFmtId="0" fontId="21" fillId="0" borderId="21" xfId="0" applyFont="1" applyBorder="1"/>
    <xf numFmtId="166" fontId="28" fillId="9" borderId="33" xfId="12" applyNumberFormat="1" applyFont="1" applyFill="1" applyBorder="1" applyAlignment="1">
      <alignment horizontal="center" vertical="center"/>
    </xf>
    <xf numFmtId="44" fontId="28" fillId="9" borderId="34" xfId="10" applyFont="1" applyFill="1" applyBorder="1" applyAlignment="1">
      <alignment horizontal="center" vertical="center"/>
    </xf>
    <xf numFmtId="166" fontId="25" fillId="18" borderId="25" xfId="12" applyNumberFormat="1" applyFont="1" applyFill="1" applyBorder="1" applyAlignment="1">
      <alignment vertical="center"/>
    </xf>
    <xf numFmtId="164" fontId="25" fillId="18" borderId="37" xfId="10" applyNumberFormat="1" applyFont="1" applyFill="1" applyBorder="1" applyAlignment="1">
      <alignment vertical="center"/>
    </xf>
    <xf numFmtId="9" fontId="23" fillId="18" borderId="50" xfId="11" applyFont="1" applyFill="1" applyBorder="1" applyAlignment="1">
      <alignment vertical="center"/>
    </xf>
    <xf numFmtId="9" fontId="23" fillId="18" borderId="51" xfId="11" applyFont="1" applyFill="1" applyBorder="1" applyAlignment="1">
      <alignment vertical="center"/>
    </xf>
    <xf numFmtId="166" fontId="28" fillId="9" borderId="56" xfId="12" applyNumberFormat="1" applyFont="1" applyFill="1" applyBorder="1" applyAlignment="1">
      <alignment horizontal="center" vertical="center"/>
    </xf>
    <xf numFmtId="44" fontId="28" fillId="9" borderId="57" xfId="10" applyFont="1" applyFill="1" applyBorder="1" applyAlignment="1">
      <alignment horizontal="center" vertical="center"/>
    </xf>
    <xf numFmtId="166" fontId="25" fillId="18" borderId="56" xfId="12" applyNumberFormat="1" applyFont="1" applyFill="1" applyBorder="1" applyAlignment="1">
      <alignment vertical="center"/>
    </xf>
    <xf numFmtId="164" fontId="25" fillId="18" borderId="57" xfId="10" applyNumberFormat="1" applyFont="1" applyFill="1" applyBorder="1" applyAlignment="1">
      <alignment vertical="center"/>
    </xf>
    <xf numFmtId="9" fontId="23" fillId="18" borderId="6" xfId="11" applyFont="1" applyFill="1" applyBorder="1" applyAlignment="1">
      <alignment vertical="center"/>
    </xf>
    <xf numFmtId="9" fontId="23" fillId="18" borderId="58" xfId="11" applyFont="1" applyFill="1" applyBorder="1" applyAlignment="1">
      <alignment vertical="center"/>
    </xf>
    <xf numFmtId="0" fontId="27" fillId="19" borderId="31" xfId="0" applyFont="1" applyFill="1" applyBorder="1" applyAlignment="1">
      <alignment horizontal="center"/>
    </xf>
    <xf numFmtId="0" fontId="31" fillId="19" borderId="21" xfId="0" applyFont="1" applyFill="1" applyBorder="1" applyAlignment="1">
      <alignment horizontal="center"/>
    </xf>
    <xf numFmtId="0" fontId="31" fillId="19" borderId="9" xfId="0" applyFont="1" applyFill="1" applyBorder="1" applyAlignment="1">
      <alignment horizontal="center"/>
    </xf>
    <xf numFmtId="0" fontId="32" fillId="0" borderId="0" xfId="0" applyFont="1"/>
    <xf numFmtId="166" fontId="32" fillId="0" borderId="0" xfId="12" applyNumberFormat="1" applyFont="1" applyBorder="1"/>
    <xf numFmtId="44" fontId="32" fillId="0" borderId="8" xfId="10" applyFont="1" applyBorder="1"/>
    <xf numFmtId="166" fontId="33" fillId="9" borderId="33" xfId="12" applyNumberFormat="1" applyFont="1" applyFill="1" applyBorder="1" applyAlignment="1">
      <alignment horizontal="center" vertical="center"/>
    </xf>
    <xf numFmtId="44" fontId="33" fillId="9" borderId="34" xfId="10" applyFont="1" applyFill="1" applyBorder="1" applyAlignment="1">
      <alignment horizontal="center" vertical="center"/>
    </xf>
    <xf numFmtId="166" fontId="28" fillId="9" borderId="30" xfId="12" applyNumberFormat="1" applyFont="1" applyFill="1" applyBorder="1" applyAlignment="1">
      <alignment horizontal="center" vertical="center"/>
    </xf>
    <xf numFmtId="44" fontId="28" fillId="9" borderId="31" xfId="10" applyFont="1" applyFill="1" applyBorder="1" applyAlignment="1">
      <alignment horizontal="center" vertical="center"/>
    </xf>
    <xf numFmtId="164" fontId="25" fillId="18" borderId="37" xfId="10" applyNumberFormat="1" applyFont="1" applyFill="1" applyBorder="1" applyAlignment="1">
      <alignment horizontal="center" vertical="center"/>
    </xf>
    <xf numFmtId="0" fontId="15" fillId="0" borderId="49" xfId="0" applyFont="1" applyBorder="1" applyAlignment="1">
      <alignment horizontal="center"/>
    </xf>
    <xf numFmtId="3" fontId="15" fillId="0" borderId="50" xfId="0" applyNumberFormat="1" applyFont="1" applyBorder="1" applyAlignment="1">
      <alignment horizontal="center"/>
    </xf>
    <xf numFmtId="9" fontId="15" fillId="0" borderId="51" xfId="0" applyNumberFormat="1" applyFont="1" applyBorder="1" applyAlignment="1">
      <alignment horizontal="center"/>
    </xf>
    <xf numFmtId="164" fontId="0" fillId="10" borderId="0" xfId="1" applyNumberFormat="1" applyFont="1" applyFill="1" applyBorder="1"/>
    <xf numFmtId="10" fontId="0" fillId="10" borderId="0" xfId="2" applyNumberFormat="1" applyFont="1" applyFill="1" applyBorder="1"/>
    <xf numFmtId="164" fontId="0" fillId="3" borderId="0" xfId="1" applyNumberFormat="1" applyFont="1" applyFill="1" applyBorder="1"/>
    <xf numFmtId="164" fontId="0" fillId="8" borderId="0" xfId="1" applyNumberFormat="1" applyFont="1" applyFill="1" applyBorder="1"/>
    <xf numFmtId="164" fontId="0" fillId="3" borderId="28" xfId="1" applyNumberFormat="1" applyFont="1" applyFill="1" applyBorder="1"/>
    <xf numFmtId="164" fontId="15" fillId="3" borderId="0" xfId="1" applyNumberFormat="1" applyFont="1" applyFill="1" applyBorder="1"/>
    <xf numFmtId="164" fontId="8" fillId="0" borderId="21" xfId="0" applyNumberFormat="1" applyFont="1" applyBorder="1"/>
    <xf numFmtId="164" fontId="0" fillId="0" borderId="0" xfId="1" applyNumberFormat="1" applyFont="1" applyFill="1" applyBorder="1"/>
    <xf numFmtId="164" fontId="15" fillId="3" borderId="10" xfId="1" applyNumberFormat="1" applyFont="1" applyFill="1" applyBorder="1"/>
    <xf numFmtId="9" fontId="0" fillId="3" borderId="7" xfId="2" applyFont="1" applyFill="1" applyBorder="1"/>
    <xf numFmtId="164" fontId="0" fillId="3" borderId="10" xfId="1" applyNumberFormat="1" applyFont="1" applyFill="1" applyBorder="1"/>
    <xf numFmtId="10" fontId="0" fillId="3" borderId="7" xfId="2" applyNumberFormat="1" applyFont="1" applyFill="1" applyBorder="1"/>
    <xf numFmtId="10" fontId="15" fillId="3" borderId="7" xfId="2" applyNumberFormat="1" applyFont="1" applyFill="1" applyBorder="1"/>
    <xf numFmtId="10" fontId="15" fillId="3" borderId="0" xfId="2" applyNumberFormat="1" applyFont="1" applyFill="1" applyBorder="1"/>
    <xf numFmtId="10" fontId="0" fillId="0" borderId="0" xfId="2" applyNumberFormat="1" applyFont="1" applyFill="1" applyBorder="1"/>
    <xf numFmtId="10" fontId="0" fillId="3" borderId="0" xfId="2" applyNumberFormat="1" applyFont="1" applyFill="1" applyBorder="1"/>
    <xf numFmtId="10" fontId="0" fillId="8" borderId="0" xfId="2" applyNumberFormat="1" applyFont="1" applyFill="1" applyBorder="1"/>
    <xf numFmtId="10" fontId="0" fillId="0" borderId="21" xfId="2" applyNumberFormat="1" applyFont="1" applyFill="1" applyBorder="1"/>
    <xf numFmtId="10" fontId="0" fillId="3" borderId="28" xfId="2" applyNumberFormat="1" applyFont="1" applyFill="1" applyBorder="1" applyAlignment="1">
      <alignment horizontal="center"/>
    </xf>
    <xf numFmtId="0" fontId="0" fillId="3" borderId="59" xfId="0" applyFill="1" applyBorder="1"/>
    <xf numFmtId="164" fontId="0" fillId="3" borderId="24" xfId="1" applyNumberFormat="1" applyFont="1" applyFill="1" applyBorder="1"/>
    <xf numFmtId="164" fontId="15" fillId="3" borderId="12" xfId="1" applyNumberFormat="1" applyFont="1" applyFill="1" applyBorder="1"/>
    <xf numFmtId="9" fontId="0" fillId="3" borderId="13" xfId="2" applyFont="1" applyFill="1" applyBorder="1"/>
    <xf numFmtId="164" fontId="0" fillId="3" borderId="12" xfId="1" applyNumberFormat="1" applyFont="1" applyFill="1" applyBorder="1"/>
    <xf numFmtId="10" fontId="0" fillId="3" borderId="13" xfId="2" applyNumberFormat="1" applyFont="1" applyFill="1" applyBorder="1"/>
    <xf numFmtId="10" fontId="15" fillId="3" borderId="13" xfId="2" applyNumberFormat="1" applyFont="1" applyFill="1" applyBorder="1"/>
    <xf numFmtId="164" fontId="0" fillId="3" borderId="59" xfId="1" applyNumberFormat="1" applyFont="1" applyFill="1" applyBorder="1"/>
    <xf numFmtId="10" fontId="0" fillId="3" borderId="59" xfId="2" applyNumberFormat="1" applyFont="1" applyFill="1" applyBorder="1"/>
    <xf numFmtId="10" fontId="0" fillId="3" borderId="24" xfId="2" applyNumberFormat="1" applyFont="1" applyFill="1" applyBorder="1" applyAlignment="1">
      <alignment horizontal="center"/>
    </xf>
    <xf numFmtId="0" fontId="10" fillId="17" borderId="30" xfId="0" applyFont="1" applyFill="1" applyBorder="1" applyAlignment="1">
      <alignment horizontal="center" vertical="center"/>
    </xf>
    <xf numFmtId="14" fontId="21" fillId="0" borderId="0" xfId="0" applyNumberFormat="1" applyFont="1"/>
    <xf numFmtId="14" fontId="10" fillId="17" borderId="30" xfId="0" applyNumberFormat="1" applyFont="1" applyFill="1" applyBorder="1" applyAlignment="1">
      <alignment horizontal="center" vertical="center"/>
    </xf>
    <xf numFmtId="14" fontId="10" fillId="17" borderId="31" xfId="0" applyNumberFormat="1" applyFont="1" applyFill="1" applyBorder="1" applyAlignment="1">
      <alignment horizontal="center" vertical="center"/>
    </xf>
    <xf numFmtId="0" fontId="23" fillId="17" borderId="55" xfId="0" applyFont="1" applyFill="1" applyBorder="1" applyAlignment="1">
      <alignment horizontal="center"/>
    </xf>
    <xf numFmtId="0" fontId="23" fillId="17" borderId="56" xfId="0" applyFont="1" applyFill="1" applyBorder="1" applyAlignment="1">
      <alignment horizontal="center"/>
    </xf>
    <xf numFmtId="0" fontId="23" fillId="17" borderId="57" xfId="0" applyFont="1" applyFill="1" applyBorder="1"/>
    <xf numFmtId="0" fontId="21" fillId="20" borderId="0" xfId="0" applyFont="1" applyFill="1"/>
    <xf numFmtId="0" fontId="15" fillId="0" borderId="60" xfId="0" applyFont="1" applyBorder="1" applyAlignment="1">
      <alignment horizontal="center"/>
    </xf>
    <xf numFmtId="3" fontId="15" fillId="0" borderId="27" xfId="0" applyNumberFormat="1" applyFont="1" applyBorder="1" applyAlignment="1">
      <alignment horizontal="center"/>
    </xf>
    <xf numFmtId="9" fontId="15" fillId="0" borderId="46" xfId="0" applyNumberFormat="1" applyFont="1" applyBorder="1" applyAlignment="1">
      <alignment horizontal="center"/>
    </xf>
    <xf numFmtId="0" fontId="23" fillId="0" borderId="29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14" fontId="21" fillId="0" borderId="11" xfId="0" applyNumberFormat="1" applyFont="1" applyBorder="1"/>
    <xf numFmtId="44" fontId="21" fillId="0" borderId="0" xfId="10" applyFont="1" applyBorder="1"/>
    <xf numFmtId="3" fontId="21" fillId="0" borderId="8" xfId="0" applyNumberFormat="1" applyFont="1" applyBorder="1"/>
    <xf numFmtId="14" fontId="21" fillId="0" borderId="14" xfId="0" applyNumberFormat="1" applyFont="1" applyBorder="1"/>
    <xf numFmtId="44" fontId="21" fillId="0" borderId="21" xfId="10" applyFont="1" applyBorder="1"/>
    <xf numFmtId="3" fontId="21" fillId="0" borderId="9" xfId="0" applyNumberFormat="1" applyFont="1" applyBorder="1"/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65" fontId="2" fillId="4" borderId="10" xfId="0" applyNumberFormat="1" applyFont="1" applyFill="1" applyBorder="1" applyAlignment="1">
      <alignment horizontal="center"/>
    </xf>
    <xf numFmtId="165" fontId="2" fillId="4" borderId="7" xfId="0" applyNumberFormat="1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16" borderId="29" xfId="0" quotePrefix="1" applyFont="1" applyFill="1" applyBorder="1" applyAlignment="1">
      <alignment horizontal="center" vertical="center"/>
    </xf>
    <xf numFmtId="0" fontId="2" fillId="16" borderId="30" xfId="0" quotePrefix="1" applyFont="1" applyFill="1" applyBorder="1" applyAlignment="1">
      <alignment horizontal="center" vertical="center"/>
    </xf>
    <xf numFmtId="0" fontId="2" fillId="16" borderId="31" xfId="0" quotePrefix="1" applyFont="1" applyFill="1" applyBorder="1" applyAlignment="1">
      <alignment horizontal="center" vertical="center"/>
    </xf>
    <xf numFmtId="0" fontId="10" fillId="17" borderId="55" xfId="0" applyFont="1" applyFill="1" applyBorder="1" applyAlignment="1">
      <alignment horizontal="center" vertical="center"/>
    </xf>
    <xf numFmtId="0" fontId="10" fillId="17" borderId="56" xfId="0" applyFont="1" applyFill="1" applyBorder="1" applyAlignment="1">
      <alignment horizontal="center" vertical="center"/>
    </xf>
    <xf numFmtId="0" fontId="10" fillId="17" borderId="57" xfId="0" applyFont="1" applyFill="1" applyBorder="1" applyAlignment="1">
      <alignment horizontal="center" vertical="center"/>
    </xf>
    <xf numFmtId="0" fontId="22" fillId="9" borderId="10" xfId="0" applyFont="1" applyFill="1" applyBorder="1" applyAlignment="1">
      <alignment horizontal="center" vertical="center"/>
    </xf>
    <xf numFmtId="0" fontId="22" fillId="9" borderId="20" xfId="0" applyFont="1" applyFill="1" applyBorder="1" applyAlignment="1">
      <alignment horizontal="center" vertical="center"/>
    </xf>
    <xf numFmtId="0" fontId="22" fillId="9" borderId="35" xfId="0" applyFont="1" applyFill="1" applyBorder="1" applyAlignment="1">
      <alignment horizontal="center" vertical="center"/>
    </xf>
    <xf numFmtId="0" fontId="22" fillId="9" borderId="11" xfId="0" applyFont="1" applyFill="1" applyBorder="1" applyAlignment="1">
      <alignment horizontal="center" vertical="center"/>
    </xf>
    <xf numFmtId="0" fontId="22" fillId="9" borderId="0" xfId="0" applyFont="1" applyFill="1" applyAlignment="1">
      <alignment horizontal="center" vertical="center"/>
    </xf>
    <xf numFmtId="0" fontId="22" fillId="9" borderId="38" xfId="0" applyFont="1" applyFill="1" applyBorder="1" applyAlignment="1">
      <alignment horizontal="center" vertical="center"/>
    </xf>
    <xf numFmtId="0" fontId="22" fillId="9" borderId="43" xfId="0" applyFont="1" applyFill="1" applyBorder="1" applyAlignment="1">
      <alignment horizontal="center" vertical="center"/>
    </xf>
    <xf numFmtId="0" fontId="22" fillId="9" borderId="44" xfId="0" applyFont="1" applyFill="1" applyBorder="1" applyAlignment="1">
      <alignment horizontal="center" vertical="center"/>
    </xf>
    <xf numFmtId="0" fontId="22" fillId="9" borderId="45" xfId="0" applyFont="1" applyFill="1" applyBorder="1" applyAlignment="1">
      <alignment horizontal="center" vertical="center"/>
    </xf>
    <xf numFmtId="0" fontId="23" fillId="17" borderId="56" xfId="0" applyFont="1" applyFill="1" applyBorder="1" applyAlignment="1">
      <alignment horizontal="center"/>
    </xf>
    <xf numFmtId="3" fontId="24" fillId="9" borderId="39" xfId="0" applyNumberFormat="1" applyFont="1" applyFill="1" applyBorder="1" applyAlignment="1">
      <alignment horizontal="center" vertical="center"/>
    </xf>
    <xf numFmtId="3" fontId="24" fillId="9" borderId="27" xfId="0" applyNumberFormat="1" applyFont="1" applyFill="1" applyBorder="1" applyAlignment="1">
      <alignment horizontal="center" vertical="center"/>
    </xf>
    <xf numFmtId="44" fontId="24" fillId="9" borderId="40" xfId="10" applyFont="1" applyFill="1" applyBorder="1" applyAlignment="1">
      <alignment horizontal="center" vertical="center"/>
    </xf>
    <xf numFmtId="44" fontId="24" fillId="9" borderId="46" xfId="10" applyFont="1" applyFill="1" applyBorder="1" applyAlignment="1">
      <alignment horizontal="center" vertical="center"/>
    </xf>
    <xf numFmtId="44" fontId="15" fillId="0" borderId="61" xfId="0" applyNumberFormat="1" applyFont="1" applyBorder="1" applyAlignment="1">
      <alignment horizontal="center"/>
    </xf>
    <xf numFmtId="44" fontId="15" fillId="0" borderId="45" xfId="0" applyNumberFormat="1" applyFont="1" applyBorder="1" applyAlignment="1">
      <alignment horizontal="center"/>
    </xf>
    <xf numFmtId="0" fontId="23" fillId="18" borderId="49" xfId="0" applyFont="1" applyFill="1" applyBorder="1" applyAlignment="1">
      <alignment horizontal="center" vertical="center"/>
    </xf>
    <xf numFmtId="0" fontId="23" fillId="18" borderId="50" xfId="0" applyFont="1" applyFill="1" applyBorder="1" applyAlignment="1">
      <alignment horizontal="center" vertical="center"/>
    </xf>
    <xf numFmtId="44" fontId="15" fillId="3" borderId="41" xfId="0" applyNumberFormat="1" applyFont="1" applyFill="1" applyBorder="1" applyAlignment="1">
      <alignment horizontal="center"/>
    </xf>
    <xf numFmtId="44" fontId="15" fillId="3" borderId="42" xfId="0" applyNumberFormat="1" applyFont="1" applyFill="1" applyBorder="1" applyAlignment="1">
      <alignment horizontal="center"/>
    </xf>
    <xf numFmtId="44" fontId="15" fillId="0" borderId="41" xfId="0" applyNumberFormat="1" applyFont="1" applyBorder="1" applyAlignment="1">
      <alignment horizontal="center"/>
    </xf>
    <xf numFmtId="44" fontId="15" fillId="0" borderId="42" xfId="0" applyNumberFormat="1" applyFont="1" applyBorder="1" applyAlignment="1">
      <alignment horizontal="center"/>
    </xf>
    <xf numFmtId="44" fontId="15" fillId="0" borderId="53" xfId="0" applyNumberFormat="1" applyFont="1" applyBorder="1" applyAlignment="1">
      <alignment horizontal="center"/>
    </xf>
    <xf numFmtId="44" fontId="15" fillId="0" borderId="54" xfId="0" applyNumberFormat="1" applyFont="1" applyBorder="1" applyAlignment="1">
      <alignment horizontal="center"/>
    </xf>
    <xf numFmtId="0" fontId="10" fillId="17" borderId="29" xfId="0" applyFont="1" applyFill="1" applyBorder="1" applyAlignment="1">
      <alignment horizontal="center" vertical="center"/>
    </xf>
    <xf numFmtId="0" fontId="10" fillId="17" borderId="30" xfId="0" applyFont="1" applyFill="1" applyBorder="1" applyAlignment="1">
      <alignment horizontal="center" vertical="center"/>
    </xf>
    <xf numFmtId="0" fontId="10" fillId="17" borderId="31" xfId="0" applyFont="1" applyFill="1" applyBorder="1" applyAlignment="1">
      <alignment horizontal="center" vertical="center"/>
    </xf>
    <xf numFmtId="0" fontId="25" fillId="18" borderId="47" xfId="0" applyFont="1" applyFill="1" applyBorder="1" applyAlignment="1">
      <alignment horizontal="center" vertical="center"/>
    </xf>
    <xf numFmtId="0" fontId="25" fillId="18" borderId="48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3" fillId="17" borderId="29" xfId="0" applyFont="1" applyFill="1" applyBorder="1" applyAlignment="1">
      <alignment horizontal="center"/>
    </xf>
    <xf numFmtId="0" fontId="23" fillId="17" borderId="30" xfId="0" applyFont="1" applyFill="1" applyBorder="1" applyAlignment="1">
      <alignment horizontal="center"/>
    </xf>
    <xf numFmtId="0" fontId="23" fillId="17" borderId="31" xfId="0" applyFont="1" applyFill="1" applyBorder="1" applyAlignment="1">
      <alignment horizontal="center"/>
    </xf>
    <xf numFmtId="0" fontId="21" fillId="0" borderId="11" xfId="0" applyFont="1" applyBorder="1"/>
    <xf numFmtId="0" fontId="21" fillId="0" borderId="0" xfId="0" applyFont="1"/>
    <xf numFmtId="0" fontId="27" fillId="19" borderId="29" xfId="0" applyFont="1" applyFill="1" applyBorder="1" applyAlignment="1">
      <alignment horizontal="center"/>
    </xf>
    <xf numFmtId="0" fontId="27" fillId="19" borderId="30" xfId="0" applyFont="1" applyFill="1" applyBorder="1" applyAlignment="1">
      <alignment horizontal="center"/>
    </xf>
    <xf numFmtId="0" fontId="21" fillId="0" borderId="10" xfId="0" applyFont="1" applyBorder="1"/>
    <xf numFmtId="0" fontId="21" fillId="0" borderId="20" xfId="0" applyFont="1" applyBorder="1"/>
    <xf numFmtId="0" fontId="28" fillId="9" borderId="32" xfId="0" applyFont="1" applyFill="1" applyBorder="1" applyAlignment="1">
      <alignment horizontal="center" vertical="center"/>
    </xf>
    <xf numFmtId="0" fontId="28" fillId="9" borderId="33" xfId="0" applyFont="1" applyFill="1" applyBorder="1" applyAlignment="1">
      <alignment horizontal="center" vertical="center"/>
    </xf>
    <xf numFmtId="0" fontId="21" fillId="0" borderId="14" xfId="0" applyFont="1" applyBorder="1"/>
    <xf numFmtId="0" fontId="21" fillId="0" borderId="21" xfId="0" applyFont="1" applyBorder="1"/>
    <xf numFmtId="0" fontId="25" fillId="18" borderId="36" xfId="0" applyFont="1" applyFill="1" applyBorder="1" applyAlignment="1">
      <alignment horizontal="center" vertical="center"/>
    </xf>
    <xf numFmtId="0" fontId="25" fillId="18" borderId="25" xfId="0" applyFont="1" applyFill="1" applyBorder="1" applyAlignment="1">
      <alignment horizontal="center" vertical="center"/>
    </xf>
    <xf numFmtId="0" fontId="28" fillId="9" borderId="55" xfId="0" applyFont="1" applyFill="1" applyBorder="1" applyAlignment="1">
      <alignment horizontal="center" vertical="center"/>
    </xf>
    <xf numFmtId="0" fontId="28" fillId="9" borderId="56" xfId="0" applyFont="1" applyFill="1" applyBorder="1" applyAlignment="1">
      <alignment horizontal="center" vertical="center"/>
    </xf>
    <xf numFmtId="37" fontId="21" fillId="0" borderId="20" xfId="12" applyNumberFormat="1" applyFont="1" applyBorder="1" applyAlignment="1">
      <alignment horizontal="center" vertical="center"/>
    </xf>
    <xf numFmtId="37" fontId="21" fillId="0" borderId="0" xfId="12" applyNumberFormat="1" applyFont="1" applyBorder="1" applyAlignment="1">
      <alignment horizontal="center" vertical="center"/>
    </xf>
    <xf numFmtId="37" fontId="21" fillId="0" borderId="21" xfId="12" applyNumberFormat="1" applyFont="1" applyBorder="1" applyAlignment="1">
      <alignment horizontal="center" vertical="center"/>
    </xf>
    <xf numFmtId="0" fontId="25" fillId="18" borderId="55" xfId="0" applyFont="1" applyFill="1" applyBorder="1" applyAlignment="1">
      <alignment horizontal="center" vertical="center"/>
    </xf>
    <xf numFmtId="0" fontId="25" fillId="18" borderId="56" xfId="0" applyFont="1" applyFill="1" applyBorder="1" applyAlignment="1">
      <alignment horizontal="center" vertical="center"/>
    </xf>
    <xf numFmtId="0" fontId="23" fillId="18" borderId="3" xfId="0" applyFont="1" applyFill="1" applyBorder="1" applyAlignment="1">
      <alignment horizontal="center" vertical="center"/>
    </xf>
    <xf numFmtId="0" fontId="23" fillId="18" borderId="6" xfId="0" applyFont="1" applyFill="1" applyBorder="1" applyAlignment="1">
      <alignment horizontal="center" vertical="center"/>
    </xf>
    <xf numFmtId="0" fontId="29" fillId="0" borderId="29" xfId="0" applyFont="1" applyBorder="1" applyAlignment="1">
      <alignment horizontal="center"/>
    </xf>
    <xf numFmtId="0" fontId="29" fillId="0" borderId="30" xfId="0" applyFont="1" applyBorder="1" applyAlignment="1">
      <alignment horizontal="center"/>
    </xf>
    <xf numFmtId="0" fontId="29" fillId="0" borderId="31" xfId="0" applyFont="1" applyBorder="1" applyAlignment="1">
      <alignment horizontal="center"/>
    </xf>
    <xf numFmtId="0" fontId="28" fillId="9" borderId="29" xfId="0" applyFont="1" applyFill="1" applyBorder="1" applyAlignment="1">
      <alignment horizontal="center" vertical="center"/>
    </xf>
    <xf numFmtId="0" fontId="28" fillId="9" borderId="30" xfId="0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wrapText="1"/>
    </xf>
    <xf numFmtId="0" fontId="34" fillId="0" borderId="20" xfId="0" applyFont="1" applyBorder="1" applyAlignment="1">
      <alignment horizontal="center" wrapText="1"/>
    </xf>
    <xf numFmtId="0" fontId="34" fillId="0" borderId="7" xfId="0" applyFont="1" applyBorder="1" applyAlignment="1">
      <alignment horizontal="center" wrapText="1"/>
    </xf>
    <xf numFmtId="0" fontId="34" fillId="0" borderId="14" xfId="0" applyFont="1" applyBorder="1" applyAlignment="1">
      <alignment horizontal="center" wrapText="1"/>
    </xf>
    <xf numFmtId="0" fontId="34" fillId="0" borderId="21" xfId="0" applyFont="1" applyBorder="1" applyAlignment="1">
      <alignment horizontal="center" wrapText="1"/>
    </xf>
    <xf numFmtId="0" fontId="34" fillId="0" borderId="9" xfId="0" applyFont="1" applyBorder="1" applyAlignment="1">
      <alignment horizontal="center" wrapText="1"/>
    </xf>
    <xf numFmtId="44" fontId="21" fillId="0" borderId="7" xfId="10" applyFont="1" applyBorder="1" applyAlignment="1">
      <alignment horizontal="center" vertical="center"/>
    </xf>
    <xf numFmtId="44" fontId="21" fillId="0" borderId="8" xfId="10" applyFont="1" applyBorder="1" applyAlignment="1">
      <alignment horizontal="center" vertical="center"/>
    </xf>
    <xf numFmtId="44" fontId="21" fillId="0" borderId="9" xfId="10" applyFont="1" applyBorder="1" applyAlignment="1">
      <alignment horizontal="center" vertical="center"/>
    </xf>
    <xf numFmtId="0" fontId="10" fillId="17" borderId="32" xfId="0" applyFont="1" applyFill="1" applyBorder="1" applyAlignment="1">
      <alignment horizontal="center" vertical="center"/>
    </xf>
    <xf numFmtId="0" fontId="10" fillId="17" borderId="33" xfId="0" applyFont="1" applyFill="1" applyBorder="1" applyAlignment="1">
      <alignment horizontal="center" vertical="center"/>
    </xf>
    <xf numFmtId="0" fontId="10" fillId="17" borderId="34" xfId="0" applyFont="1" applyFill="1" applyBorder="1" applyAlignment="1">
      <alignment horizontal="center" vertical="center"/>
    </xf>
    <xf numFmtId="0" fontId="22" fillId="9" borderId="10" xfId="0" applyFont="1" applyFill="1" applyBorder="1" applyAlignment="1">
      <alignment horizontal="center" vertical="center" wrapText="1"/>
    </xf>
    <xf numFmtId="0" fontId="22" fillId="9" borderId="20" xfId="0" applyFont="1" applyFill="1" applyBorder="1" applyAlignment="1">
      <alignment horizontal="center" vertical="center" wrapText="1"/>
    </xf>
    <xf numFmtId="0" fontId="22" fillId="9" borderId="35" xfId="0" applyFont="1" applyFill="1" applyBorder="1" applyAlignment="1">
      <alignment horizontal="center" vertical="center" wrapText="1"/>
    </xf>
    <xf numFmtId="0" fontId="22" fillId="9" borderId="11" xfId="0" applyFont="1" applyFill="1" applyBorder="1" applyAlignment="1">
      <alignment horizontal="center" vertical="center" wrapText="1"/>
    </xf>
    <xf numFmtId="0" fontId="22" fillId="9" borderId="0" xfId="0" applyFont="1" applyFill="1" applyAlignment="1">
      <alignment horizontal="center" vertical="center" wrapText="1"/>
    </xf>
    <xf numFmtId="0" fontId="22" fillId="9" borderId="38" xfId="0" applyFont="1" applyFill="1" applyBorder="1" applyAlignment="1">
      <alignment horizontal="center" vertical="center" wrapText="1"/>
    </xf>
    <xf numFmtId="0" fontId="22" fillId="9" borderId="43" xfId="0" applyFont="1" applyFill="1" applyBorder="1" applyAlignment="1">
      <alignment horizontal="center" vertical="center" wrapText="1"/>
    </xf>
    <xf numFmtId="0" fontId="22" fillId="9" borderId="44" xfId="0" applyFont="1" applyFill="1" applyBorder="1" applyAlignment="1">
      <alignment horizontal="center" vertical="center" wrapText="1"/>
    </xf>
    <xf numFmtId="0" fontId="22" fillId="9" borderId="45" xfId="0" applyFont="1" applyFill="1" applyBorder="1" applyAlignment="1">
      <alignment horizontal="center" vertical="center" wrapText="1"/>
    </xf>
    <xf numFmtId="0" fontId="23" fillId="17" borderId="25" xfId="0" applyFont="1" applyFill="1" applyBorder="1" applyAlignment="1">
      <alignment horizontal="center"/>
    </xf>
    <xf numFmtId="44" fontId="26" fillId="0" borderId="53" xfId="0" applyNumberFormat="1" applyFont="1" applyBorder="1" applyAlignment="1">
      <alignment horizontal="center"/>
    </xf>
    <xf numFmtId="44" fontId="26" fillId="0" borderId="54" xfId="0" applyNumberFormat="1" applyFont="1" applyBorder="1" applyAlignment="1">
      <alignment horizontal="center"/>
    </xf>
    <xf numFmtId="0" fontId="32" fillId="0" borderId="14" xfId="0" applyFont="1" applyBorder="1"/>
    <xf numFmtId="0" fontId="32" fillId="0" borderId="21" xfId="0" applyFont="1" applyBorder="1"/>
    <xf numFmtId="0" fontId="33" fillId="9" borderId="32" xfId="0" applyFont="1" applyFill="1" applyBorder="1" applyAlignment="1">
      <alignment horizontal="center" vertical="center"/>
    </xf>
    <xf numFmtId="0" fontId="33" fillId="9" borderId="33" xfId="0" applyFont="1" applyFill="1" applyBorder="1" applyAlignment="1">
      <alignment horizontal="center" vertical="center"/>
    </xf>
    <xf numFmtId="0" fontId="30" fillId="17" borderId="29" xfId="0" applyFont="1" applyFill="1" applyBorder="1" applyAlignment="1">
      <alignment horizontal="center" vertical="center"/>
    </xf>
    <xf numFmtId="0" fontId="30" fillId="17" borderId="30" xfId="0" applyFont="1" applyFill="1" applyBorder="1" applyAlignment="1">
      <alignment horizontal="center" vertical="center"/>
    </xf>
    <xf numFmtId="0" fontId="30" fillId="17" borderId="31" xfId="0" applyFont="1" applyFill="1" applyBorder="1" applyAlignment="1">
      <alignment horizontal="center" vertical="center"/>
    </xf>
    <xf numFmtId="0" fontId="31" fillId="19" borderId="29" xfId="0" applyFont="1" applyFill="1" applyBorder="1" applyAlignment="1">
      <alignment horizontal="center"/>
    </xf>
    <xf numFmtId="0" fontId="31" fillId="19" borderId="30" xfId="0" applyFont="1" applyFill="1" applyBorder="1" applyAlignment="1">
      <alignment horizontal="center"/>
    </xf>
    <xf numFmtId="0" fontId="32" fillId="0" borderId="10" xfId="0" applyFont="1" applyBorder="1"/>
    <xf numFmtId="0" fontId="32" fillId="0" borderId="20" xfId="0" applyFont="1" applyBorder="1"/>
  </cellXfs>
  <cellStyles count="13">
    <cellStyle name="Comma 2" xfId="6" xr:uid="{CB80F5FA-8819-4A0C-90D2-3D4CC81AC0D1}"/>
    <cellStyle name="Comma 3" xfId="12" xr:uid="{E24019B2-E74F-4CCE-925F-D47F94385E43}"/>
    <cellStyle name="Currency" xfId="1" builtinId="4"/>
    <cellStyle name="Currency 2" xfId="4" xr:uid="{6A68EC5D-BA9D-4F5A-AFCC-08C841C5BCB0}"/>
    <cellStyle name="Currency 3" xfId="10" xr:uid="{77D0C078-36AD-4E30-BF80-CE0C94EDFE69}"/>
    <cellStyle name="Normal" xfId="0" builtinId="0"/>
    <cellStyle name="Normal 2" xfId="7" xr:uid="{12E18CE5-73C9-4865-8102-D3EA8ECFA702}"/>
    <cellStyle name="Normal 3" xfId="8" xr:uid="{FEF7A874-9358-42C5-9B75-07EEB45CD0C5}"/>
    <cellStyle name="Normal 4" xfId="3" xr:uid="{36F3F3E1-064C-4456-9461-5DAE95BA7B88}"/>
    <cellStyle name="Normal 5" xfId="9" xr:uid="{35DB72A0-FD96-4DB7-A221-CAA86E317821}"/>
    <cellStyle name="Percent" xfId="2" builtinId="5"/>
    <cellStyle name="Percent 2" xfId="5" xr:uid="{395B059D-AF0B-403E-A562-B29AB6535CDD}"/>
    <cellStyle name="Percent 3" xfId="11" xr:uid="{72305D62-581C-4A68-8BFA-4F4782969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D843-2B5E-4779-B087-B2695D41677E}">
  <sheetPr codeName="Sheet1"/>
  <dimension ref="A1:I41"/>
  <sheetViews>
    <sheetView zoomScale="90" zoomScaleNormal="90" workbookViewId="0">
      <selection activeCell="E40" sqref="E40"/>
    </sheetView>
  </sheetViews>
  <sheetFormatPr defaultRowHeight="14.5" x14ac:dyDescent="0.35"/>
  <cols>
    <col min="1" max="1" width="22.81640625" customWidth="1"/>
    <col min="2" max="2" width="17.1796875" style="1" bestFit="1" customWidth="1"/>
    <col min="3" max="3" width="15.1796875" style="1" bestFit="1" customWidth="1"/>
    <col min="4" max="4" width="17.1796875" style="2" bestFit="1" customWidth="1"/>
    <col min="5" max="5" width="17.1796875" style="2" customWidth="1"/>
    <col min="6" max="6" width="13.453125" style="6" bestFit="1" customWidth="1"/>
    <col min="7" max="7" width="9.453125" style="6" customWidth="1"/>
    <col min="8" max="8" width="14.54296875" customWidth="1"/>
    <col min="9" max="9" width="17.1796875" style="71" customWidth="1"/>
    <col min="11" max="11" width="55.1796875" bestFit="1" customWidth="1"/>
    <col min="12" max="12" width="12.1796875" bestFit="1" customWidth="1"/>
    <col min="13" max="13" width="9.81640625" bestFit="1" customWidth="1"/>
  </cols>
  <sheetData>
    <row r="1" spans="1:9" ht="15" thickBot="1" x14ac:dyDescent="0.4"/>
    <row r="2" spans="1:9" x14ac:dyDescent="0.35">
      <c r="A2" s="40" t="s">
        <v>17</v>
      </c>
      <c r="B2" s="41"/>
      <c r="C2" s="42"/>
      <c r="D2" s="43"/>
      <c r="E2" s="53"/>
      <c r="F2" s="54"/>
      <c r="G2" s="44"/>
      <c r="H2" s="45"/>
      <c r="I2" s="72"/>
    </row>
    <row r="3" spans="1:9" ht="15" thickBot="1" x14ac:dyDescent="0.4">
      <c r="A3" s="46"/>
      <c r="B3" s="47" t="s">
        <v>6</v>
      </c>
      <c r="C3" s="48" t="s">
        <v>8</v>
      </c>
      <c r="D3" s="49" t="s">
        <v>10</v>
      </c>
      <c r="E3" s="52" t="s">
        <v>20</v>
      </c>
      <c r="F3" s="55" t="s">
        <v>7</v>
      </c>
      <c r="G3" s="50" t="s">
        <v>9</v>
      </c>
      <c r="H3" s="51" t="s">
        <v>11</v>
      </c>
      <c r="I3" s="73" t="s">
        <v>21</v>
      </c>
    </row>
    <row r="4" spans="1:9" x14ac:dyDescent="0.35">
      <c r="A4" s="16" t="s">
        <v>1</v>
      </c>
      <c r="B4" s="19" t="e">
        <f>'By Month'!#REF!+'By Month'!#REF!+'By Month'!#REF!+'By Month'!#REF!+'By Month'!#REF!+'By Month'!#REF!</f>
        <v>#REF!</v>
      </c>
      <c r="C4" s="22">
        <v>1170809</v>
      </c>
      <c r="D4" s="25" t="e">
        <f>B4/C4</f>
        <v>#REF!</v>
      </c>
      <c r="E4" s="13" t="e">
        <f>C4-B4</f>
        <v>#REF!</v>
      </c>
      <c r="F4" s="28" t="e">
        <f>'By Month'!#REF!+'By Month'!#REF!+'By Month'!#REF!+'By Month'!#REF!+'By Month'!#REF!+'By Month'!#REF!</f>
        <v>#REF!</v>
      </c>
      <c r="G4" s="31">
        <v>14028.902917000825</v>
      </c>
      <c r="H4" s="34" t="e">
        <f>F4/G4</f>
        <v>#REF!</v>
      </c>
      <c r="I4" s="74" t="e">
        <f>G4-F4</f>
        <v>#REF!</v>
      </c>
    </row>
    <row r="5" spans="1:9" x14ac:dyDescent="0.35">
      <c r="A5" s="16" t="s">
        <v>2</v>
      </c>
      <c r="B5" s="19" t="e">
        <f>'By Month'!#REF!+'By Month'!#REF!+'By Month'!#REF!+'By Month'!#REF!+'By Month'!#REF!+'By Month'!#REF!</f>
        <v>#REF!</v>
      </c>
      <c r="C5" s="22">
        <v>227446</v>
      </c>
      <c r="D5" s="25" t="e">
        <f>B5/C5</f>
        <v>#REF!</v>
      </c>
      <c r="E5" s="13" t="e">
        <f t="shared" ref="E5:E8" si="0">C5-B5</f>
        <v>#REF!</v>
      </c>
      <c r="F5" s="28" t="e">
        <f>'By Month'!#REF!+'By Month'!#REF!+'By Month'!#REF!+'By Month'!#REF!+'By Month'!#REF!+'By Month'!#REF!</f>
        <v>#REF!</v>
      </c>
      <c r="G5" s="31">
        <v>4258.1880341880342</v>
      </c>
      <c r="H5" s="34" t="e">
        <f t="shared" ref="H5:H7" si="1">F5/G5</f>
        <v>#REF!</v>
      </c>
      <c r="I5" s="74" t="e">
        <f t="shared" ref="I5:I8" si="2">G5-F5</f>
        <v>#REF!</v>
      </c>
    </row>
    <row r="6" spans="1:9" x14ac:dyDescent="0.35">
      <c r="A6" s="16" t="s">
        <v>3</v>
      </c>
      <c r="B6" s="19" t="e">
        <f>'By Month'!#REF!+'By Month'!#REF!+'By Month'!#REF!+'By Month'!#REF!+'By Month'!#REF!+'By Month'!#REF!</f>
        <v>#REF!</v>
      </c>
      <c r="C6" s="22">
        <v>7135045</v>
      </c>
      <c r="D6" s="25" t="e">
        <f>B6/C6</f>
        <v>#REF!</v>
      </c>
      <c r="E6" s="13" t="e">
        <f t="shared" si="0"/>
        <v>#REF!</v>
      </c>
      <c r="F6" s="28" t="e">
        <f>'By Month'!#REF!+'By Month'!#REF!+'By Month'!#REF!+'By Month'!#REF!+'By Month'!#REF!+'By Month'!#REF!</f>
        <v>#REF!</v>
      </c>
      <c r="G6" s="31">
        <v>62588</v>
      </c>
      <c r="H6" s="34" t="e">
        <f t="shared" si="1"/>
        <v>#REF!</v>
      </c>
      <c r="I6" s="74" t="e">
        <f t="shared" si="2"/>
        <v>#REF!</v>
      </c>
    </row>
    <row r="7" spans="1:9" x14ac:dyDescent="0.35">
      <c r="A7" s="16" t="s">
        <v>4</v>
      </c>
      <c r="B7" s="19" t="e">
        <f>'By Month'!#REF!+'By Month'!#REF!+'By Month'!#REF!+'By Month'!#REF!+'By Month'!#REF!+'By Month'!#REF!</f>
        <v>#REF!</v>
      </c>
      <c r="C7" s="22">
        <v>325106.5</v>
      </c>
      <c r="D7" s="25" t="e">
        <f>B7/C7</f>
        <v>#REF!</v>
      </c>
      <c r="E7" s="13" t="e">
        <f t="shared" si="0"/>
        <v>#REF!</v>
      </c>
      <c r="F7" s="28" t="e">
        <f>'By Month'!#REF!+'By Month'!#REF!+'By Month'!#REF!+'By Month'!#REF!+'By Month'!#REF!+'By Month'!#REF!</f>
        <v>#REF!</v>
      </c>
      <c r="G7" s="31">
        <v>7554.079999999999</v>
      </c>
      <c r="H7" s="34" t="e">
        <f t="shared" si="1"/>
        <v>#REF!</v>
      </c>
      <c r="I7" s="74" t="e">
        <f t="shared" si="2"/>
        <v>#REF!</v>
      </c>
    </row>
    <row r="8" spans="1:9" x14ac:dyDescent="0.35">
      <c r="A8" s="16" t="s">
        <v>15</v>
      </c>
      <c r="B8" s="19" t="e">
        <f>'By Month'!#REF!+'By Month'!#REF!+'By Month'!#REF!+'By Month'!#REF!+'By Month'!#REF!+'By Month'!#REF!</f>
        <v>#REF!</v>
      </c>
      <c r="C8" s="22">
        <v>0</v>
      </c>
      <c r="D8" s="69" t="s">
        <v>19</v>
      </c>
      <c r="E8" s="13" t="e">
        <f t="shared" si="0"/>
        <v>#REF!</v>
      </c>
      <c r="F8" s="28" t="e">
        <f>'By Month'!#REF!+'By Month'!#REF!+'By Month'!#REF!+'By Month'!#REF!+'By Month'!#REF!+'By Month'!#REF!</f>
        <v>#REF!</v>
      </c>
      <c r="G8" s="31">
        <v>0</v>
      </c>
      <c r="H8" s="35" t="s">
        <v>19</v>
      </c>
      <c r="I8" s="74" t="e">
        <f t="shared" si="2"/>
        <v>#REF!</v>
      </c>
    </row>
    <row r="9" spans="1:9" ht="15" thickBot="1" x14ac:dyDescent="0.4">
      <c r="A9" s="17" t="s">
        <v>5</v>
      </c>
      <c r="B9" s="20" t="e">
        <f>'By Month'!#REF!+'By Month'!#REF!+'By Month'!#REF!+'By Month'!#REF!+'By Month'!#REF!+'By Month'!#REF!</f>
        <v>#REF!</v>
      </c>
      <c r="C9" s="23">
        <v>994978.08</v>
      </c>
      <c r="D9" s="26" t="e">
        <f>B9/C9</f>
        <v>#REF!</v>
      </c>
      <c r="E9" s="14" t="e">
        <f>C9-B9</f>
        <v>#REF!</v>
      </c>
      <c r="F9" s="29" t="e">
        <f>'By Month'!#REF!+'By Month'!#REF!+'By Month'!#REF!+'By Month'!#REF!+'By Month'!#REF!+'By Month'!#REF!</f>
        <v>#REF!</v>
      </c>
      <c r="G9" s="32">
        <v>7695</v>
      </c>
      <c r="H9" s="36" t="e">
        <f>F9/G9</f>
        <v>#REF!</v>
      </c>
      <c r="I9" s="75" t="e">
        <f>G9-F9</f>
        <v>#REF!</v>
      </c>
    </row>
    <row r="10" spans="1:9" ht="15.5" thickTop="1" thickBot="1" x14ac:dyDescent="0.4">
      <c r="A10" s="57" t="s">
        <v>13</v>
      </c>
      <c r="B10" s="58" t="e">
        <f>SUM(B4:B9)</f>
        <v>#REF!</v>
      </c>
      <c r="C10" s="59">
        <f>SUM(C4:C9)</f>
        <v>9853384.5800000001</v>
      </c>
      <c r="D10" s="60" t="e">
        <f>B10/C10</f>
        <v>#REF!</v>
      </c>
      <c r="E10" s="61" t="e">
        <f>C10-B10</f>
        <v>#REF!</v>
      </c>
      <c r="F10" s="62" t="e">
        <f>SUM(F4:F9)</f>
        <v>#REF!</v>
      </c>
      <c r="G10" s="63">
        <f>SUM(G4:G9)</f>
        <v>96124.170951188862</v>
      </c>
      <c r="H10" s="64" t="e">
        <f>F10/G10</f>
        <v>#REF!</v>
      </c>
      <c r="I10" s="76" t="e">
        <f>G10-F10</f>
        <v>#REF!</v>
      </c>
    </row>
    <row r="11" spans="1:9" ht="15" thickBot="1" x14ac:dyDescent="0.4"/>
    <row r="12" spans="1:9" x14ac:dyDescent="0.35">
      <c r="A12" s="40" t="s">
        <v>0</v>
      </c>
      <c r="B12" s="41"/>
      <c r="C12" s="42"/>
      <c r="D12" s="43"/>
      <c r="E12" s="43"/>
      <c r="F12" s="44"/>
      <c r="G12" s="44"/>
      <c r="H12" s="45"/>
      <c r="I12" s="72"/>
    </row>
    <row r="13" spans="1:9" ht="15" thickBot="1" x14ac:dyDescent="0.4">
      <c r="A13" s="46"/>
      <c r="B13" s="47" t="s">
        <v>6</v>
      </c>
      <c r="C13" s="48" t="s">
        <v>8</v>
      </c>
      <c r="D13" s="49" t="s">
        <v>10</v>
      </c>
      <c r="E13" s="49" t="s">
        <v>20</v>
      </c>
      <c r="F13" s="50" t="s">
        <v>7</v>
      </c>
      <c r="G13" s="50" t="s">
        <v>9</v>
      </c>
      <c r="H13" s="51" t="s">
        <v>11</v>
      </c>
      <c r="I13" s="73" t="s">
        <v>21</v>
      </c>
    </row>
    <row r="14" spans="1:9" x14ac:dyDescent="0.35">
      <c r="A14" s="16" t="s">
        <v>1</v>
      </c>
      <c r="B14" s="19" t="e">
        <f>'By Month'!#REF!+'By Month'!#REF!+'By Month'!#REF!</f>
        <v>#REF!</v>
      </c>
      <c r="C14" s="22" t="e">
        <f>'By Month'!#REF!+'By Month'!#REF!+'By Month'!#REF!</f>
        <v>#REF!</v>
      </c>
      <c r="D14" s="25" t="e">
        <f>B14/C14</f>
        <v>#REF!</v>
      </c>
      <c r="E14" s="65" t="e">
        <f>C14-B14</f>
        <v>#REF!</v>
      </c>
      <c r="F14" s="31" t="e">
        <f>'By Month'!#REF!+'By Month'!#REF!+'By Month'!#REF!</f>
        <v>#REF!</v>
      </c>
      <c r="G14" s="31" t="e">
        <f>'By Month'!#REF!+'By Month'!#REF!+'By Month'!#REF!</f>
        <v>#REF!</v>
      </c>
      <c r="H14" s="38" t="e">
        <f>F14/G14</f>
        <v>#REF!</v>
      </c>
      <c r="I14" s="74" t="e">
        <f>G14-F14</f>
        <v>#REF!</v>
      </c>
    </row>
    <row r="15" spans="1:9" x14ac:dyDescent="0.35">
      <c r="A15" s="16" t="s">
        <v>2</v>
      </c>
      <c r="B15" s="19" t="e">
        <f>'By Month'!#REF!+'By Month'!#REF!+'By Month'!#REF!</f>
        <v>#REF!</v>
      </c>
      <c r="C15" s="22" t="e">
        <f>'By Month'!#REF!+'By Month'!#REF!+'By Month'!#REF!</f>
        <v>#REF!</v>
      </c>
      <c r="D15" s="25" t="e">
        <f>B15/C15</f>
        <v>#REF!</v>
      </c>
      <c r="E15" s="65" t="e">
        <f t="shared" ref="E15:E19" si="3">C15-B15</f>
        <v>#REF!</v>
      </c>
      <c r="F15" s="31" t="e">
        <f>'By Month'!#REF!+'By Month'!#REF!+'By Month'!#REF!</f>
        <v>#REF!</v>
      </c>
      <c r="G15" s="31" t="e">
        <f>'By Month'!#REF!+'By Month'!#REF!+'By Month'!#REF!</f>
        <v>#REF!</v>
      </c>
      <c r="H15" s="38" t="e">
        <f t="shared" ref="H15:H19" si="4">F15/G15</f>
        <v>#REF!</v>
      </c>
      <c r="I15" s="74" t="e">
        <f t="shared" ref="I15:I19" si="5">G15-F15</f>
        <v>#REF!</v>
      </c>
    </row>
    <row r="16" spans="1:9" x14ac:dyDescent="0.35">
      <c r="A16" s="16" t="s">
        <v>3</v>
      </c>
      <c r="B16" s="19" t="e">
        <f>'By Month'!#REF!+'By Month'!#REF!+'By Month'!#REF!</f>
        <v>#REF!</v>
      </c>
      <c r="C16" s="22" t="e">
        <f>'By Month'!#REF!+'By Month'!#REF!+'By Month'!#REF!</f>
        <v>#REF!</v>
      </c>
      <c r="D16" s="25" t="e">
        <f>B16/C16</f>
        <v>#REF!</v>
      </c>
      <c r="E16" s="65" t="e">
        <f t="shared" si="3"/>
        <v>#REF!</v>
      </c>
      <c r="F16" s="31" t="e">
        <f>'By Month'!#REF!+'By Month'!#REF!+'By Month'!#REF!</f>
        <v>#REF!</v>
      </c>
      <c r="G16" s="31" t="e">
        <f>'By Month'!#REF!+'By Month'!#REF!+'By Month'!#REF!</f>
        <v>#REF!</v>
      </c>
      <c r="H16" s="38" t="e">
        <f t="shared" si="4"/>
        <v>#REF!</v>
      </c>
      <c r="I16" s="74" t="e">
        <f t="shared" si="5"/>
        <v>#REF!</v>
      </c>
    </row>
    <row r="17" spans="1:9" x14ac:dyDescent="0.35">
      <c r="A17" s="16" t="s">
        <v>4</v>
      </c>
      <c r="B17" s="19" t="e">
        <f>'By Month'!#REF!+'By Month'!#REF!+'By Month'!#REF!</f>
        <v>#REF!</v>
      </c>
      <c r="C17" s="22" t="e">
        <f>'By Month'!#REF!+'By Month'!#REF!+'By Month'!#REF!</f>
        <v>#REF!</v>
      </c>
      <c r="D17" s="25" t="e">
        <f>B17/C17</f>
        <v>#REF!</v>
      </c>
      <c r="E17" s="65" t="e">
        <f t="shared" si="3"/>
        <v>#REF!</v>
      </c>
      <c r="F17" s="31" t="e">
        <f>'By Month'!#REF!+'By Month'!#REF!+'By Month'!#REF!</f>
        <v>#REF!</v>
      </c>
      <c r="G17" s="31" t="e">
        <f>'By Month'!#REF!+'By Month'!#REF!+'By Month'!#REF!</f>
        <v>#REF!</v>
      </c>
      <c r="H17" s="38" t="e">
        <f t="shared" si="4"/>
        <v>#REF!</v>
      </c>
      <c r="I17" s="74" t="e">
        <f t="shared" si="5"/>
        <v>#REF!</v>
      </c>
    </row>
    <row r="18" spans="1:9" x14ac:dyDescent="0.35">
      <c r="A18" s="16" t="s">
        <v>15</v>
      </c>
      <c r="B18" s="19" t="e">
        <f>'By Month'!#REF!+'By Month'!#REF!+'By Month'!#REF!</f>
        <v>#REF!</v>
      </c>
      <c r="C18" s="22">
        <v>0</v>
      </c>
      <c r="D18" s="69" t="s">
        <v>19</v>
      </c>
      <c r="E18" s="65" t="e">
        <f t="shared" si="3"/>
        <v>#REF!</v>
      </c>
      <c r="F18" s="31" t="e">
        <f>'By Month'!#REF!+'By Month'!#REF!+'By Month'!#REF!</f>
        <v>#REF!</v>
      </c>
      <c r="G18" s="31">
        <v>0</v>
      </c>
      <c r="H18" s="68" t="s">
        <v>19</v>
      </c>
      <c r="I18" s="74" t="e">
        <f t="shared" si="5"/>
        <v>#REF!</v>
      </c>
    </row>
    <row r="19" spans="1:9" ht="15" thickBot="1" x14ac:dyDescent="0.4">
      <c r="A19" s="17" t="s">
        <v>5</v>
      </c>
      <c r="B19" s="20" t="e">
        <f>'By Month'!#REF!+'By Month'!#REF!+'By Month'!#REF!</f>
        <v>#REF!</v>
      </c>
      <c r="C19" s="23" t="e">
        <f>'By Month'!#REF!+'By Month'!#REF!+'By Month'!#REF!</f>
        <v>#REF!</v>
      </c>
      <c r="D19" s="26" t="e">
        <f>B19/C19</f>
        <v>#REF!</v>
      </c>
      <c r="E19" s="67" t="e">
        <f t="shared" si="3"/>
        <v>#REF!</v>
      </c>
      <c r="F19" s="32" t="e">
        <f>'By Month'!#REF!+'By Month'!#REF!+'By Month'!#REF!</f>
        <v>#REF!</v>
      </c>
      <c r="G19" s="32" t="e">
        <f>'By Month'!#REF!+'By Month'!#REF!+'By Month'!#REF!</f>
        <v>#REF!</v>
      </c>
      <c r="H19" s="39" t="e">
        <f t="shared" si="4"/>
        <v>#REF!</v>
      </c>
      <c r="I19" s="75" t="e">
        <f t="shared" si="5"/>
        <v>#REF!</v>
      </c>
    </row>
    <row r="20" spans="1:9" ht="15.5" thickTop="1" thickBot="1" x14ac:dyDescent="0.4">
      <c r="A20" s="18" t="s">
        <v>13</v>
      </c>
      <c r="B20" s="21" t="e">
        <f>SUM(B14:B19)</f>
        <v>#REF!</v>
      </c>
      <c r="C20" s="24" t="e">
        <f>SUM(C14:C19)</f>
        <v>#REF!</v>
      </c>
      <c r="D20" s="27" t="e">
        <f>B20/C20</f>
        <v>#REF!</v>
      </c>
      <c r="E20" s="66" t="e">
        <f>C20-B20</f>
        <v>#REF!</v>
      </c>
      <c r="F20" s="33" t="e">
        <f>SUM(F14:F19)</f>
        <v>#REF!</v>
      </c>
      <c r="G20" s="33" t="e">
        <f>SUM(G14:G19)</f>
        <v>#REF!</v>
      </c>
      <c r="H20" s="37" t="e">
        <f>SUM(H14:H19)</f>
        <v>#REF!</v>
      </c>
      <c r="I20" s="77" t="e">
        <f>G20-F20</f>
        <v>#REF!</v>
      </c>
    </row>
    <row r="21" spans="1:9" x14ac:dyDescent="0.35">
      <c r="A21" s="3"/>
      <c r="B21" s="4"/>
      <c r="C21" s="4"/>
      <c r="D21" s="5"/>
      <c r="E21" s="5"/>
      <c r="F21" s="7"/>
      <c r="G21" s="7"/>
      <c r="H21" s="3"/>
      <c r="I21" s="78"/>
    </row>
    <row r="22" spans="1:9" ht="15" thickBot="1" x14ac:dyDescent="0.4">
      <c r="A22" s="3"/>
      <c r="B22" s="4"/>
      <c r="C22" s="4"/>
      <c r="D22" s="5"/>
      <c r="E22" s="5"/>
      <c r="F22" s="7"/>
      <c r="G22" s="7"/>
      <c r="H22" s="3"/>
      <c r="I22" s="78"/>
    </row>
    <row r="23" spans="1:9" x14ac:dyDescent="0.35">
      <c r="A23" s="40" t="s">
        <v>18</v>
      </c>
      <c r="B23" s="41"/>
      <c r="C23" s="42"/>
      <c r="D23" s="43"/>
      <c r="E23" s="53"/>
      <c r="F23" s="54"/>
      <c r="G23" s="44"/>
      <c r="H23" s="45"/>
      <c r="I23" s="72"/>
    </row>
    <row r="24" spans="1:9" ht="15" thickBot="1" x14ac:dyDescent="0.4">
      <c r="A24" s="46"/>
      <c r="B24" s="47" t="s">
        <v>6</v>
      </c>
      <c r="C24" s="48" t="s">
        <v>8</v>
      </c>
      <c r="D24" s="49" t="s">
        <v>10</v>
      </c>
      <c r="E24" s="52" t="s">
        <v>20</v>
      </c>
      <c r="F24" s="55" t="s">
        <v>7</v>
      </c>
      <c r="G24" s="50" t="s">
        <v>9</v>
      </c>
      <c r="H24" s="51" t="s">
        <v>11</v>
      </c>
      <c r="I24" s="73" t="s">
        <v>21</v>
      </c>
    </row>
    <row r="25" spans="1:9" x14ac:dyDescent="0.35">
      <c r="A25" s="16" t="s">
        <v>1</v>
      </c>
      <c r="B25" s="19" t="e">
        <f>'By Month'!#REF!+'By Month'!#REF!+'By Month'!#REF!</f>
        <v>#REF!</v>
      </c>
      <c r="C25" s="22" t="e">
        <f>'By Month'!#REF!+'By Month'!#REF!+'By Month'!#REF!</f>
        <v>#REF!</v>
      </c>
      <c r="D25" s="25" t="e">
        <f>B25/C25</f>
        <v>#REF!</v>
      </c>
      <c r="E25" s="13" t="e">
        <f>C25-B25</f>
        <v>#REF!</v>
      </c>
      <c r="F25" s="28" t="e">
        <f>'By Month'!#REF!+'By Month'!#REF!+'By Month'!#REF!</f>
        <v>#REF!</v>
      </c>
      <c r="G25" s="31" t="e">
        <f>'By Month'!#REF!+'By Month'!#REF!+'By Month'!#REF!</f>
        <v>#REF!</v>
      </c>
      <c r="H25" s="38" t="e">
        <f>F25/G25</f>
        <v>#REF!</v>
      </c>
      <c r="I25" s="79" t="e">
        <f>G25-F25</f>
        <v>#REF!</v>
      </c>
    </row>
    <row r="26" spans="1:9" x14ac:dyDescent="0.35">
      <c r="A26" s="16" t="s">
        <v>2</v>
      </c>
      <c r="B26" s="19" t="e">
        <f>'By Month'!#REF!+'By Month'!#REF!+'By Month'!#REF!</f>
        <v>#REF!</v>
      </c>
      <c r="C26" s="22" t="e">
        <f>'By Month'!#REF!+'By Month'!#REF!+'By Month'!#REF!</f>
        <v>#REF!</v>
      </c>
      <c r="D26" s="25" t="e">
        <f>B26/C26</f>
        <v>#REF!</v>
      </c>
      <c r="E26" s="13" t="e">
        <f t="shared" ref="E26:E30" si="6">C26-B26</f>
        <v>#REF!</v>
      </c>
      <c r="F26" s="28" t="e">
        <f>'By Month'!#REF!+'By Month'!#REF!+'By Month'!#REF!</f>
        <v>#REF!</v>
      </c>
      <c r="G26" s="31" t="e">
        <f>'By Month'!#REF!+'By Month'!#REF!+'By Month'!#REF!</f>
        <v>#REF!</v>
      </c>
      <c r="H26" s="38" t="e">
        <f t="shared" ref="H26:H30" si="7">F26/G26</f>
        <v>#REF!</v>
      </c>
      <c r="I26" s="80" t="e">
        <f t="shared" ref="I26:I30" si="8">G26-F26</f>
        <v>#REF!</v>
      </c>
    </row>
    <row r="27" spans="1:9" x14ac:dyDescent="0.35">
      <c r="A27" s="16" t="s">
        <v>3</v>
      </c>
      <c r="B27" s="19" t="e">
        <f>'By Month'!#REF!+'By Month'!#REF!+'By Month'!#REF!</f>
        <v>#REF!</v>
      </c>
      <c r="C27" s="22" t="e">
        <f>'By Month'!#REF!+'By Month'!#REF!+'By Month'!#REF!</f>
        <v>#REF!</v>
      </c>
      <c r="D27" s="25" t="e">
        <f>B27/C27</f>
        <v>#REF!</v>
      </c>
      <c r="E27" s="13" t="e">
        <f t="shared" si="6"/>
        <v>#REF!</v>
      </c>
      <c r="F27" s="28" t="e">
        <f>'By Month'!#REF!+'By Month'!#REF!+'By Month'!#REF!</f>
        <v>#REF!</v>
      </c>
      <c r="G27" s="31" t="e">
        <f>'By Month'!#REF!+'By Month'!#REF!+'By Month'!#REF!</f>
        <v>#REF!</v>
      </c>
      <c r="H27" s="38" t="e">
        <f t="shared" si="7"/>
        <v>#REF!</v>
      </c>
      <c r="I27" s="80" t="e">
        <f t="shared" si="8"/>
        <v>#REF!</v>
      </c>
    </row>
    <row r="28" spans="1:9" x14ac:dyDescent="0.35">
      <c r="A28" s="16" t="s">
        <v>4</v>
      </c>
      <c r="B28" s="19" t="e">
        <f>'By Month'!#REF!+'By Month'!#REF!+'By Month'!#REF!</f>
        <v>#REF!</v>
      </c>
      <c r="C28" s="22" t="e">
        <f>'By Month'!#REF!+'By Month'!#REF!+'By Month'!#REF!</f>
        <v>#REF!</v>
      </c>
      <c r="D28" s="25" t="e">
        <f>B28/C28</f>
        <v>#REF!</v>
      </c>
      <c r="E28" s="13" t="e">
        <f t="shared" si="6"/>
        <v>#REF!</v>
      </c>
      <c r="F28" s="28" t="e">
        <f>'By Month'!#REF!+'By Month'!#REF!+'By Month'!#REF!</f>
        <v>#REF!</v>
      </c>
      <c r="G28" s="31" t="e">
        <f>'By Month'!#REF!+'By Month'!#REF!+'By Month'!#REF!</f>
        <v>#REF!</v>
      </c>
      <c r="H28" s="38" t="e">
        <f t="shared" si="7"/>
        <v>#REF!</v>
      </c>
      <c r="I28" s="80" t="e">
        <f t="shared" si="8"/>
        <v>#REF!</v>
      </c>
    </row>
    <row r="29" spans="1:9" x14ac:dyDescent="0.35">
      <c r="A29" s="16" t="s">
        <v>15</v>
      </c>
      <c r="B29" s="19" t="e">
        <f>'By Month'!#REF!+'By Month'!#REF!+'By Month'!#REF!</f>
        <v>#REF!</v>
      </c>
      <c r="C29" s="22">
        <v>0</v>
      </c>
      <c r="D29" s="69" t="s">
        <v>19</v>
      </c>
      <c r="E29" s="13" t="e">
        <f t="shared" si="6"/>
        <v>#REF!</v>
      </c>
      <c r="F29" s="28" t="e">
        <f>'By Month'!#REF!+'By Month'!#REF!+'By Month'!#REF!</f>
        <v>#REF!</v>
      </c>
      <c r="G29" s="31">
        <v>0</v>
      </c>
      <c r="H29" s="68" t="s">
        <v>19</v>
      </c>
      <c r="I29" s="80" t="e">
        <f t="shared" si="8"/>
        <v>#REF!</v>
      </c>
    </row>
    <row r="30" spans="1:9" ht="15" thickBot="1" x14ac:dyDescent="0.4">
      <c r="A30" s="17" t="s">
        <v>5</v>
      </c>
      <c r="B30" s="20" t="e">
        <f>'By Month'!#REF!+'By Month'!#REF!+'By Month'!#REF!</f>
        <v>#REF!</v>
      </c>
      <c r="C30" s="23" t="e">
        <f>'By Month'!#REF!+'By Month'!#REF!+'By Month'!#REF!</f>
        <v>#REF!</v>
      </c>
      <c r="D30" s="26" t="e">
        <f>B30/C30</f>
        <v>#REF!</v>
      </c>
      <c r="E30" s="70" t="e">
        <f t="shared" si="6"/>
        <v>#REF!</v>
      </c>
      <c r="F30" s="29" t="e">
        <f>'By Month'!#REF!+'By Month'!#REF!+'By Month'!#REF!</f>
        <v>#REF!</v>
      </c>
      <c r="G30" s="32" t="e">
        <f>'By Month'!#REF!+'By Month'!#REF!+'By Month'!#REF!</f>
        <v>#REF!</v>
      </c>
      <c r="H30" s="39" t="e">
        <f t="shared" si="7"/>
        <v>#REF!</v>
      </c>
      <c r="I30" s="81" t="e">
        <f t="shared" si="8"/>
        <v>#REF!</v>
      </c>
    </row>
    <row r="31" spans="1:9" ht="15.5" thickTop="1" thickBot="1" x14ac:dyDescent="0.4">
      <c r="A31" s="18" t="s">
        <v>13</v>
      </c>
      <c r="B31" s="21" t="e">
        <f>SUM(B25:B30)</f>
        <v>#REF!</v>
      </c>
      <c r="C31" s="24" t="e">
        <f>SUM(C25:C30)</f>
        <v>#REF!</v>
      </c>
      <c r="D31" s="27" t="e">
        <f>B31/C31</f>
        <v>#REF!</v>
      </c>
      <c r="E31" s="15" t="e">
        <f>C31-B31</f>
        <v>#REF!</v>
      </c>
      <c r="F31" s="30" t="e">
        <f>SUM(F25:F30)</f>
        <v>#REF!</v>
      </c>
      <c r="G31" s="33" t="e">
        <f>SUM(G25:G30)</f>
        <v>#REF!</v>
      </c>
      <c r="H31" s="37" t="e">
        <f>F31/G31</f>
        <v>#REF!</v>
      </c>
      <c r="I31" s="77" t="e">
        <f>G31-F31</f>
        <v>#REF!</v>
      </c>
    </row>
    <row r="32" spans="1:9" x14ac:dyDescent="0.35">
      <c r="A32" s="3"/>
      <c r="B32" s="4"/>
      <c r="C32" s="4"/>
      <c r="D32" s="5"/>
      <c r="E32" s="5"/>
      <c r="F32" s="7"/>
      <c r="G32" s="7"/>
      <c r="H32" s="3"/>
      <c r="I32" s="78"/>
    </row>
    <row r="33" spans="1:9" x14ac:dyDescent="0.35">
      <c r="A33" s="3"/>
      <c r="B33" s="4"/>
      <c r="C33" s="4"/>
      <c r="D33" s="5"/>
      <c r="E33" s="5"/>
      <c r="F33" s="7"/>
      <c r="G33" s="7"/>
      <c r="H33" s="3"/>
      <c r="I33" s="78"/>
    </row>
    <row r="34" spans="1:9" x14ac:dyDescent="0.35">
      <c r="A34" s="3"/>
      <c r="B34" s="4"/>
      <c r="C34" s="4"/>
      <c r="D34" s="5"/>
      <c r="E34" s="5"/>
      <c r="F34" s="7"/>
      <c r="G34" s="7"/>
      <c r="H34" s="3"/>
      <c r="I34" s="78"/>
    </row>
    <row r="35" spans="1:9" x14ac:dyDescent="0.35">
      <c r="A35" s="3"/>
      <c r="B35" s="4"/>
      <c r="C35" s="4"/>
      <c r="D35" s="5"/>
      <c r="E35" s="5"/>
      <c r="F35" s="7"/>
      <c r="G35" s="7"/>
      <c r="H35" s="3"/>
      <c r="I35" s="78"/>
    </row>
    <row r="36" spans="1:9" x14ac:dyDescent="0.35">
      <c r="A36" s="3"/>
      <c r="B36" s="4"/>
      <c r="C36" s="4"/>
      <c r="D36" s="5"/>
      <c r="E36" s="5"/>
      <c r="F36" s="7"/>
      <c r="G36" s="7"/>
      <c r="H36" s="3"/>
      <c r="I36" s="78"/>
    </row>
    <row r="37" spans="1:9" x14ac:dyDescent="0.35">
      <c r="A37" s="3"/>
      <c r="B37" s="4"/>
      <c r="C37" s="4"/>
      <c r="D37" s="5"/>
      <c r="E37" s="5"/>
      <c r="F37" s="7"/>
      <c r="G37" s="7"/>
      <c r="H37" s="3"/>
      <c r="I37" s="78"/>
    </row>
    <row r="38" spans="1:9" x14ac:dyDescent="0.35">
      <c r="A38" s="3"/>
      <c r="B38" s="4"/>
      <c r="C38" s="4"/>
      <c r="D38" s="5"/>
      <c r="E38" s="5"/>
      <c r="F38" s="7"/>
      <c r="G38" s="7"/>
      <c r="H38" s="3"/>
      <c r="I38" s="78"/>
    </row>
    <row r="39" spans="1:9" x14ac:dyDescent="0.35">
      <c r="A39" s="3"/>
      <c r="B39" s="4"/>
      <c r="C39" s="4"/>
      <c r="D39" s="5"/>
      <c r="E39" s="5"/>
      <c r="F39" s="7"/>
      <c r="G39" s="7"/>
      <c r="H39" s="3"/>
      <c r="I39" s="78"/>
    </row>
    <row r="40" spans="1:9" x14ac:dyDescent="0.35">
      <c r="A40" s="3"/>
      <c r="B40" s="4"/>
      <c r="C40" s="4"/>
      <c r="D40" s="5"/>
      <c r="E40" s="5"/>
      <c r="F40" s="7"/>
      <c r="G40" s="7"/>
      <c r="H40" s="3"/>
      <c r="I40" s="78"/>
    </row>
    <row r="41" spans="1:9" x14ac:dyDescent="0.35">
      <c r="A41" s="3"/>
      <c r="B41" s="4"/>
      <c r="C41" s="4"/>
      <c r="D41" s="5"/>
      <c r="E41" s="5"/>
      <c r="F41" s="7"/>
      <c r="G41" s="7"/>
      <c r="H41" s="3"/>
      <c r="I41" s="78"/>
    </row>
  </sheetData>
  <pageMargins left="0.7" right="0.7" top="0.75" bottom="0.75" header="0.3" footer="0.3"/>
  <pageSetup orientation="portrait" horizontalDpi="1200" verticalDpi="1200" r:id="rId1"/>
  <ignoredErrors>
    <ignoredError sqref="D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BC64-776A-4E80-9A40-572DE03DF3A9}">
  <dimension ref="A1:W72"/>
  <sheetViews>
    <sheetView tabSelected="1" topLeftCell="D1" zoomScale="75" zoomScaleNormal="75" zoomScaleSheetLayoutView="90" workbookViewId="0">
      <selection activeCell="L65" sqref="L65"/>
    </sheetView>
  </sheetViews>
  <sheetFormatPr defaultRowHeight="14.5" x14ac:dyDescent="0.35"/>
  <cols>
    <col min="1" max="1" width="10.453125" hidden="1" customWidth="1"/>
    <col min="2" max="2" width="17.7265625" hidden="1" customWidth="1"/>
    <col min="3" max="3" width="22.1796875" hidden="1" customWidth="1"/>
    <col min="4" max="4" width="3.54296875" style="9" customWidth="1"/>
    <col min="5" max="5" width="15.81640625" bestFit="1" customWidth="1"/>
    <col min="6" max="6" width="17" style="6" bestFit="1" customWidth="1"/>
    <col min="7" max="7" width="17.81640625" style="6" bestFit="1" customWidth="1"/>
    <col min="8" max="8" width="18.26953125" style="6" bestFit="1" customWidth="1"/>
    <col min="9" max="9" width="18" bestFit="1" customWidth="1"/>
    <col min="10" max="10" width="13.7265625" bestFit="1" customWidth="1"/>
    <col min="11" max="11" width="17.81640625" bestFit="1" customWidth="1"/>
    <col min="12" max="12" width="13.7265625" bestFit="1" customWidth="1"/>
    <col min="13" max="14" width="17.81640625" bestFit="1" customWidth="1"/>
    <col min="15" max="15" width="30.81640625" customWidth="1"/>
    <col min="16" max="16" width="11.36328125" customWidth="1"/>
    <col min="17" max="17" width="20.81640625" customWidth="1"/>
    <col min="18" max="18" width="12.453125" customWidth="1"/>
    <col min="19" max="19" width="18.26953125" bestFit="1" customWidth="1"/>
    <col min="20" max="20" width="25.1796875" customWidth="1"/>
    <col min="21" max="21" width="22.81640625" customWidth="1"/>
    <col min="22" max="22" width="24.54296875" customWidth="1"/>
    <col min="23" max="23" width="10.90625" bestFit="1" customWidth="1"/>
    <col min="24" max="24" width="10.7265625" bestFit="1" customWidth="1"/>
    <col min="25" max="25" width="13.54296875" bestFit="1" customWidth="1"/>
    <col min="26" max="26" width="11.54296875" bestFit="1" customWidth="1"/>
  </cols>
  <sheetData>
    <row r="1" spans="4:19" ht="15" thickBot="1" x14ac:dyDescent="0.4">
      <c r="F1" s="7" t="s">
        <v>1</v>
      </c>
      <c r="G1" s="7" t="s">
        <v>2</v>
      </c>
      <c r="H1" s="7" t="s">
        <v>3</v>
      </c>
      <c r="I1" s="7" t="s">
        <v>153</v>
      </c>
      <c r="J1" s="7" t="s">
        <v>15</v>
      </c>
      <c r="K1" s="198" t="s">
        <v>5</v>
      </c>
      <c r="L1" s="198" t="s">
        <v>161</v>
      </c>
      <c r="M1" s="198" t="s">
        <v>513</v>
      </c>
      <c r="N1" s="198" t="s">
        <v>156</v>
      </c>
      <c r="O1" s="6"/>
      <c r="P1" s="6"/>
    </row>
    <row r="2" spans="4:19" x14ac:dyDescent="0.35">
      <c r="E2" s="89" t="s">
        <v>16</v>
      </c>
      <c r="F2" s="201">
        <v>59954.559999999998</v>
      </c>
      <c r="G2" s="201">
        <v>48968.319999999992</v>
      </c>
      <c r="H2" s="201">
        <v>661560.37000000046</v>
      </c>
      <c r="I2" s="201">
        <v>756.12</v>
      </c>
      <c r="J2" s="201">
        <v>8311.7200000000012</v>
      </c>
      <c r="K2" s="201">
        <v>70264.259999999995</v>
      </c>
      <c r="L2" s="204">
        <v>17158.07</v>
      </c>
      <c r="M2" s="204" t="s">
        <v>163</v>
      </c>
      <c r="N2" s="4">
        <f>SUM(F2:M2)</f>
        <v>866973.42000000039</v>
      </c>
      <c r="O2" s="199"/>
      <c r="P2" s="6"/>
    </row>
    <row r="3" spans="4:19" x14ac:dyDescent="0.35">
      <c r="E3" s="91" t="s">
        <v>12</v>
      </c>
      <c r="F3" s="171">
        <v>204424.78</v>
      </c>
      <c r="G3" s="171">
        <v>130320.16</v>
      </c>
      <c r="H3" s="171">
        <v>1561900.7600000016</v>
      </c>
      <c r="I3" s="202">
        <v>789.2</v>
      </c>
      <c r="J3" s="171">
        <v>52005.65</v>
      </c>
      <c r="K3" s="171">
        <v>190062.25000000003</v>
      </c>
      <c r="L3" s="171">
        <v>19759.199999999997</v>
      </c>
      <c r="M3" s="171" t="s">
        <v>163</v>
      </c>
      <c r="N3" s="205">
        <f t="shared" ref="N3:N13" si="0">SUM(F3:M3)</f>
        <v>2159262.0000000019</v>
      </c>
      <c r="O3" s="199"/>
      <c r="P3" s="6"/>
    </row>
    <row r="4" spans="4:19" ht="15" thickBot="1" x14ac:dyDescent="0.4">
      <c r="E4" s="18" t="s">
        <v>14</v>
      </c>
      <c r="F4" s="176">
        <v>718356.54999999958</v>
      </c>
      <c r="G4" s="176">
        <v>188230.96000000005</v>
      </c>
      <c r="H4" s="176">
        <v>8281823.519999993</v>
      </c>
      <c r="I4" s="203">
        <v>1876.25</v>
      </c>
      <c r="J4" s="176">
        <v>74056.38</v>
      </c>
      <c r="K4" s="176">
        <v>1135921.3599999996</v>
      </c>
      <c r="L4" s="176">
        <v>17112.29</v>
      </c>
      <c r="M4" s="176">
        <v>85999.5</v>
      </c>
      <c r="N4" s="206">
        <f t="shared" si="0"/>
        <v>10503376.809999991</v>
      </c>
      <c r="O4" s="199"/>
      <c r="P4" s="6"/>
    </row>
    <row r="5" spans="4:19" x14ac:dyDescent="0.35">
      <c r="E5" s="89" t="s">
        <v>25</v>
      </c>
      <c r="F5" s="90">
        <v>46326.780000000006</v>
      </c>
      <c r="G5" s="90">
        <v>33540.609999999993</v>
      </c>
      <c r="H5" s="90">
        <v>835397.02000000048</v>
      </c>
      <c r="I5" s="201">
        <v>318.75</v>
      </c>
      <c r="J5" s="90">
        <v>7319.3099999999986</v>
      </c>
      <c r="K5" s="92">
        <v>75464.23000000001</v>
      </c>
      <c r="L5" s="92">
        <v>20469.8</v>
      </c>
      <c r="M5" s="92">
        <v>1153.3499999999999</v>
      </c>
      <c r="N5" s="205">
        <f t="shared" si="0"/>
        <v>1019989.8500000006</v>
      </c>
      <c r="O5" s="199"/>
      <c r="P5" s="6"/>
    </row>
    <row r="6" spans="4:19" x14ac:dyDescent="0.35">
      <c r="E6" s="91" t="s">
        <v>26</v>
      </c>
      <c r="F6" s="204">
        <v>18982.049999999992</v>
      </c>
      <c r="G6" s="204">
        <v>16730.760000000006</v>
      </c>
      <c r="H6" s="204">
        <v>342357.00999999978</v>
      </c>
      <c r="I6" s="204">
        <v>50.84</v>
      </c>
      <c r="J6" s="204">
        <v>4401.3999999999996</v>
      </c>
      <c r="K6" s="204">
        <v>23961.89</v>
      </c>
      <c r="L6" s="204">
        <v>15017.099999999999</v>
      </c>
      <c r="M6" s="204" t="s">
        <v>163</v>
      </c>
      <c r="N6" s="205">
        <f t="shared" si="0"/>
        <v>421501.04999999981</v>
      </c>
      <c r="O6" s="199"/>
      <c r="P6" s="6"/>
    </row>
    <row r="7" spans="4:19" ht="15" thickBot="1" x14ac:dyDescent="0.4">
      <c r="E7" s="18" t="s">
        <v>27</v>
      </c>
      <c r="F7" s="93"/>
      <c r="G7" s="93"/>
      <c r="H7" s="93"/>
      <c r="I7" s="93"/>
      <c r="J7" s="93"/>
      <c r="K7" s="93"/>
      <c r="L7" s="93"/>
      <c r="M7" s="93"/>
      <c r="N7" s="206">
        <f t="shared" si="0"/>
        <v>0</v>
      </c>
      <c r="O7" s="199"/>
      <c r="P7" s="6"/>
    </row>
    <row r="8" spans="4:19" x14ac:dyDescent="0.35">
      <c r="D8" s="186"/>
      <c r="E8" s="89" t="s">
        <v>157</v>
      </c>
      <c r="F8" s="8"/>
      <c r="G8" s="8"/>
      <c r="H8" s="90"/>
      <c r="I8" s="90"/>
      <c r="J8" s="90"/>
      <c r="K8" s="92"/>
      <c r="L8" s="92"/>
      <c r="M8" s="92"/>
      <c r="N8" s="205">
        <f t="shared" si="0"/>
        <v>0</v>
      </c>
      <c r="O8" s="224"/>
      <c r="P8" s="7"/>
      <c r="Q8" s="7"/>
      <c r="R8" s="7"/>
      <c r="S8" s="7"/>
    </row>
    <row r="9" spans="4:19" x14ac:dyDescent="0.35">
      <c r="D9" s="186"/>
      <c r="E9" s="91" t="s">
        <v>28</v>
      </c>
      <c r="F9" s="92"/>
      <c r="G9" s="92"/>
      <c r="H9" s="92"/>
      <c r="I9" s="92"/>
      <c r="J9" s="92"/>
      <c r="K9" s="92"/>
      <c r="L9" s="92"/>
      <c r="M9" s="92"/>
      <c r="N9" s="205">
        <f t="shared" si="0"/>
        <v>0</v>
      </c>
      <c r="O9" s="224"/>
      <c r="P9" s="171"/>
      <c r="Q9" s="171"/>
      <c r="R9" s="171"/>
      <c r="S9" s="171"/>
    </row>
    <row r="10" spans="4:19" ht="15" thickBot="1" x14ac:dyDescent="0.4">
      <c r="E10" s="18" t="s">
        <v>29</v>
      </c>
      <c r="F10" s="93"/>
      <c r="G10" s="93"/>
      <c r="H10" s="93"/>
      <c r="I10" s="93"/>
      <c r="J10" s="93"/>
      <c r="K10" s="93"/>
      <c r="L10" s="93"/>
      <c r="M10" s="93"/>
      <c r="N10" s="206">
        <f t="shared" si="0"/>
        <v>0</v>
      </c>
      <c r="O10" s="200"/>
      <c r="P10" s="8"/>
      <c r="Q10" s="8"/>
      <c r="R10" s="8"/>
      <c r="S10" s="8"/>
    </row>
    <row r="11" spans="4:19" x14ac:dyDescent="0.35">
      <c r="E11" s="89" t="s">
        <v>30</v>
      </c>
      <c r="F11" s="90"/>
      <c r="G11" s="90"/>
      <c r="H11" s="90"/>
      <c r="I11" s="90"/>
      <c r="J11" s="90"/>
      <c r="K11" s="92"/>
      <c r="L11" s="92"/>
      <c r="M11" s="92"/>
      <c r="N11" s="205">
        <f>SUM(F11:M11)</f>
        <v>0</v>
      </c>
      <c r="O11" s="16"/>
    </row>
    <row r="12" spans="4:19" x14ac:dyDescent="0.35">
      <c r="E12" s="91" t="s">
        <v>31</v>
      </c>
      <c r="F12" s="92"/>
      <c r="G12" s="92"/>
      <c r="H12" s="92"/>
      <c r="I12" s="92"/>
      <c r="J12" s="92"/>
      <c r="K12" s="92"/>
      <c r="L12" s="92"/>
      <c r="M12" s="92"/>
      <c r="N12" s="205">
        <f t="shared" si="0"/>
        <v>0</v>
      </c>
      <c r="O12" s="16"/>
    </row>
    <row r="13" spans="4:19" ht="15" thickBot="1" x14ac:dyDescent="0.4">
      <c r="E13" s="18" t="s">
        <v>32</v>
      </c>
      <c r="F13" s="93"/>
      <c r="G13" s="93"/>
      <c r="H13" s="93"/>
      <c r="I13" s="93"/>
      <c r="J13" s="93"/>
      <c r="K13" s="93"/>
      <c r="L13" s="93"/>
      <c r="M13" s="93"/>
      <c r="N13" s="206">
        <f t="shared" si="0"/>
        <v>0</v>
      </c>
      <c r="O13" s="16"/>
    </row>
    <row r="14" spans="4:19" ht="15" thickBot="1" x14ac:dyDescent="0.4">
      <c r="E14" s="194" t="s">
        <v>152</v>
      </c>
      <c r="F14" s="195">
        <f t="shared" ref="F14:K14" si="1">SUM(F2:F13)</f>
        <v>1048044.7199999996</v>
      </c>
      <c r="G14" s="195">
        <f t="shared" si="1"/>
        <v>417790.81000000006</v>
      </c>
      <c r="H14" s="195">
        <f t="shared" si="1"/>
        <v>11683038.679999994</v>
      </c>
      <c r="I14" s="195">
        <f t="shared" si="1"/>
        <v>3791.1600000000003</v>
      </c>
      <c r="J14" s="195">
        <f t="shared" si="1"/>
        <v>146094.46</v>
      </c>
      <c r="K14" s="195">
        <f t="shared" si="1"/>
        <v>1495673.9899999995</v>
      </c>
      <c r="L14" s="195">
        <f t="shared" ref="L14:M14" si="2">SUM(L2:L13)</f>
        <v>89516.459999999992</v>
      </c>
      <c r="M14" s="195">
        <f t="shared" si="2"/>
        <v>87152.85</v>
      </c>
      <c r="N14" s="207">
        <f>SUM(F14:M14)</f>
        <v>14971103.129999995</v>
      </c>
      <c r="O14" s="16"/>
    </row>
    <row r="15" spans="4:19" hidden="1" x14ac:dyDescent="0.35">
      <c r="F15" s="1"/>
      <c r="G15" s="1"/>
      <c r="H15" s="1"/>
      <c r="I15" s="1"/>
      <c r="J15" s="1"/>
      <c r="K15" s="1"/>
      <c r="L15" s="1"/>
    </row>
    <row r="16" spans="4:19" ht="15" hidden="1" thickBot="1" x14ac:dyDescent="0.4">
      <c r="F16" s="6" t="s">
        <v>514</v>
      </c>
      <c r="I16" s="182"/>
      <c r="J16" s="6"/>
      <c r="K16" s="6"/>
      <c r="L16" s="6"/>
      <c r="M16" s="6"/>
      <c r="N16" s="6"/>
      <c r="O16" s="184" t="s">
        <v>177</v>
      </c>
    </row>
    <row r="17" spans="5:23" hidden="1" x14ac:dyDescent="0.35">
      <c r="F17" s="357" t="s">
        <v>23</v>
      </c>
      <c r="G17" s="358"/>
      <c r="H17" s="359"/>
      <c r="I17" s="360" t="s">
        <v>16</v>
      </c>
      <c r="J17" s="361"/>
      <c r="K17" s="362" t="s">
        <v>150</v>
      </c>
      <c r="L17" s="363"/>
      <c r="M17" s="362" t="s">
        <v>175</v>
      </c>
      <c r="N17" s="363"/>
      <c r="O17" s="355" t="str">
        <f>_xlfn.CONCAT(I17," YoY")</f>
        <v>October YoY</v>
      </c>
      <c r="P17" s="356"/>
      <c r="Q17" s="355" t="str">
        <f>_xlfn.CONCAT(K17," YoY")</f>
        <v>Q1 YoY</v>
      </c>
      <c r="R17" s="356"/>
      <c r="S17" s="355" t="s">
        <v>154</v>
      </c>
      <c r="T17" s="356"/>
      <c r="U17" s="355" t="s">
        <v>155</v>
      </c>
      <c r="V17" s="356"/>
      <c r="W17" s="188" t="s">
        <v>166</v>
      </c>
    </row>
    <row r="18" spans="5:23" ht="15" hidden="1" thickBot="1" x14ac:dyDescent="0.4">
      <c r="F18" s="197" t="str">
        <f>I17</f>
        <v>October</v>
      </c>
      <c r="G18" s="88" t="str">
        <f>K17</f>
        <v>Q1</v>
      </c>
      <c r="H18" s="88" t="s">
        <v>24</v>
      </c>
      <c r="I18" s="86" t="s">
        <v>142</v>
      </c>
      <c r="J18" s="87" t="s">
        <v>55</v>
      </c>
      <c r="K18" s="86" t="str">
        <f>_xlfn.CONCAT(K17," Rev Goal")</f>
        <v>Q1 Rev Goal</v>
      </c>
      <c r="L18" s="87" t="s">
        <v>22</v>
      </c>
      <c r="M18" s="86" t="s">
        <v>168</v>
      </c>
      <c r="N18" s="87" t="s">
        <v>22</v>
      </c>
      <c r="O18" s="86" t="str">
        <f>_xlfn.CONCAT(I17," FY24")</f>
        <v>October FY24</v>
      </c>
      <c r="P18" s="87" t="s">
        <v>151</v>
      </c>
      <c r="Q18" s="86" t="str">
        <f>_xlfn.CONCAT(K17," FY24")</f>
        <v>Q1 FY24</v>
      </c>
      <c r="R18" s="87" t="s">
        <v>151</v>
      </c>
      <c r="S18" s="86" t="s">
        <v>167</v>
      </c>
      <c r="T18" s="87" t="s">
        <v>151</v>
      </c>
      <c r="U18" s="86" t="s">
        <v>166</v>
      </c>
      <c r="V18" s="87" t="s">
        <v>169</v>
      </c>
      <c r="W18" s="189" t="s">
        <v>158</v>
      </c>
    </row>
    <row r="19" spans="5:23" hidden="1" x14ac:dyDescent="0.35">
      <c r="E19" s="94" t="s">
        <v>1</v>
      </c>
      <c r="F19" s="163">
        <f>VLOOKUP(F18,$E$1:$N$13,2,0)</f>
        <v>59954.559999999998</v>
      </c>
      <c r="G19" s="164">
        <f>F2</f>
        <v>59954.559999999998</v>
      </c>
      <c r="H19" s="164">
        <f>F2</f>
        <v>59954.559999999998</v>
      </c>
      <c r="I19" s="166">
        <f>VLOOKUP(($E19&amp;$I17),'Projected Rev Values'!$C:$D,2,0)</f>
        <v>67533</v>
      </c>
      <c r="J19" s="95">
        <f>F19/I19</f>
        <v>0.88778167710600742</v>
      </c>
      <c r="K19" s="164">
        <f>SUMIF('Projected Rev Values'!$F:$F,$E19&amp;K17,'Projected Rev Values'!$D:$D)</f>
        <v>994963</v>
      </c>
      <c r="L19" s="95">
        <f>G19/K19</f>
        <v>6.0258079948701609E-2</v>
      </c>
      <c r="M19" s="164">
        <f>SUMIF('Projected Rev Values'!$H:$H,$E19&amp;M17,'Projected Rev Values'!$D:$D)</f>
        <v>1695708</v>
      </c>
      <c r="N19" s="173">
        <f>H19/M19</f>
        <v>3.5356653386078261E-2</v>
      </c>
      <c r="O19" s="164">
        <v>63229.68</v>
      </c>
      <c r="P19" s="174">
        <f>(F19-O19)/O19</f>
        <v>-5.1797193975993597E-2</v>
      </c>
      <c r="Q19" s="164">
        <v>63229.68</v>
      </c>
      <c r="R19" s="174">
        <f>(G19-Q19)/Q19</f>
        <v>-5.1797193975993597E-2</v>
      </c>
      <c r="S19" s="164">
        <v>63229.68</v>
      </c>
      <c r="T19" s="173">
        <f>(H19-S19)/S19</f>
        <v>-5.1797193975993597E-2</v>
      </c>
      <c r="U19" s="164">
        <v>1819503.1799999997</v>
      </c>
      <c r="V19" s="174">
        <f t="shared" ref="V19:V26" si="3">(H19-U19)/U19</f>
        <v>-0.96704893915052126</v>
      </c>
      <c r="W19" s="190">
        <f>S19/U19</f>
        <v>3.4751068695576565E-2</v>
      </c>
    </row>
    <row r="20" spans="5:23" hidden="1" x14ac:dyDescent="0.35">
      <c r="E20" t="s">
        <v>2</v>
      </c>
      <c r="F20" s="165">
        <f>VLOOKUP(F18,$E$1:$N$13,3,0)</f>
        <v>48968.319999999992</v>
      </c>
      <c r="G20" s="84">
        <f>G2</f>
        <v>48968.319999999992</v>
      </c>
      <c r="H20" s="84">
        <f>G2</f>
        <v>48968.319999999992</v>
      </c>
      <c r="I20" s="180">
        <f>VLOOKUP(($E20&amp;$I17),'Projected Rev Values'!$C:$D,2,0)</f>
        <v>13928</v>
      </c>
      <c r="J20" s="56">
        <f t="shared" ref="J20:J26" si="4">F20/I20</f>
        <v>3.515818495117748</v>
      </c>
      <c r="K20" s="85">
        <f>SUMIF('Projected Rev Values'!$F:$F,$E20&amp;K17,'Projected Rev Values'!$D:$D)</f>
        <v>193114</v>
      </c>
      <c r="L20" s="56">
        <f t="shared" ref="L20:L23" si="5">G20/K20</f>
        <v>0.25357208695382</v>
      </c>
      <c r="M20" s="84">
        <f>SUMIF('Projected Rev Values'!$H:$H,$E20&amp;M17,'Projected Rev Values'!$D:$D)</f>
        <v>396834</v>
      </c>
      <c r="N20" s="12">
        <f>H20/M20</f>
        <v>0.12339749114239201</v>
      </c>
      <c r="O20" s="85">
        <v>11620.939999999999</v>
      </c>
      <c r="P20" s="170">
        <f t="shared" ref="P20:P24" si="6">(F20-O20)/O20</f>
        <v>3.2138002605641192</v>
      </c>
      <c r="Q20" s="85">
        <v>11620.939999999999</v>
      </c>
      <c r="R20" s="185">
        <f t="shared" ref="R20:R24" si="7">(G20-Q20)/Q20</f>
        <v>3.2138002605641192</v>
      </c>
      <c r="S20" s="85">
        <v>11620.939999999999</v>
      </c>
      <c r="T20" s="170">
        <f t="shared" ref="T20:T24" si="8">(H20-S20)/S20</f>
        <v>3.2138002605641192</v>
      </c>
      <c r="U20" s="85">
        <v>451121</v>
      </c>
      <c r="V20" s="170">
        <f t="shared" si="3"/>
        <v>-0.89145191644813693</v>
      </c>
      <c r="W20" s="191">
        <f t="shared" ref="W20:W23" si="9">S20/U20</f>
        <v>2.5760139740779078E-2</v>
      </c>
    </row>
    <row r="21" spans="5:23" hidden="1" x14ac:dyDescent="0.35">
      <c r="E21" s="94" t="s">
        <v>3</v>
      </c>
      <c r="F21" s="163">
        <f>VLOOKUP(F18,$E$1:$N$13,4,0)</f>
        <v>661560.37000000046</v>
      </c>
      <c r="G21" s="164">
        <f>H2</f>
        <v>661560.37000000046</v>
      </c>
      <c r="H21" s="164">
        <f>H2</f>
        <v>661560.37000000046</v>
      </c>
      <c r="I21" s="166">
        <f>VLOOKUP(($E21&amp;$I17),'Projected Rev Values'!$C:$D,2,0)</f>
        <v>519114</v>
      </c>
      <c r="J21" s="95">
        <f t="shared" si="4"/>
        <v>1.2744028671929488</v>
      </c>
      <c r="K21" s="164">
        <f>SUMIF('Projected Rev Values'!$F:$F,$E21&amp;K17,'Projected Rev Values'!$D:$D)</f>
        <v>8656986</v>
      </c>
      <c r="L21" s="95">
        <f t="shared" si="5"/>
        <v>7.6419249147451601E-2</v>
      </c>
      <c r="M21" s="164">
        <f>SUMIF('Projected Rev Values'!$H:$H,$E21&amp;M17,'Projected Rev Values'!$D:$D)</f>
        <v>13864013</v>
      </c>
      <c r="N21" s="173">
        <f>H21/M21</f>
        <v>4.7717812295761726E-2</v>
      </c>
      <c r="O21" s="164">
        <v>585327.35999999999</v>
      </c>
      <c r="P21" s="173">
        <f t="shared" si="6"/>
        <v>0.13023995666288429</v>
      </c>
      <c r="Q21" s="164">
        <v>585327.35999999999</v>
      </c>
      <c r="R21" s="174">
        <f t="shared" si="7"/>
        <v>0.13023995666288429</v>
      </c>
      <c r="S21" s="164">
        <v>585327.35999999999</v>
      </c>
      <c r="T21" s="173">
        <f t="shared" si="8"/>
        <v>0.13023995666288429</v>
      </c>
      <c r="U21" s="164">
        <v>12430571</v>
      </c>
      <c r="V21" s="173">
        <f t="shared" si="3"/>
        <v>-0.94677956708505173</v>
      </c>
      <c r="W21" s="190">
        <f t="shared" si="9"/>
        <v>4.7087729115581255E-2</v>
      </c>
    </row>
    <row r="22" spans="5:23" hidden="1" x14ac:dyDescent="0.35">
      <c r="E22" t="s">
        <v>162</v>
      </c>
      <c r="F22" s="165">
        <f>F25+F26</f>
        <v>17914.189999999999</v>
      </c>
      <c r="G22" s="84">
        <f>G25+G26</f>
        <v>17914.189999999999</v>
      </c>
      <c r="H22" s="84">
        <f>H25+H26</f>
        <v>17914.189999999999</v>
      </c>
      <c r="I22" s="181">
        <f>I25+I26</f>
        <v>34412</v>
      </c>
      <c r="J22" s="179">
        <f t="shared" si="4"/>
        <v>0.52057973962571191</v>
      </c>
      <c r="K22" s="178">
        <f>K26+K25</f>
        <v>109776</v>
      </c>
      <c r="L22" s="177">
        <f t="shared" si="5"/>
        <v>0.16318858402565223</v>
      </c>
      <c r="M22" s="85">
        <f>M26+M25</f>
        <v>422166</v>
      </c>
      <c r="N22" s="12">
        <f t="shared" ref="N22:N26" si="10">H22/M22</f>
        <v>4.2433995158302658E-2</v>
      </c>
      <c r="O22" s="84">
        <v>27813.71</v>
      </c>
      <c r="P22" s="170">
        <f t="shared" si="6"/>
        <v>-0.35592231313262418</v>
      </c>
      <c r="Q22" s="85">
        <v>27813.71</v>
      </c>
      <c r="R22" s="185">
        <f t="shared" si="7"/>
        <v>-0.35592231313262418</v>
      </c>
      <c r="S22" s="85">
        <v>27813.71</v>
      </c>
      <c r="T22" s="170">
        <f t="shared" si="8"/>
        <v>-0.35592231313262418</v>
      </c>
      <c r="U22" s="85">
        <v>368675</v>
      </c>
      <c r="V22" s="170">
        <f t="shared" si="3"/>
        <v>-0.95140926290092898</v>
      </c>
      <c r="W22" s="191">
        <f t="shared" si="9"/>
        <v>7.5442354377161458E-2</v>
      </c>
    </row>
    <row r="23" spans="5:23" hidden="1" x14ac:dyDescent="0.35">
      <c r="E23" s="94" t="s">
        <v>15</v>
      </c>
      <c r="F23" s="163">
        <f>VLOOKUP(F18,$E$1:$N$13,6,0)</f>
        <v>8311.7200000000012</v>
      </c>
      <c r="G23" s="164">
        <f>J2</f>
        <v>8311.7200000000012</v>
      </c>
      <c r="H23" s="164">
        <f>J2</f>
        <v>8311.7200000000012</v>
      </c>
      <c r="I23" s="166">
        <f>VLOOKUP(($E23&amp;$I17),'Projected Rev Values'!$C:$D,2,0)</f>
        <v>4617</v>
      </c>
      <c r="J23" s="162">
        <f t="shared" si="4"/>
        <v>1.8002425817630499</v>
      </c>
      <c r="K23" s="166">
        <f>SUMIF('Projected Rev Values'!$F:$F,$E23&amp;K17,'Projected Rev Values'!$D:$D)</f>
        <v>117617</v>
      </c>
      <c r="L23" s="162">
        <f t="shared" si="5"/>
        <v>7.0667675591113546E-2</v>
      </c>
      <c r="M23" s="166">
        <f>SUMIF('Projected Rev Values'!$H:$H,$E23&amp;M17,'Projected Rev Values'!$D:$D)</f>
        <v>180000</v>
      </c>
      <c r="N23" s="174">
        <f t="shared" si="10"/>
        <v>4.617622222222223E-2</v>
      </c>
      <c r="O23" s="166">
        <v>4936.0999999999995</v>
      </c>
      <c r="P23" s="173">
        <f t="shared" si="6"/>
        <v>0.68386377909685825</v>
      </c>
      <c r="Q23" s="166">
        <v>4936.0999999999995</v>
      </c>
      <c r="R23" s="174">
        <f t="shared" si="7"/>
        <v>0.68386377909685825</v>
      </c>
      <c r="S23" s="166">
        <v>4936.0999999999995</v>
      </c>
      <c r="T23" s="173">
        <f t="shared" si="8"/>
        <v>0.68386377909685825</v>
      </c>
      <c r="U23" s="166">
        <v>175254</v>
      </c>
      <c r="V23" s="173">
        <f t="shared" si="3"/>
        <v>-0.95257329361954646</v>
      </c>
      <c r="W23" s="192">
        <f t="shared" si="9"/>
        <v>2.816540563981421E-2</v>
      </c>
    </row>
    <row r="24" spans="5:23" hidden="1" x14ac:dyDescent="0.35">
      <c r="E24" s="225" t="s">
        <v>5</v>
      </c>
      <c r="F24" s="226">
        <f>VLOOKUP(F18,$E$1:$N$13,7,0)</f>
        <v>70264.259999999995</v>
      </c>
      <c r="G24" s="178">
        <f>K2</f>
        <v>70264.259999999995</v>
      </c>
      <c r="H24" s="178">
        <f>K2</f>
        <v>70264.259999999995</v>
      </c>
      <c r="I24" s="181">
        <f>VLOOKUP(($E24&amp;$I17),'Projected Rev Values'!$C:$D,2,0)</f>
        <v>13000</v>
      </c>
      <c r="J24" s="179">
        <f t="shared" si="4"/>
        <v>5.4049430769230762</v>
      </c>
      <c r="K24" s="178">
        <f>SUMIF('Projected Rev Values'!$F:$F,$E24&amp;K17,'Projected Rev Values'!$D:$D)</f>
        <v>1618000</v>
      </c>
      <c r="L24" s="179">
        <f>G24/K24</f>
        <v>4.3426613102595796E-2</v>
      </c>
      <c r="M24" s="178">
        <f>SUMIF('Projected Rev Values'!$H:$H,$E24&amp;M17,'Projected Rev Values'!$D:$D)</f>
        <v>1925000</v>
      </c>
      <c r="N24" s="227">
        <f t="shared" si="10"/>
        <v>3.6500914285714281E-2</v>
      </c>
      <c r="O24" s="178">
        <v>17424</v>
      </c>
      <c r="P24" s="227">
        <f t="shared" si="6"/>
        <v>3.032613636363636</v>
      </c>
      <c r="Q24" s="178">
        <v>17424</v>
      </c>
      <c r="R24" s="228">
        <f t="shared" si="7"/>
        <v>3.032613636363636</v>
      </c>
      <c r="S24" s="178">
        <v>17424</v>
      </c>
      <c r="T24" s="227">
        <f t="shared" si="8"/>
        <v>3.032613636363636</v>
      </c>
      <c r="U24" s="178">
        <v>1890055</v>
      </c>
      <c r="V24" s="227">
        <f t="shared" si="3"/>
        <v>-0.96282422469187401</v>
      </c>
      <c r="W24" s="229">
        <f>S24/U24</f>
        <v>9.2187793476909401E-3</v>
      </c>
    </row>
    <row r="25" spans="5:23" hidden="1" x14ac:dyDescent="0.35">
      <c r="E25" s="223" t="s">
        <v>153</v>
      </c>
      <c r="F25" s="215">
        <f>VLOOKUP(F18,$E$1:$N$13,5,0)</f>
        <v>756.12</v>
      </c>
      <c r="G25" s="215">
        <f>I2</f>
        <v>756.12</v>
      </c>
      <c r="H25" s="215">
        <f>I2</f>
        <v>756.12</v>
      </c>
      <c r="I25" s="210">
        <f>VLOOKUP(($E25&amp;$I17),'Projected Rev Values'!$C:$D,2,0)</f>
        <v>212</v>
      </c>
      <c r="J25" s="216">
        <f t="shared" si="4"/>
        <v>3.5666037735849057</v>
      </c>
      <c r="K25" s="209">
        <f>SUMIF('Projected Rev Values'!$F:$F,$E25&amp;K17,'Projected Rev Values'!$D:$D)</f>
        <v>2476</v>
      </c>
      <c r="L25" s="216">
        <f t="shared" ref="L25:L27" si="11">G25/K25</f>
        <v>0.30537964458804523</v>
      </c>
      <c r="M25" s="209">
        <f>SUMIF('Projected Rev Values'!$H:$H,$E25&amp;M17,'Projected Rev Values'!$D:$D)</f>
        <v>4816</v>
      </c>
      <c r="N25" s="211">
        <f t="shared" si="10"/>
        <v>0.15700166112956812</v>
      </c>
      <c r="O25" s="209" t="s">
        <v>163</v>
      </c>
      <c r="P25" s="211" t="s">
        <v>163</v>
      </c>
      <c r="Q25" s="209" t="s">
        <v>163</v>
      </c>
      <c r="R25" s="217" t="s">
        <v>163</v>
      </c>
      <c r="S25" s="209" t="s">
        <v>163</v>
      </c>
      <c r="T25" s="211" t="s">
        <v>163</v>
      </c>
      <c r="U25" s="209">
        <v>4812</v>
      </c>
      <c r="V25" s="211">
        <f t="shared" si="3"/>
        <v>-0.8428678304239402</v>
      </c>
      <c r="W25" s="218" t="s">
        <v>163</v>
      </c>
    </row>
    <row r="26" spans="5:23" ht="15" hidden="1" thickBot="1" x14ac:dyDescent="0.4">
      <c r="E26" s="208" t="s">
        <v>161</v>
      </c>
      <c r="F26" s="219">
        <f>VLOOKUP(F18,$E$1:$N$13,8,0)</f>
        <v>17158.07</v>
      </c>
      <c r="G26" s="212">
        <f>L2</f>
        <v>17158.07</v>
      </c>
      <c r="H26" s="212">
        <f>L2</f>
        <v>17158.07</v>
      </c>
      <c r="I26" s="213">
        <f>VLOOKUP(($E26&amp;$I17),'Projected Rev Values'!$C:$D,2,0)</f>
        <v>34200</v>
      </c>
      <c r="J26" s="220">
        <f t="shared" si="4"/>
        <v>0.50169795321637423</v>
      </c>
      <c r="K26" s="212">
        <f>SUMIF('Projected Rev Values'!$F:$F,$E26&amp;K17,'Projected Rev Values'!$D:$D)</f>
        <v>107300</v>
      </c>
      <c r="L26" s="220">
        <f t="shared" si="11"/>
        <v>0.15990745573159365</v>
      </c>
      <c r="M26" s="212">
        <f>SUMIF('Projected Rev Values'!$H:$H,$E26&amp;M17,'Projected Rev Values'!$D:$D)</f>
        <v>417350</v>
      </c>
      <c r="N26" s="221">
        <f t="shared" si="10"/>
        <v>4.1111944411165689E-2</v>
      </c>
      <c r="O26" s="212" t="s">
        <v>163</v>
      </c>
      <c r="P26" s="221" t="s">
        <v>163</v>
      </c>
      <c r="Q26" s="212" t="s">
        <v>163</v>
      </c>
      <c r="R26" s="222" t="s">
        <v>163</v>
      </c>
      <c r="S26" s="212" t="s">
        <v>163</v>
      </c>
      <c r="T26" s="221" t="s">
        <v>163</v>
      </c>
      <c r="U26" s="212">
        <v>363863</v>
      </c>
      <c r="V26" s="221">
        <f t="shared" si="3"/>
        <v>-0.95284469704256824</v>
      </c>
      <c r="W26" s="214" t="s">
        <v>163</v>
      </c>
    </row>
    <row r="27" spans="5:23" ht="16.5" hidden="1" thickTop="1" thickBot="1" x14ac:dyDescent="0.4">
      <c r="E27" s="96" t="s">
        <v>13</v>
      </c>
      <c r="F27" s="167">
        <f>SUM(F19:F24)</f>
        <v>866973.42000000039</v>
      </c>
      <c r="G27" s="168">
        <f>SUM(G19:G24)</f>
        <v>866973.42000000039</v>
      </c>
      <c r="H27" s="168">
        <f>SUM(H19:H24)</f>
        <v>866973.42000000039</v>
      </c>
      <c r="I27" s="169">
        <f>SUM(I19:I24)</f>
        <v>652604</v>
      </c>
      <c r="J27" s="172">
        <f>F27/I27</f>
        <v>1.3284831536429449</v>
      </c>
      <c r="K27" s="169">
        <f>SUM(K19:K24)</f>
        <v>11690456</v>
      </c>
      <c r="L27" s="172">
        <f t="shared" si="11"/>
        <v>7.4160787226777158E-2</v>
      </c>
      <c r="M27" s="169">
        <f>SUM(M19:M24)</f>
        <v>18483721</v>
      </c>
      <c r="N27" s="187">
        <f>H27/M27</f>
        <v>4.6904701710223845E-2</v>
      </c>
      <c r="O27" s="169">
        <f>SUM(O19:O24)</f>
        <v>710351.78999999992</v>
      </c>
      <c r="P27" s="175">
        <f>(F27-O27)/O27</f>
        <v>0.22048459960944208</v>
      </c>
      <c r="Q27" s="169">
        <f>SUM(Q19:Q24)</f>
        <v>710351.78999999992</v>
      </c>
      <c r="R27" s="175">
        <f>(G27-Q27)/Q27</f>
        <v>0.22048459960944208</v>
      </c>
      <c r="S27" s="169">
        <f>SUM(S19:S24)</f>
        <v>710351.78999999992</v>
      </c>
      <c r="T27" s="175">
        <f>(H27-S27)/S27</f>
        <v>0.22048459960944208</v>
      </c>
      <c r="U27" s="169">
        <f>(SUM(U19:U24))+13397</f>
        <v>17148576.18</v>
      </c>
      <c r="V27" s="175">
        <f>(H27-U27)/U27</f>
        <v>-0.9494434167070307</v>
      </c>
      <c r="W27" s="193">
        <f>S27/U27</f>
        <v>4.1423368479329925E-2</v>
      </c>
    </row>
    <row r="28" spans="5:23" hidden="1" x14ac:dyDescent="0.35">
      <c r="O28" s="183">
        <f>F27-O27</f>
        <v>156621.63000000047</v>
      </c>
      <c r="P28" s="196"/>
      <c r="Q28" s="183">
        <f>G27-Q27</f>
        <v>156621.63000000047</v>
      </c>
      <c r="S28" s="183">
        <f>H27-S27</f>
        <v>156621.63000000047</v>
      </c>
      <c r="W28" s="2">
        <f>H27/U27</f>
        <v>5.0556583292969366E-2</v>
      </c>
    </row>
    <row r="29" spans="5:23" hidden="1" x14ac:dyDescent="0.35">
      <c r="Q29" s="83"/>
      <c r="S29" s="8"/>
    </row>
    <row r="30" spans="5:23" ht="15" hidden="1" thickBot="1" x14ac:dyDescent="0.4">
      <c r="F30" s="6" t="s">
        <v>515</v>
      </c>
      <c r="I30" s="182"/>
      <c r="J30" s="6"/>
      <c r="K30" s="6"/>
      <c r="L30" s="6"/>
      <c r="M30" s="6"/>
      <c r="N30" s="6"/>
      <c r="O30" s="184" t="s">
        <v>516</v>
      </c>
    </row>
    <row r="31" spans="5:23" hidden="1" x14ac:dyDescent="0.35">
      <c r="F31" s="357" t="s">
        <v>23</v>
      </c>
      <c r="G31" s="358"/>
      <c r="H31" s="359"/>
      <c r="I31" s="360" t="s">
        <v>12</v>
      </c>
      <c r="J31" s="361"/>
      <c r="K31" s="362" t="s">
        <v>150</v>
      </c>
      <c r="L31" s="363"/>
      <c r="M31" s="362" t="s">
        <v>175</v>
      </c>
      <c r="N31" s="363"/>
      <c r="O31" s="355" t="str">
        <f>_xlfn.CONCAT(I31," YoY")</f>
        <v>November YoY</v>
      </c>
      <c r="P31" s="356"/>
      <c r="Q31" s="355" t="str">
        <f>_xlfn.CONCAT(K31," YoY")</f>
        <v>Q1 YoY</v>
      </c>
      <c r="R31" s="356"/>
      <c r="S31" s="355" t="s">
        <v>154</v>
      </c>
      <c r="T31" s="356"/>
      <c r="U31" s="355" t="s">
        <v>155</v>
      </c>
      <c r="V31" s="356"/>
      <c r="W31" s="188" t="s">
        <v>166</v>
      </c>
    </row>
    <row r="32" spans="5:23" ht="15" hidden="1" thickBot="1" x14ac:dyDescent="0.4">
      <c r="F32" s="197" t="str">
        <f>I31</f>
        <v>November</v>
      </c>
      <c r="G32" s="88" t="str">
        <f>K31</f>
        <v>Q1</v>
      </c>
      <c r="H32" s="88" t="s">
        <v>24</v>
      </c>
      <c r="I32" s="86" t="s">
        <v>142</v>
      </c>
      <c r="J32" s="87" t="s">
        <v>55</v>
      </c>
      <c r="K32" s="86" t="str">
        <f>_xlfn.CONCAT(K31," Rev Goal")</f>
        <v>Q1 Rev Goal</v>
      </c>
      <c r="L32" s="87" t="s">
        <v>22</v>
      </c>
      <c r="M32" s="86" t="s">
        <v>168</v>
      </c>
      <c r="N32" s="87" t="s">
        <v>22</v>
      </c>
      <c r="O32" s="86" t="str">
        <f>_xlfn.CONCAT(I31," FY24")</f>
        <v>November FY24</v>
      </c>
      <c r="P32" s="87" t="s">
        <v>151</v>
      </c>
      <c r="Q32" s="86" t="str">
        <f>_xlfn.CONCAT(K31," FY24")</f>
        <v>Q1 FY24</v>
      </c>
      <c r="R32" s="87" t="s">
        <v>151</v>
      </c>
      <c r="S32" s="86" t="s">
        <v>167</v>
      </c>
      <c r="T32" s="87" t="s">
        <v>151</v>
      </c>
      <c r="U32" s="86" t="s">
        <v>166</v>
      </c>
      <c r="V32" s="87" t="s">
        <v>169</v>
      </c>
      <c r="W32" s="189" t="s">
        <v>158</v>
      </c>
    </row>
    <row r="33" spans="5:23" hidden="1" x14ac:dyDescent="0.35">
      <c r="E33" s="94" t="s">
        <v>1</v>
      </c>
      <c r="F33" s="163">
        <f>VLOOKUP(F32,$E$1:$N$13,2,0)</f>
        <v>204424.78</v>
      </c>
      <c r="G33" s="164">
        <f>F2+F3</f>
        <v>264379.33999999997</v>
      </c>
      <c r="H33" s="164">
        <f>G33</f>
        <v>264379.33999999997</v>
      </c>
      <c r="I33" s="166">
        <f>VLOOKUP(($E33&amp;$I31),'Projected Rev Values'!$C:$D,2,0)</f>
        <v>212501</v>
      </c>
      <c r="J33" s="95">
        <f>F33/I33</f>
        <v>0.96199443767323445</v>
      </c>
      <c r="K33" s="164">
        <f>SUMIF('Projected Rev Values'!$F:$F,$E33&amp;K31,'Projected Rev Values'!$D:$D)</f>
        <v>994963</v>
      </c>
      <c r="L33" s="95">
        <f>G33/K33</f>
        <v>0.26571776035892791</v>
      </c>
      <c r="M33" s="164">
        <f>SUMIF('Projected Rev Values'!$H:$H,$E33&amp;M31,'Projected Rev Values'!$D:$D)</f>
        <v>1695708</v>
      </c>
      <c r="N33" s="173">
        <f>H33/M33</f>
        <v>0.15591088795948357</v>
      </c>
      <c r="O33" s="164">
        <v>441587.12999999983</v>
      </c>
      <c r="P33" s="174">
        <f>(F33-O33)/O33</f>
        <v>-0.53706807533090906</v>
      </c>
      <c r="Q33" s="164">
        <v>504816.80999999982</v>
      </c>
      <c r="R33" s="174">
        <f>(G33-Q33)/Q33</f>
        <v>-0.47628657611461067</v>
      </c>
      <c r="S33" s="164">
        <v>504816.80999999982</v>
      </c>
      <c r="T33" s="173">
        <f>(H33-S33)/S33</f>
        <v>-0.47628657611461067</v>
      </c>
      <c r="U33" s="164">
        <v>1819503.1799999997</v>
      </c>
      <c r="V33" s="174">
        <f t="shared" ref="V33:V40" si="12">(H33-U33)/U33</f>
        <v>-0.85469696183768151</v>
      </c>
      <c r="W33" s="190">
        <f>S33/U33</f>
        <v>0.27744761072635216</v>
      </c>
    </row>
    <row r="34" spans="5:23" hidden="1" x14ac:dyDescent="0.35">
      <c r="E34" t="s">
        <v>2</v>
      </c>
      <c r="F34" s="165">
        <f>VLOOKUP(F32,$E$1:$N$13,3,0)</f>
        <v>130320.16</v>
      </c>
      <c r="G34" s="84">
        <f>G2+G3</f>
        <v>179288.47999999998</v>
      </c>
      <c r="H34" s="84">
        <f t="shared" ref="H34:H40" si="13">G34</f>
        <v>179288.47999999998</v>
      </c>
      <c r="I34" s="180">
        <f>VLOOKUP(($E34&amp;$I31),'Projected Rev Values'!$C:$D,2,0)</f>
        <v>63648</v>
      </c>
      <c r="J34" s="56">
        <f t="shared" ref="J34:J40" si="14">F34/I34</f>
        <v>2.0475138260432377</v>
      </c>
      <c r="K34" s="85">
        <f>SUMIF('Projected Rev Values'!$F:$F,$E34&amp;K31,'Projected Rev Values'!$D:$D)</f>
        <v>193114</v>
      </c>
      <c r="L34" s="56">
        <f t="shared" ref="L34:L37" si="15">G34/K34</f>
        <v>0.92840746916329209</v>
      </c>
      <c r="M34" s="84">
        <f>SUMIF('Projected Rev Values'!$H:$H,$E34&amp;M31,'Projected Rev Values'!$D:$D)</f>
        <v>396834</v>
      </c>
      <c r="N34" s="12">
        <f>H34/M34</f>
        <v>0.45179717463725383</v>
      </c>
      <c r="O34" s="85">
        <v>100731.09000000003</v>
      </c>
      <c r="P34" s="170">
        <f t="shared" ref="P34:P38" si="16">(F34-O34)/O34</f>
        <v>0.29374317303624897</v>
      </c>
      <c r="Q34" s="85">
        <v>112352.03000000003</v>
      </c>
      <c r="R34" s="185">
        <f t="shared" ref="R34:R38" si="17">(G34-Q34)/Q34</f>
        <v>0.59577428196001392</v>
      </c>
      <c r="S34" s="85">
        <v>112352.03000000003</v>
      </c>
      <c r="T34" s="170">
        <f t="shared" ref="T34:T38" si="18">(H34-S34)/S34</f>
        <v>0.59577428196001392</v>
      </c>
      <c r="U34" s="85">
        <v>451121</v>
      </c>
      <c r="V34" s="170">
        <f t="shared" si="12"/>
        <v>-0.60257119486789579</v>
      </c>
      <c r="W34" s="191">
        <f t="shared" ref="W34:W37" si="19">S34/U34</f>
        <v>0.2490507646507257</v>
      </c>
    </row>
    <row r="35" spans="5:23" hidden="1" x14ac:dyDescent="0.35">
      <c r="E35" s="94" t="s">
        <v>3</v>
      </c>
      <c r="F35" s="163">
        <f>VLOOKUP(F32,$E$1:$N$13,4,0)</f>
        <v>1561900.7600000016</v>
      </c>
      <c r="G35" s="164">
        <f>H2+H3</f>
        <v>2223461.1300000022</v>
      </c>
      <c r="H35" s="164">
        <f t="shared" si="13"/>
        <v>2223461.1300000022</v>
      </c>
      <c r="I35" s="166">
        <f>VLOOKUP(($E35&amp;$I31),'Projected Rev Values'!$C:$D,2,0)</f>
        <v>1547991</v>
      </c>
      <c r="J35" s="95">
        <f t="shared" si="14"/>
        <v>1.0089856853172929</v>
      </c>
      <c r="K35" s="164">
        <f>SUMIF('Projected Rev Values'!$F:$F,$E35&amp;K31,'Projected Rev Values'!$D:$D)</f>
        <v>8656986</v>
      </c>
      <c r="L35" s="95">
        <f t="shared" si="15"/>
        <v>0.25684009769681992</v>
      </c>
      <c r="M35" s="164">
        <f>SUMIF('Projected Rev Values'!$H:$H,$E35&amp;M31,'Projected Rev Values'!$D:$D)</f>
        <v>13864013</v>
      </c>
      <c r="N35" s="173">
        <f>H35/M35</f>
        <v>0.16037644583858962</v>
      </c>
      <c r="O35" s="164">
        <v>1608251.5000000009</v>
      </c>
      <c r="P35" s="173">
        <f t="shared" si="16"/>
        <v>-2.8820579368338387E-2</v>
      </c>
      <c r="Q35" s="164">
        <v>2193578.8600000008</v>
      </c>
      <c r="R35" s="174">
        <f t="shared" si="17"/>
        <v>1.3622610312720376E-2</v>
      </c>
      <c r="S35" s="164">
        <v>2193578.8600000008</v>
      </c>
      <c r="T35" s="173">
        <f t="shared" si="18"/>
        <v>1.3622610312720376E-2</v>
      </c>
      <c r="U35" s="164">
        <v>12430571</v>
      </c>
      <c r="V35" s="173">
        <f t="shared" si="12"/>
        <v>-0.82112960619427677</v>
      </c>
      <c r="W35" s="190">
        <f t="shared" si="19"/>
        <v>0.17646645998804084</v>
      </c>
    </row>
    <row r="36" spans="5:23" hidden="1" x14ac:dyDescent="0.35">
      <c r="E36" t="s">
        <v>162</v>
      </c>
      <c r="F36" s="165">
        <f>F39+F40</f>
        <v>20548.399999999998</v>
      </c>
      <c r="G36" s="84">
        <f>G39+G40</f>
        <v>38462.589999999997</v>
      </c>
      <c r="H36" s="84">
        <f t="shared" si="13"/>
        <v>38462.589999999997</v>
      </c>
      <c r="I36" s="181">
        <f>I39+I40</f>
        <v>37174</v>
      </c>
      <c r="J36" s="179">
        <f t="shared" si="14"/>
        <v>0.55276268359606173</v>
      </c>
      <c r="K36" s="178">
        <f>K40+K39</f>
        <v>109776</v>
      </c>
      <c r="L36" s="177">
        <f t="shared" si="15"/>
        <v>0.35037339673516976</v>
      </c>
      <c r="M36" s="85">
        <f>M40+M39</f>
        <v>422166</v>
      </c>
      <c r="N36" s="12">
        <f t="shared" ref="N36:N40" si="20">H36/M36</f>
        <v>9.1107739609537469E-2</v>
      </c>
      <c r="O36" s="84">
        <v>45876.310000000005</v>
      </c>
      <c r="P36" s="170">
        <f t="shared" si="16"/>
        <v>-0.55209126453282764</v>
      </c>
      <c r="Q36" s="85">
        <v>73690.02</v>
      </c>
      <c r="R36" s="185">
        <f t="shared" si="17"/>
        <v>-0.47804885926208196</v>
      </c>
      <c r="S36" s="85">
        <v>73690.02</v>
      </c>
      <c r="T36" s="170">
        <f t="shared" si="18"/>
        <v>-0.47804885926208196</v>
      </c>
      <c r="U36" s="85">
        <v>368675</v>
      </c>
      <c r="V36" s="170">
        <f t="shared" si="12"/>
        <v>-0.89567345222757178</v>
      </c>
      <c r="W36" s="191">
        <f t="shared" si="19"/>
        <v>0.19987799552451346</v>
      </c>
    </row>
    <row r="37" spans="5:23" hidden="1" x14ac:dyDescent="0.35">
      <c r="E37" s="94" t="s">
        <v>15</v>
      </c>
      <c r="F37" s="163">
        <f>VLOOKUP(F32,$E$1:$N$13,6,0)</f>
        <v>52005.65</v>
      </c>
      <c r="G37" s="164">
        <f>J2+J3</f>
        <v>60317.37</v>
      </c>
      <c r="H37" s="164">
        <f t="shared" si="13"/>
        <v>60317.37</v>
      </c>
      <c r="I37" s="166">
        <f>VLOOKUP(($E37&amp;$I31),'Projected Rev Values'!$C:$D,2,0)</f>
        <v>13000</v>
      </c>
      <c r="J37" s="162">
        <f t="shared" si="14"/>
        <v>4.0004346153846155</v>
      </c>
      <c r="K37" s="166">
        <f>SUMIF('Projected Rev Values'!$F:$F,$E37&amp;K31,'Projected Rev Values'!$D:$D)</f>
        <v>117617</v>
      </c>
      <c r="L37" s="162">
        <f t="shared" si="15"/>
        <v>0.51282867272588151</v>
      </c>
      <c r="M37" s="166">
        <f>SUMIF('Projected Rev Values'!$H:$H,$E37&amp;M31,'Projected Rev Values'!$D:$D)</f>
        <v>180000</v>
      </c>
      <c r="N37" s="174">
        <f t="shared" si="20"/>
        <v>0.33509650000000002</v>
      </c>
      <c r="O37" s="166">
        <v>22727.38</v>
      </c>
      <c r="P37" s="173">
        <f t="shared" si="16"/>
        <v>1.2882377995175862</v>
      </c>
      <c r="Q37" s="166">
        <v>27663.48</v>
      </c>
      <c r="R37" s="174">
        <f t="shared" si="17"/>
        <v>1.1803970433220985</v>
      </c>
      <c r="S37" s="166">
        <v>27663.48</v>
      </c>
      <c r="T37" s="173">
        <f t="shared" si="18"/>
        <v>1.1803970433220985</v>
      </c>
      <c r="U37" s="166">
        <v>175254</v>
      </c>
      <c r="V37" s="173">
        <f t="shared" si="12"/>
        <v>-0.65582885412030545</v>
      </c>
      <c r="W37" s="192">
        <f t="shared" si="19"/>
        <v>0.15784792358519634</v>
      </c>
    </row>
    <row r="38" spans="5:23" hidden="1" x14ac:dyDescent="0.35">
      <c r="E38" s="225" t="s">
        <v>5</v>
      </c>
      <c r="F38" s="226">
        <f>VLOOKUP(F32,$E$1:$N$13,7,0)</f>
        <v>190062.25000000003</v>
      </c>
      <c r="G38" s="178">
        <f>K2+K3</f>
        <v>260326.51</v>
      </c>
      <c r="H38" s="178">
        <f t="shared" si="13"/>
        <v>260326.51</v>
      </c>
      <c r="I38" s="181">
        <f>VLOOKUP(($E38&amp;$I31),'Projected Rev Values'!$C:$D,2,0)</f>
        <v>255000</v>
      </c>
      <c r="J38" s="179">
        <f t="shared" si="14"/>
        <v>0.74534215686274519</v>
      </c>
      <c r="K38" s="178">
        <f>SUMIF('Projected Rev Values'!$F:$F,$E38&amp;K31,'Projected Rev Values'!$D:$D)</f>
        <v>1618000</v>
      </c>
      <c r="L38" s="179">
        <f>G38/K38</f>
        <v>0.1608940111248455</v>
      </c>
      <c r="M38" s="178">
        <f>SUMIF('Projected Rev Values'!$H:$H,$E38&amp;M31,'Projected Rev Values'!$D:$D)</f>
        <v>1925000</v>
      </c>
      <c r="N38" s="227">
        <f t="shared" si="20"/>
        <v>0.13523455064935067</v>
      </c>
      <c r="O38" s="178">
        <v>362512.97000000003</v>
      </c>
      <c r="P38" s="227">
        <f t="shared" si="16"/>
        <v>-0.47570910359427965</v>
      </c>
      <c r="Q38" s="178">
        <v>379936.97000000003</v>
      </c>
      <c r="R38" s="228">
        <f t="shared" si="17"/>
        <v>-0.31481658655118511</v>
      </c>
      <c r="S38" s="178">
        <v>379936.97000000003</v>
      </c>
      <c r="T38" s="227">
        <f t="shared" si="18"/>
        <v>-0.31481658655118511</v>
      </c>
      <c r="U38" s="178">
        <v>1890055</v>
      </c>
      <c r="V38" s="227">
        <f t="shared" si="12"/>
        <v>-0.86226511397816463</v>
      </c>
      <c r="W38" s="229">
        <f>S38/U38</f>
        <v>0.20101900209253171</v>
      </c>
    </row>
    <row r="39" spans="5:23" hidden="1" x14ac:dyDescent="0.35">
      <c r="E39" s="223" t="s">
        <v>153</v>
      </c>
      <c r="F39" s="215">
        <f>VLOOKUP(F32,$E$1:$N$13,5,0)</f>
        <v>789.2</v>
      </c>
      <c r="G39" s="215">
        <f>I2+I3</f>
        <v>1545.3200000000002</v>
      </c>
      <c r="H39" s="215">
        <f t="shared" si="13"/>
        <v>1545.3200000000002</v>
      </c>
      <c r="I39" s="210">
        <f>VLOOKUP(($E39&amp;$I31),'Projected Rev Values'!$C:$D,2,0)</f>
        <v>974</v>
      </c>
      <c r="J39" s="216">
        <f t="shared" si="14"/>
        <v>0.81026694045174541</v>
      </c>
      <c r="K39" s="209">
        <f>SUMIF('Projected Rev Values'!$F:$F,$E39&amp;K31,'Projected Rev Values'!$D:$D)</f>
        <v>2476</v>
      </c>
      <c r="L39" s="216">
        <f t="shared" ref="L39:L41" si="21">G39/K39</f>
        <v>0.62411954765751221</v>
      </c>
      <c r="M39" s="209">
        <f>SUMIF('Projected Rev Values'!$H:$H,$E39&amp;M31,'Projected Rev Values'!$D:$D)</f>
        <v>4816</v>
      </c>
      <c r="N39" s="211">
        <f t="shared" si="20"/>
        <v>0.32087209302325587</v>
      </c>
      <c r="O39" s="209" t="s">
        <v>163</v>
      </c>
      <c r="P39" s="211" t="s">
        <v>163</v>
      </c>
      <c r="Q39" s="209" t="s">
        <v>163</v>
      </c>
      <c r="R39" s="217" t="s">
        <v>163</v>
      </c>
      <c r="S39" s="209" t="s">
        <v>163</v>
      </c>
      <c r="T39" s="211" t="s">
        <v>163</v>
      </c>
      <c r="U39" s="209">
        <v>4812</v>
      </c>
      <c r="V39" s="211">
        <f t="shared" si="12"/>
        <v>-0.6788611803823773</v>
      </c>
      <c r="W39" s="218" t="s">
        <v>163</v>
      </c>
    </row>
    <row r="40" spans="5:23" ht="15" hidden="1" thickBot="1" x14ac:dyDescent="0.4">
      <c r="E40" s="208" t="s">
        <v>161</v>
      </c>
      <c r="F40" s="219">
        <f>VLOOKUP(F32,$E$1:$N$13,8,0)</f>
        <v>19759.199999999997</v>
      </c>
      <c r="G40" s="212">
        <f>L2+L3</f>
        <v>36917.269999999997</v>
      </c>
      <c r="H40" s="212">
        <f t="shared" si="13"/>
        <v>36917.269999999997</v>
      </c>
      <c r="I40" s="213">
        <f>VLOOKUP(($E40&amp;$I31),'Projected Rev Values'!$C:$D,2,0)</f>
        <v>36200</v>
      </c>
      <c r="J40" s="220">
        <f t="shared" si="14"/>
        <v>0.54583425414364628</v>
      </c>
      <c r="K40" s="212">
        <f>SUMIF('Projected Rev Values'!$F:$F,$E40&amp;K31,'Projected Rev Values'!$D:$D)</f>
        <v>107300</v>
      </c>
      <c r="L40" s="220">
        <f t="shared" si="21"/>
        <v>0.34405657036346687</v>
      </c>
      <c r="M40" s="212">
        <f>SUMIF('Projected Rev Values'!$H:$H,$E40&amp;M31,'Projected Rev Values'!$D:$D)</f>
        <v>417350</v>
      </c>
      <c r="N40" s="221">
        <f t="shared" si="20"/>
        <v>8.8456379537558402E-2</v>
      </c>
      <c r="O40" s="212" t="s">
        <v>163</v>
      </c>
      <c r="P40" s="221" t="s">
        <v>163</v>
      </c>
      <c r="Q40" s="212" t="s">
        <v>163</v>
      </c>
      <c r="R40" s="222" t="s">
        <v>163</v>
      </c>
      <c r="S40" s="212" t="s">
        <v>163</v>
      </c>
      <c r="T40" s="221" t="s">
        <v>163</v>
      </c>
      <c r="U40" s="212">
        <v>363863</v>
      </c>
      <c r="V40" s="221">
        <f t="shared" si="12"/>
        <v>-0.89854074198255929</v>
      </c>
      <c r="W40" s="214" t="s">
        <v>163</v>
      </c>
    </row>
    <row r="41" spans="5:23" ht="16.5" hidden="1" thickTop="1" thickBot="1" x14ac:dyDescent="0.4">
      <c r="E41" s="96" t="s">
        <v>13</v>
      </c>
      <c r="F41" s="167">
        <f>SUM(F33:F38)</f>
        <v>2159262.0000000014</v>
      </c>
      <c r="G41" s="168">
        <f>SUM(G33:G38)</f>
        <v>3026235.4200000018</v>
      </c>
      <c r="H41" s="168">
        <f>SUM(H33:H38)</f>
        <v>3026235.4200000018</v>
      </c>
      <c r="I41" s="169">
        <f>SUM(I33:I38)</f>
        <v>2129314</v>
      </c>
      <c r="J41" s="172">
        <f>F41/I41</f>
        <v>1.0140646236299584</v>
      </c>
      <c r="K41" s="169">
        <f>SUM(K33:K38)</f>
        <v>11690456</v>
      </c>
      <c r="L41" s="172">
        <f t="shared" si="21"/>
        <v>0.25886376202947103</v>
      </c>
      <c r="M41" s="169">
        <f>SUM(M33:M38)</f>
        <v>18483721</v>
      </c>
      <c r="N41" s="187">
        <f>H41/M41</f>
        <v>0.16372436156118142</v>
      </c>
      <c r="O41" s="169">
        <f>SUM(O33:O38)</f>
        <v>2581686.3800000008</v>
      </c>
      <c r="P41" s="175">
        <f>(F41-O41)/O41</f>
        <v>-0.16362342973665117</v>
      </c>
      <c r="Q41" s="169">
        <f>SUM(Q33:Q38)</f>
        <v>3292038.1700000009</v>
      </c>
      <c r="R41" s="175">
        <f>(G41-Q41)/Q41</f>
        <v>-8.0741089949148123E-2</v>
      </c>
      <c r="S41" s="169">
        <f>SUM(S33:S38)</f>
        <v>3292038.1700000009</v>
      </c>
      <c r="T41" s="175">
        <f>(H41-S41)/S41</f>
        <v>-8.0741089949148123E-2</v>
      </c>
      <c r="U41" s="169">
        <f>(SUM(U33:U38))+13397</f>
        <v>17148576.18</v>
      </c>
      <c r="V41" s="175">
        <f>(H41-U41)/U41</f>
        <v>-0.82352847325427325</v>
      </c>
      <c r="W41" s="193">
        <f>S41/U41</f>
        <v>0.19197151620316041</v>
      </c>
    </row>
    <row r="42" spans="5:23" hidden="1" x14ac:dyDescent="0.35">
      <c r="O42" s="183">
        <f>F41-O41</f>
        <v>-422424.37999999942</v>
      </c>
      <c r="P42" s="196"/>
      <c r="Q42" s="183">
        <f>G41-Q41</f>
        <v>-265802.74999999907</v>
      </c>
      <c r="S42" s="183">
        <f>H41-S41</f>
        <v>-265802.74999999907</v>
      </c>
    </row>
    <row r="43" spans="5:23" hidden="1" x14ac:dyDescent="0.35"/>
    <row r="44" spans="5:23" ht="15" hidden="1" thickBot="1" x14ac:dyDescent="0.4">
      <c r="F44" s="6" t="s">
        <v>666</v>
      </c>
      <c r="I44" s="182"/>
      <c r="J44" s="6"/>
      <c r="K44" s="6"/>
      <c r="L44" s="6"/>
      <c r="M44" s="6"/>
      <c r="N44" s="6"/>
      <c r="O44" s="184" t="s">
        <v>665</v>
      </c>
    </row>
    <row r="45" spans="5:23" hidden="1" x14ac:dyDescent="0.35">
      <c r="F45" s="357" t="s">
        <v>23</v>
      </c>
      <c r="G45" s="358"/>
      <c r="H45" s="359"/>
      <c r="I45" s="360" t="s">
        <v>14</v>
      </c>
      <c r="J45" s="361"/>
      <c r="K45" s="362" t="s">
        <v>150</v>
      </c>
      <c r="L45" s="363"/>
      <c r="M45" s="362" t="s">
        <v>175</v>
      </c>
      <c r="N45" s="363"/>
      <c r="O45" s="355" t="str">
        <f>_xlfn.CONCAT(I45," YoY")</f>
        <v>December YoY</v>
      </c>
      <c r="P45" s="356"/>
      <c r="Q45" s="355" t="str">
        <f>_xlfn.CONCAT(K45," YoY")</f>
        <v>Q1 YoY</v>
      </c>
      <c r="R45" s="356"/>
      <c r="S45" s="355" t="s">
        <v>154</v>
      </c>
      <c r="T45" s="356"/>
      <c r="U45" s="355" t="s">
        <v>155</v>
      </c>
      <c r="V45" s="356"/>
      <c r="W45" s="188" t="s">
        <v>166</v>
      </c>
    </row>
    <row r="46" spans="5:23" ht="15" hidden="1" thickBot="1" x14ac:dyDescent="0.4">
      <c r="F46" s="197" t="str">
        <f>I45</f>
        <v>December</v>
      </c>
      <c r="G46" s="88" t="str">
        <f>K45</f>
        <v>Q1</v>
      </c>
      <c r="H46" s="88" t="s">
        <v>24</v>
      </c>
      <c r="I46" s="86" t="s">
        <v>142</v>
      </c>
      <c r="J46" s="87" t="s">
        <v>55</v>
      </c>
      <c r="K46" s="86" t="str">
        <f>_xlfn.CONCAT(K45," Rev Goal")</f>
        <v>Q1 Rev Goal</v>
      </c>
      <c r="L46" s="87" t="s">
        <v>22</v>
      </c>
      <c r="M46" s="86" t="s">
        <v>168</v>
      </c>
      <c r="N46" s="87" t="s">
        <v>22</v>
      </c>
      <c r="O46" s="86" t="str">
        <f>_xlfn.CONCAT(I45," FY24")</f>
        <v>December FY24</v>
      </c>
      <c r="P46" s="87" t="s">
        <v>151</v>
      </c>
      <c r="Q46" s="86" t="str">
        <f>_xlfn.CONCAT(K45," FY24")</f>
        <v>Q1 FY24</v>
      </c>
      <c r="R46" s="87" t="s">
        <v>151</v>
      </c>
      <c r="S46" s="86" t="s">
        <v>167</v>
      </c>
      <c r="T46" s="87" t="s">
        <v>151</v>
      </c>
      <c r="U46" s="86" t="s">
        <v>166</v>
      </c>
      <c r="V46" s="87" t="s">
        <v>169</v>
      </c>
      <c r="W46" s="189" t="s">
        <v>158</v>
      </c>
    </row>
    <row r="47" spans="5:23" hidden="1" x14ac:dyDescent="0.35">
      <c r="E47" s="94" t="s">
        <v>1</v>
      </c>
      <c r="F47" s="310">
        <f>VLOOKUP(F46,$E$1:$N$13,2,0)</f>
        <v>718356.54999999958</v>
      </c>
      <c r="G47" s="310">
        <f>SUM(F2:F4)</f>
        <v>982735.88999999955</v>
      </c>
      <c r="H47" s="310">
        <f>SUM(F2:F4)</f>
        <v>982735.88999999955</v>
      </c>
      <c r="I47" s="314">
        <f>VLOOKUP(($E47&amp;$I45),'Projected Rev Values'!$C:$D,2,0)</f>
        <v>714929</v>
      </c>
      <c r="J47" s="315">
        <f>F47/I47</f>
        <v>1.0047942522963813</v>
      </c>
      <c r="K47" s="316">
        <f>SUMIF('Projected Rev Values'!$F:$F,$E47&amp;K45,'Projected Rev Values'!$D:$D)</f>
        <v>994963</v>
      </c>
      <c r="L47" s="315">
        <f>G47/K47</f>
        <v>0.98771099025792874</v>
      </c>
      <c r="M47" s="316">
        <f>SUMIF('Projected Rev Values'!$H:$H,$E47&amp;M45,'Projected Rev Values'!$D:$D)</f>
        <v>1695708</v>
      </c>
      <c r="N47" s="317">
        <f>H47/M47</f>
        <v>0.57954311119603108</v>
      </c>
      <c r="O47" s="316">
        <v>574149.2799999998</v>
      </c>
      <c r="P47" s="318">
        <f>(F47-O47)/O47</f>
        <v>0.2511668568146595</v>
      </c>
      <c r="Q47" s="316">
        <v>1080559.9099999997</v>
      </c>
      <c r="R47" s="318">
        <f>(G47-Q47)/Q47</f>
        <v>-9.0530861912136051E-2</v>
      </c>
      <c r="S47" s="316">
        <v>1080559.9099999997</v>
      </c>
      <c r="T47" s="317">
        <f>(H47-S47)/S47</f>
        <v>-9.0530861912136051E-2</v>
      </c>
      <c r="U47" s="308">
        <v>1819503.1799999997</v>
      </c>
      <c r="V47" s="319">
        <f>(H47-U47)/U47</f>
        <v>-0.45988778651104106</v>
      </c>
      <c r="W47" s="324">
        <f>S47/U47</f>
        <v>0.59387635145545603</v>
      </c>
    </row>
    <row r="48" spans="5:23" hidden="1" x14ac:dyDescent="0.35">
      <c r="E48" t="s">
        <v>2</v>
      </c>
      <c r="F48" s="165">
        <f>VLOOKUP(F46,$E$1:$N$13,3,0)</f>
        <v>188230.96000000005</v>
      </c>
      <c r="G48" s="165">
        <f>SUM(G2:G4)</f>
        <v>367519.44000000006</v>
      </c>
      <c r="H48" s="165">
        <f>SUM(G2:G4)</f>
        <v>367519.44000000006</v>
      </c>
      <c r="I48" s="180">
        <f>VLOOKUP(($E48&amp;$I45),'Projected Rev Values'!$C:$D,2,0)</f>
        <v>115538</v>
      </c>
      <c r="J48" s="56">
        <f t="shared" ref="J48:J54" si="22">F48/I48</f>
        <v>1.6291692776402573</v>
      </c>
      <c r="K48" s="85">
        <f>SUMIF('Projected Rev Values'!$F:$F,$E48&amp;K45,'Projected Rev Values'!$D:$D)</f>
        <v>193114</v>
      </c>
      <c r="L48" s="56">
        <f t="shared" ref="L48:L51" si="23">G48/K48</f>
        <v>1.9031216794225176</v>
      </c>
      <c r="M48" s="84">
        <f>SUMIF('Projected Rev Values'!$H:$H,$E48&amp;M45,'Projected Rev Values'!$D:$D)</f>
        <v>396834</v>
      </c>
      <c r="N48" s="12">
        <f>H48/M48</f>
        <v>0.92612891032522426</v>
      </c>
      <c r="O48" s="85">
        <v>99330.940000000046</v>
      </c>
      <c r="P48" s="170">
        <f t="shared" ref="P48:P52" si="24">(F48-O48)/O48</f>
        <v>0.8949882081051479</v>
      </c>
      <c r="Q48" s="85">
        <v>211734.47000000009</v>
      </c>
      <c r="R48" s="185">
        <f t="shared" ref="R48:R52" si="25">(G48-Q48)/Q48</f>
        <v>0.73575629891533445</v>
      </c>
      <c r="S48" s="85">
        <v>211734.47000000009</v>
      </c>
      <c r="T48" s="170">
        <f t="shared" ref="T48:T52" si="26">(H48-S48)/S48</f>
        <v>0.73575629891533445</v>
      </c>
      <c r="U48" s="313">
        <v>451121</v>
      </c>
      <c r="V48" s="320">
        <f t="shared" ref="V48:V55" si="27">(H48-U48)/U48</f>
        <v>-0.18531959274784357</v>
      </c>
      <c r="W48" s="191">
        <f t="shared" ref="W48:W51" si="28">S48/U48</f>
        <v>0.46935183686860088</v>
      </c>
    </row>
    <row r="49" spans="5:23" hidden="1" x14ac:dyDescent="0.35">
      <c r="E49" s="94" t="s">
        <v>3</v>
      </c>
      <c r="F49" s="163">
        <f>VLOOKUP(F46,$E$1:$N$13,4,0)</f>
        <v>8281823.519999993</v>
      </c>
      <c r="G49" s="163">
        <f>SUM(H2:H4)</f>
        <v>10505284.649999995</v>
      </c>
      <c r="H49" s="163">
        <f>SUM(H2:H4)</f>
        <v>10505284.649999995</v>
      </c>
      <c r="I49" s="166">
        <f>VLOOKUP(($E49&amp;$I45),'Projected Rev Values'!$C:$D,2,0)</f>
        <v>6589881</v>
      </c>
      <c r="J49" s="95">
        <f t="shared" si="22"/>
        <v>1.2567485695113452</v>
      </c>
      <c r="K49" s="164">
        <f>SUMIF('Projected Rev Values'!$F:$F,$E49&amp;K45,'Projected Rev Values'!$D:$D)</f>
        <v>8656986</v>
      </c>
      <c r="L49" s="95">
        <f t="shared" si="23"/>
        <v>1.2135037124930079</v>
      </c>
      <c r="M49" s="164">
        <f>SUMIF('Projected Rev Values'!$H:$H,$E49&amp;M45,'Projected Rev Values'!$D:$D)</f>
        <v>13864013</v>
      </c>
      <c r="N49" s="173">
        <f>H49/M49</f>
        <v>0.75773765142891847</v>
      </c>
      <c r="O49" s="164">
        <v>6341640.0699999919</v>
      </c>
      <c r="P49" s="173">
        <f t="shared" si="24"/>
        <v>0.30594348285048661</v>
      </c>
      <c r="Q49" s="164">
        <v>8540030.0899999924</v>
      </c>
      <c r="R49" s="174">
        <f t="shared" si="25"/>
        <v>0.2301226739588694</v>
      </c>
      <c r="S49" s="164">
        <v>8540030.0899999924</v>
      </c>
      <c r="T49" s="173">
        <f t="shared" si="26"/>
        <v>0.2301226739588694</v>
      </c>
      <c r="U49" s="308">
        <v>12430571</v>
      </c>
      <c r="V49" s="321">
        <f t="shared" si="27"/>
        <v>-0.15488317873732471</v>
      </c>
      <c r="W49" s="190">
        <f t="shared" si="28"/>
        <v>0.68701832683309494</v>
      </c>
    </row>
    <row r="50" spans="5:23" hidden="1" x14ac:dyDescent="0.35">
      <c r="E50" t="s">
        <v>162</v>
      </c>
      <c r="F50" s="165">
        <f>F53+F54</f>
        <v>18988.54</v>
      </c>
      <c r="G50" s="165">
        <f>G53+G54</f>
        <v>57451.13</v>
      </c>
      <c r="H50" s="165" cm="1">
        <f t="array" ref="H50">SUM(I2:I4+L2:L4)</f>
        <v>57451.13</v>
      </c>
      <c r="I50" s="181">
        <f>I53+I54</f>
        <v>38190</v>
      </c>
      <c r="J50" s="179">
        <f t="shared" si="22"/>
        <v>0.49721235925634988</v>
      </c>
      <c r="K50" s="178">
        <f>K54+K53</f>
        <v>109776</v>
      </c>
      <c r="L50" s="177">
        <f t="shared" si="23"/>
        <v>0.52334872831948698</v>
      </c>
      <c r="M50" s="85">
        <f>M54+M53</f>
        <v>422166</v>
      </c>
      <c r="N50" s="12">
        <f t="shared" ref="N50:N54" si="29">H50/M50</f>
        <v>0.13608658679287294</v>
      </c>
      <c r="O50" s="84">
        <v>38968.220000000016</v>
      </c>
      <c r="P50" s="170">
        <f t="shared" si="24"/>
        <v>-0.51271728603462019</v>
      </c>
      <c r="Q50" s="85">
        <v>112658.24000000002</v>
      </c>
      <c r="R50" s="185">
        <f t="shared" si="25"/>
        <v>-0.49004058646753235</v>
      </c>
      <c r="S50" s="85">
        <v>112658.24000000002</v>
      </c>
      <c r="T50" s="170">
        <f t="shared" si="26"/>
        <v>-0.49004058646753235</v>
      </c>
      <c r="U50" s="313">
        <v>368675</v>
      </c>
      <c r="V50" s="320">
        <f t="shared" si="27"/>
        <v>-0.84416863090798122</v>
      </c>
      <c r="W50" s="191">
        <f t="shared" si="28"/>
        <v>0.30557602224181196</v>
      </c>
    </row>
    <row r="51" spans="5:23" hidden="1" x14ac:dyDescent="0.35">
      <c r="E51" s="94" t="s">
        <v>15</v>
      </c>
      <c r="F51" s="163">
        <f>VLOOKUP(F46,$E$1:$N$13,6,0)</f>
        <v>74056.38</v>
      </c>
      <c r="G51" s="163">
        <f>SUM(J2:J4)</f>
        <v>134373.75</v>
      </c>
      <c r="H51" s="163">
        <f>SUM(J2:J4)</f>
        <v>134373.75</v>
      </c>
      <c r="I51" s="166">
        <f>VLOOKUP(($E51&amp;$I45),'Projected Rev Values'!$C:$D,2,0)</f>
        <v>100000</v>
      </c>
      <c r="J51" s="162">
        <f t="shared" si="22"/>
        <v>0.74056379999999999</v>
      </c>
      <c r="K51" s="166">
        <f>SUMIF('Projected Rev Values'!$F:$F,$E51&amp;K45,'Projected Rev Values'!$D:$D)</f>
        <v>117617</v>
      </c>
      <c r="L51" s="162">
        <f t="shared" si="23"/>
        <v>1.1424687757722098</v>
      </c>
      <c r="M51" s="166">
        <f>SUMIF('Projected Rev Values'!$H:$H,$E51&amp;M45,'Projected Rev Values'!$D:$D)</f>
        <v>180000</v>
      </c>
      <c r="N51" s="174">
        <f t="shared" si="29"/>
        <v>0.7465208333333333</v>
      </c>
      <c r="O51" s="166">
        <v>79012.709999999992</v>
      </c>
      <c r="P51" s="173">
        <f t="shared" si="24"/>
        <v>-6.2728262326402773E-2</v>
      </c>
      <c r="Q51" s="166">
        <v>106676.18999999999</v>
      </c>
      <c r="R51" s="174">
        <f t="shared" si="25"/>
        <v>0.25964144388733806</v>
      </c>
      <c r="S51" s="166">
        <v>106676.18999999999</v>
      </c>
      <c r="T51" s="173">
        <f t="shared" si="26"/>
        <v>0.25964144388733806</v>
      </c>
      <c r="U51" s="311">
        <v>175254</v>
      </c>
      <c r="V51" s="321">
        <f t="shared" si="27"/>
        <v>-0.23326286418569619</v>
      </c>
      <c r="W51" s="192">
        <f t="shared" si="28"/>
        <v>0.60869475161765207</v>
      </c>
    </row>
    <row r="52" spans="5:23" hidden="1" x14ac:dyDescent="0.35">
      <c r="E52" s="225" t="s">
        <v>5</v>
      </c>
      <c r="F52" s="226">
        <f>VLOOKUP(F46,$E$1:$N$13,7,0)</f>
        <v>1135921.3599999996</v>
      </c>
      <c r="G52" s="226">
        <f>SUM(K2:K4)</f>
        <v>1396247.8699999996</v>
      </c>
      <c r="H52" s="226">
        <f>SUM(K2:K4)</f>
        <v>1396247.8699999996</v>
      </c>
      <c r="I52" s="181">
        <f>VLOOKUP(($E52&amp;$I45),'Projected Rev Values'!$C:$D,2,0)</f>
        <v>1350000</v>
      </c>
      <c r="J52" s="179">
        <f t="shared" si="22"/>
        <v>0.84142322962962934</v>
      </c>
      <c r="K52" s="178">
        <f>SUMIF('Projected Rev Values'!$F:$F,$E52&amp;K45,'Projected Rev Values'!$D:$D)</f>
        <v>1618000</v>
      </c>
      <c r="L52" s="179">
        <f>G52/K52</f>
        <v>0.86294676761433842</v>
      </c>
      <c r="M52" s="178">
        <f>SUMIF('Projected Rev Values'!$H:$H,$E52&amp;M45,'Projected Rev Values'!$D:$D)</f>
        <v>1925000</v>
      </c>
      <c r="N52" s="227">
        <f t="shared" si="29"/>
        <v>0.72532356883116866</v>
      </c>
      <c r="O52" s="178">
        <v>1243836.9100000001</v>
      </c>
      <c r="P52" s="227">
        <f t="shared" si="24"/>
        <v>-8.6760208780104861E-2</v>
      </c>
      <c r="Q52" s="178">
        <v>1625605.3800000001</v>
      </c>
      <c r="R52" s="228">
        <f t="shared" si="25"/>
        <v>-0.14109052099716873</v>
      </c>
      <c r="S52" s="178">
        <v>1625605.3800000001</v>
      </c>
      <c r="T52" s="227">
        <f t="shared" si="26"/>
        <v>-0.14109052099716873</v>
      </c>
      <c r="U52" s="309">
        <v>1890055</v>
      </c>
      <c r="V52" s="322">
        <f t="shared" si="27"/>
        <v>-0.26126601077746431</v>
      </c>
      <c r="W52" s="229">
        <f>S52/U52</f>
        <v>0.86008363777773666</v>
      </c>
    </row>
    <row r="53" spans="5:23" hidden="1" x14ac:dyDescent="0.35">
      <c r="E53" s="208" t="s">
        <v>153</v>
      </c>
      <c r="F53" s="215">
        <f>VLOOKUP(F46,$E$1:$N$13,5,0)</f>
        <v>1876.25</v>
      </c>
      <c r="G53" s="215">
        <f>SUM(I2:I4)</f>
        <v>3421.57</v>
      </c>
      <c r="H53" s="215">
        <f>SUM(I2:I4)</f>
        <v>3421.57</v>
      </c>
      <c r="I53" s="210">
        <f>VLOOKUP(($E53&amp;$I45),'Projected Rev Values'!$C:$D,2,0)</f>
        <v>1290</v>
      </c>
      <c r="J53" s="216">
        <f t="shared" si="22"/>
        <v>1.4544573643410852</v>
      </c>
      <c r="K53" s="209">
        <f>SUMIF('Projected Rev Values'!$F:$F,$E53&amp;K45,'Projected Rev Values'!$D:$D)</f>
        <v>2476</v>
      </c>
      <c r="L53" s="216">
        <f t="shared" ref="L53:L56" si="30">G53/K53</f>
        <v>1.381894184168013</v>
      </c>
      <c r="M53" s="209">
        <f>SUMIF('Projected Rev Values'!$H:$H,$E53&amp;M45,'Projected Rev Values'!$D:$D)</f>
        <v>4816</v>
      </c>
      <c r="N53" s="211">
        <f t="shared" si="29"/>
        <v>0.71045888704318938</v>
      </c>
      <c r="O53" s="209" t="s">
        <v>163</v>
      </c>
      <c r="P53" s="211" t="s">
        <v>163</v>
      </c>
      <c r="Q53" s="209" t="s">
        <v>163</v>
      </c>
      <c r="R53" s="217" t="s">
        <v>163</v>
      </c>
      <c r="S53" s="209" t="s">
        <v>163</v>
      </c>
      <c r="T53" s="211" t="s">
        <v>163</v>
      </c>
      <c r="U53" s="306">
        <v>4812</v>
      </c>
      <c r="V53" s="307">
        <f t="shared" si="27"/>
        <v>-0.28895054031587691</v>
      </c>
      <c r="W53" s="218" t="s">
        <v>163</v>
      </c>
    </row>
    <row r="54" spans="5:23" hidden="1" x14ac:dyDescent="0.35">
      <c r="E54" s="208" t="s">
        <v>161</v>
      </c>
      <c r="F54" s="215">
        <f>VLOOKUP(F46,$E$1:$N$13,8,0)</f>
        <v>17112.29</v>
      </c>
      <c r="G54" s="215">
        <f>SUM(L2:L4)</f>
        <v>54029.56</v>
      </c>
      <c r="H54" s="215">
        <f>SUM(L2:L4)</f>
        <v>54029.56</v>
      </c>
      <c r="I54" s="210">
        <f>VLOOKUP(($E54&amp;$I45),'Projected Rev Values'!$C:$D,2,0)</f>
        <v>36900</v>
      </c>
      <c r="J54" s="216">
        <f t="shared" si="22"/>
        <v>0.46374769647696479</v>
      </c>
      <c r="K54" s="209">
        <f>SUMIF('Projected Rev Values'!$F:$F,$E54&amp;K45,'Projected Rev Values'!$D:$D)</f>
        <v>107300</v>
      </c>
      <c r="L54" s="216">
        <f t="shared" si="30"/>
        <v>0.50353737185461322</v>
      </c>
      <c r="M54" s="209">
        <f>SUMIF('Projected Rev Values'!$H:$H,$E54&amp;M45,'Projected Rev Values'!$D:$D)</f>
        <v>417350</v>
      </c>
      <c r="N54" s="211">
        <f t="shared" si="29"/>
        <v>0.12945863184377621</v>
      </c>
      <c r="O54" s="209" t="s">
        <v>163</v>
      </c>
      <c r="P54" s="211" t="s">
        <v>163</v>
      </c>
      <c r="Q54" s="209" t="s">
        <v>163</v>
      </c>
      <c r="R54" s="217" t="s">
        <v>163</v>
      </c>
      <c r="S54" s="209" t="s">
        <v>163</v>
      </c>
      <c r="T54" s="211" t="s">
        <v>163</v>
      </c>
      <c r="U54" s="306">
        <v>363863</v>
      </c>
      <c r="V54" s="307">
        <f t="shared" si="27"/>
        <v>-0.85151125560994112</v>
      </c>
      <c r="W54" s="218" t="s">
        <v>163</v>
      </c>
    </row>
    <row r="55" spans="5:23" ht="15" hidden="1" thickBot="1" x14ac:dyDescent="0.4">
      <c r="E55" s="325" t="s">
        <v>513</v>
      </c>
      <c r="F55" s="326">
        <f>VLOOKUP(F46,$E$1:$N$13,9,0)</f>
        <v>85999.5</v>
      </c>
      <c r="G55" s="326">
        <f>SUM(M2:M4)</f>
        <v>85999.5</v>
      </c>
      <c r="H55" s="326">
        <f>SUM(M2:M5)</f>
        <v>87152.85</v>
      </c>
      <c r="I55" s="327" t="s">
        <v>163</v>
      </c>
      <c r="J55" s="328" t="s">
        <v>163</v>
      </c>
      <c r="K55" s="329" t="s">
        <v>163</v>
      </c>
      <c r="L55" s="328" t="s">
        <v>163</v>
      </c>
      <c r="M55" s="329" t="s">
        <v>163</v>
      </c>
      <c r="N55" s="330" t="s">
        <v>163</v>
      </c>
      <c r="O55" s="329" t="s">
        <v>163</v>
      </c>
      <c r="P55" s="330" t="s">
        <v>163</v>
      </c>
      <c r="Q55" s="329" t="s">
        <v>163</v>
      </c>
      <c r="R55" s="331" t="s">
        <v>163</v>
      </c>
      <c r="S55" s="329" t="s">
        <v>163</v>
      </c>
      <c r="T55" s="330" t="s">
        <v>163</v>
      </c>
      <c r="U55" s="332">
        <v>13360</v>
      </c>
      <c r="V55" s="333">
        <f t="shared" si="27"/>
        <v>5.5234169161676654</v>
      </c>
      <c r="W55" s="334" t="s">
        <v>163</v>
      </c>
    </row>
    <row r="56" spans="5:23" ht="16.5" hidden="1" thickTop="1" thickBot="1" x14ac:dyDescent="0.4">
      <c r="E56" s="96" t="s">
        <v>13</v>
      </c>
      <c r="F56" s="167">
        <f>SUM(F47:F52)+F55</f>
        <v>10503376.809999991</v>
      </c>
      <c r="G56" s="167">
        <f>SUM(G47:G52)+G55</f>
        <v>13529612.229999995</v>
      </c>
      <c r="H56" s="167">
        <f>SUM(H47:H52)+H55</f>
        <v>13530765.579999994</v>
      </c>
      <c r="I56" s="169">
        <f>SUM(I47:I52)</f>
        <v>8908538</v>
      </c>
      <c r="J56" s="172">
        <f>F56/I56</f>
        <v>1.1790236299154802</v>
      </c>
      <c r="K56" s="169">
        <f>SUM(K47:K52)</f>
        <v>11690456</v>
      </c>
      <c r="L56" s="172">
        <f t="shared" si="30"/>
        <v>1.1573211712186415</v>
      </c>
      <c r="M56" s="169">
        <f>SUM(M47:M52)</f>
        <v>18483721</v>
      </c>
      <c r="N56" s="187">
        <f>H56/M56</f>
        <v>0.73203688694500391</v>
      </c>
      <c r="O56" s="169">
        <f>SUM(O47:O52)</f>
        <v>8376938.1299999915</v>
      </c>
      <c r="P56" s="175">
        <f>(F56-O56)/O56</f>
        <v>0.25384438168221279</v>
      </c>
      <c r="Q56" s="169">
        <f>SUM(Q47:Q52)</f>
        <v>11677264.279999992</v>
      </c>
      <c r="R56" s="175">
        <f>(G56-Q56)/Q56</f>
        <v>0.15862858847620465</v>
      </c>
      <c r="S56" s="169">
        <f>SUM(S47:S52)</f>
        <v>11677264.279999992</v>
      </c>
      <c r="T56" s="175">
        <f>(H56-S56)/S56</f>
        <v>0.15872735732928053</v>
      </c>
      <c r="U56" s="312">
        <f>(SUM(U47:U52))+13397</f>
        <v>17148576.18</v>
      </c>
      <c r="V56" s="323">
        <f>(H56-U56)/U56</f>
        <v>-0.21096857033643276</v>
      </c>
      <c r="W56" s="193">
        <f>S56/U56</f>
        <v>0.68094657873806008</v>
      </c>
    </row>
    <row r="57" spans="5:23" hidden="1" x14ac:dyDescent="0.35">
      <c r="O57" s="183">
        <f>F56-O56</f>
        <v>2126438.6799999997</v>
      </c>
      <c r="P57" s="196"/>
      <c r="Q57" s="183">
        <f>G56-Q56</f>
        <v>1852347.950000003</v>
      </c>
      <c r="S57" s="183">
        <f>H56-S56</f>
        <v>1853501.3000000026</v>
      </c>
    </row>
    <row r="59" spans="5:23" ht="15" thickBot="1" x14ac:dyDescent="0.4">
      <c r="F59" s="6" t="s">
        <v>668</v>
      </c>
      <c r="I59" s="182"/>
      <c r="J59" s="6"/>
      <c r="K59" s="6"/>
      <c r="L59" s="6"/>
      <c r="M59" s="6"/>
      <c r="N59" s="6"/>
      <c r="O59" s="184" t="s">
        <v>669</v>
      </c>
    </row>
    <row r="60" spans="5:23" x14ac:dyDescent="0.35">
      <c r="F60" s="357" t="s">
        <v>23</v>
      </c>
      <c r="G60" s="358"/>
      <c r="H60" s="359"/>
      <c r="I60" s="360" t="s">
        <v>26</v>
      </c>
      <c r="J60" s="361"/>
      <c r="K60" s="362" t="s">
        <v>159</v>
      </c>
      <c r="L60" s="363"/>
      <c r="M60" s="362" t="s">
        <v>175</v>
      </c>
      <c r="N60" s="363"/>
      <c r="O60" s="355" t="str">
        <f>_xlfn.CONCAT(I60," YoY")</f>
        <v>February YoY</v>
      </c>
      <c r="P60" s="356"/>
      <c r="Q60" s="355" t="str">
        <f>_xlfn.CONCAT(K60," YoY")</f>
        <v>Q2 YoY</v>
      </c>
      <c r="R60" s="356"/>
      <c r="S60" s="355" t="s">
        <v>154</v>
      </c>
      <c r="T60" s="356"/>
      <c r="U60" s="355" t="s">
        <v>155</v>
      </c>
      <c r="V60" s="356"/>
      <c r="W60" s="188" t="s">
        <v>166</v>
      </c>
    </row>
    <row r="61" spans="5:23" ht="15" thickBot="1" x14ac:dyDescent="0.4">
      <c r="F61" s="197" t="str">
        <f>I60</f>
        <v>February</v>
      </c>
      <c r="G61" s="88" t="str">
        <f>K60</f>
        <v>Q2</v>
      </c>
      <c r="H61" s="88" t="s">
        <v>24</v>
      </c>
      <c r="I61" s="86" t="s">
        <v>142</v>
      </c>
      <c r="J61" s="87" t="s">
        <v>55</v>
      </c>
      <c r="K61" s="86" t="str">
        <f>_xlfn.CONCAT(K60," Rev Goal")</f>
        <v>Q2 Rev Goal</v>
      </c>
      <c r="L61" s="87" t="s">
        <v>22</v>
      </c>
      <c r="M61" s="86" t="s">
        <v>168</v>
      </c>
      <c r="N61" s="87" t="s">
        <v>22</v>
      </c>
      <c r="O61" s="86" t="str">
        <f>_xlfn.CONCAT(I60," FY24")</f>
        <v>February FY24</v>
      </c>
      <c r="P61" s="87" t="s">
        <v>151</v>
      </c>
      <c r="Q61" s="86" t="str">
        <f>_xlfn.CONCAT(K60," FY24")</f>
        <v>Q2 FY24</v>
      </c>
      <c r="R61" s="87" t="s">
        <v>151</v>
      </c>
      <c r="S61" s="86" t="s">
        <v>167</v>
      </c>
      <c r="T61" s="87" t="s">
        <v>151</v>
      </c>
      <c r="U61" s="86" t="s">
        <v>166</v>
      </c>
      <c r="V61" s="87" t="s">
        <v>169</v>
      </c>
      <c r="W61" s="189" t="s">
        <v>158</v>
      </c>
    </row>
    <row r="62" spans="5:23" x14ac:dyDescent="0.35">
      <c r="E62" s="94" t="s">
        <v>1</v>
      </c>
      <c r="F62" s="310">
        <f>VLOOKUP(F61,$E$1:$N$13,2,0)</f>
        <v>18982.049999999992</v>
      </c>
      <c r="G62" s="310">
        <f>SUM(F5:F7)</f>
        <v>65308.83</v>
      </c>
      <c r="H62" s="310">
        <f>SUM(F2:F7)</f>
        <v>1048044.7199999996</v>
      </c>
      <c r="I62" s="314">
        <f>VLOOKUP(($E62&amp;$I60),'Projected Rev Values'!$C:$D,2,0)</f>
        <v>47545</v>
      </c>
      <c r="J62" s="315">
        <f>F62/I62</f>
        <v>0.39924387422441882</v>
      </c>
      <c r="K62" s="316">
        <f>SUMIF('Projected Rev Values'!$F:$F,$E62&amp;K60,'Projected Rev Values'!$D:$D)</f>
        <v>124212</v>
      </c>
      <c r="L62" s="315">
        <f>G62/K62</f>
        <v>0.52578518983673073</v>
      </c>
      <c r="M62" s="316">
        <f>SUMIF('Projected Rev Values'!$H:$H,$E62&amp;M60,'Projected Rev Values'!$D:$D)</f>
        <v>1695708</v>
      </c>
      <c r="N62" s="317">
        <f>H62/M62</f>
        <v>0.61805730703635275</v>
      </c>
      <c r="O62" s="316">
        <v>36006.439999999995</v>
      </c>
      <c r="P62" s="318">
        <f>(F62-O62)/O62</f>
        <v>-0.47281514084702642</v>
      </c>
      <c r="Q62" s="316">
        <v>71364.759999999995</v>
      </c>
      <c r="R62" s="318">
        <f>(G62-Q62)/Q62</f>
        <v>-8.4858829483907647E-2</v>
      </c>
      <c r="S62" s="316">
        <v>1151874.6699999997</v>
      </c>
      <c r="T62" s="317">
        <f>(H62-S62)/S62</f>
        <v>-9.0139971564788465E-2</v>
      </c>
      <c r="U62" s="308">
        <v>1819503.1799999997</v>
      </c>
      <c r="V62" s="319">
        <f>(H62-U62)/U62</f>
        <v>-0.42399401577303109</v>
      </c>
      <c r="W62" s="324">
        <f>S62/U62</f>
        <v>0.63307098479487123</v>
      </c>
    </row>
    <row r="63" spans="5:23" x14ac:dyDescent="0.35">
      <c r="E63" t="s">
        <v>2</v>
      </c>
      <c r="F63" s="165">
        <f>VLOOKUP(F61,$E$1:$N$13,3,0)</f>
        <v>16730.760000000006</v>
      </c>
      <c r="G63" s="165">
        <f>SUM(G5:G7)</f>
        <v>50271.369999999995</v>
      </c>
      <c r="H63" s="165">
        <f>SUM(G2:G7)</f>
        <v>417790.81000000006</v>
      </c>
      <c r="I63" s="180">
        <f>VLOOKUP(($E63&amp;$I60),'Projected Rev Values'!$C:$D,2,0)</f>
        <v>11415</v>
      </c>
      <c r="J63" s="56">
        <f t="shared" ref="J63:J69" si="31">F63/I63</f>
        <v>1.4656819973718795</v>
      </c>
      <c r="K63" s="85">
        <f>SUMIF('Projected Rev Values'!$F:$F,$E63&amp;K60,'Projected Rev Values'!$D:$D)</f>
        <v>44475</v>
      </c>
      <c r="L63" s="56">
        <f t="shared" ref="L63:L66" si="32">G63/K63</f>
        <v>1.1303287240022484</v>
      </c>
      <c r="M63" s="84">
        <f>SUMIF('Projected Rev Values'!$H:$H,$E63&amp;M60,'Projected Rev Values'!$D:$D)</f>
        <v>396834</v>
      </c>
      <c r="N63" s="12">
        <f>H63/M63</f>
        <v>1.0528100162788472</v>
      </c>
      <c r="O63" s="85">
        <v>12108.620000000003</v>
      </c>
      <c r="P63" s="170">
        <f t="shared" ref="P63:P67" si="33">(F63-O63)/O63</f>
        <v>0.38172310304559909</v>
      </c>
      <c r="Q63" s="85">
        <v>24773.530000000006</v>
      </c>
      <c r="R63" s="185">
        <f t="shared" ref="R63:R67" si="34">(G63-Q63)/Q63</f>
        <v>1.0292372544405251</v>
      </c>
      <c r="S63" s="85">
        <v>231508.00000000006</v>
      </c>
      <c r="T63" s="170">
        <f t="shared" ref="T63:T67" si="35">(H63-S63)/S63</f>
        <v>0.80464955854657272</v>
      </c>
      <c r="U63" s="313">
        <v>451121</v>
      </c>
      <c r="V63" s="320">
        <f t="shared" ref="V63:V70" si="36">(H63-U63)/U63</f>
        <v>-7.3883038031924794E-2</v>
      </c>
      <c r="W63" s="191">
        <f t="shared" ref="W63:W66" si="37">S63/U63</f>
        <v>0.51318382429547738</v>
      </c>
    </row>
    <row r="64" spans="5:23" x14ac:dyDescent="0.35">
      <c r="E64" s="94" t="s">
        <v>3</v>
      </c>
      <c r="F64" s="163">
        <f>VLOOKUP(F61,$E$1:$N$13,4,0)</f>
        <v>342357.00999999978</v>
      </c>
      <c r="G64" s="163">
        <f>SUM(H5:H7)</f>
        <v>1177754.0300000003</v>
      </c>
      <c r="H64" s="163">
        <f>SUM(H2:H7)</f>
        <v>11683038.679999994</v>
      </c>
      <c r="I64" s="166">
        <f>VLOOKUP(($E64&amp;$I60),'Projected Rev Values'!$C:$D,2,0)</f>
        <v>427040</v>
      </c>
      <c r="J64" s="95">
        <f t="shared" si="31"/>
        <v>0.8016977566504303</v>
      </c>
      <c r="K64" s="164">
        <f>SUMIF('Projected Rev Values'!$F:$F,$E64&amp;K60,'Projected Rev Values'!$D:$D)</f>
        <v>1467037</v>
      </c>
      <c r="L64" s="95">
        <f t="shared" si="32"/>
        <v>0.8028114014847616</v>
      </c>
      <c r="M64" s="164">
        <f>SUMIF('Projected Rev Values'!$H:$H,$E64&amp;M60,'Projected Rev Values'!$D:$D)</f>
        <v>13864013</v>
      </c>
      <c r="N64" s="173">
        <f>H64/M64</f>
        <v>0.84268809326707883</v>
      </c>
      <c r="O64" s="164">
        <v>286571.97999999992</v>
      </c>
      <c r="P64" s="173">
        <f t="shared" si="33"/>
        <v>0.19466323958120355</v>
      </c>
      <c r="Q64" s="164">
        <v>933186.01</v>
      </c>
      <c r="R64" s="174">
        <f t="shared" si="34"/>
        <v>0.26207853244606638</v>
      </c>
      <c r="S64" s="164">
        <v>8951147.6699999999</v>
      </c>
      <c r="T64" s="173">
        <f t="shared" si="35"/>
        <v>0.30520008279563937</v>
      </c>
      <c r="U64" s="308">
        <v>12430571</v>
      </c>
      <c r="V64" s="321">
        <f t="shared" si="36"/>
        <v>-6.0136603539773507E-2</v>
      </c>
      <c r="W64" s="190">
        <f t="shared" si="37"/>
        <v>0.72009143184170699</v>
      </c>
    </row>
    <row r="65" spans="5:23" x14ac:dyDescent="0.35">
      <c r="E65" t="s">
        <v>162</v>
      </c>
      <c r="F65" s="165">
        <f>F68+F69</f>
        <v>15067.939999999999</v>
      </c>
      <c r="G65" s="165">
        <f>SUM(L5:L7)</f>
        <v>35486.899999999994</v>
      </c>
      <c r="H65" s="165" cm="1">
        <f t="array" ref="H65">SUM(I2:I7+L2:L7)</f>
        <v>93307.62</v>
      </c>
      <c r="I65" s="181">
        <f>I68+I69</f>
        <v>34461</v>
      </c>
      <c r="J65" s="179">
        <f t="shared" si="31"/>
        <v>0.43724616232842922</v>
      </c>
      <c r="K65" s="178">
        <f>K69+K68</f>
        <v>103492</v>
      </c>
      <c r="L65" s="177">
        <f>G65/K65</f>
        <v>0.34289510300313064</v>
      </c>
      <c r="M65" s="85">
        <f>M69+M68</f>
        <v>422166</v>
      </c>
      <c r="N65" s="12">
        <f t="shared" ref="N65:N69" si="38">H65/M65</f>
        <v>0.2210211622916104</v>
      </c>
      <c r="O65" s="84">
        <v>19199.759999999998</v>
      </c>
      <c r="P65" s="170">
        <f t="shared" si="33"/>
        <v>-0.21520164835393776</v>
      </c>
      <c r="Q65" s="85">
        <v>57671.94</v>
      </c>
      <c r="R65" s="185">
        <f t="shared" si="34"/>
        <v>-0.38467649952472566</v>
      </c>
      <c r="S65" s="85">
        <v>168800.18</v>
      </c>
      <c r="T65" s="170">
        <f t="shared" si="35"/>
        <v>-0.44723032878282476</v>
      </c>
      <c r="U65" s="313">
        <v>368675</v>
      </c>
      <c r="V65" s="320">
        <f t="shared" si="36"/>
        <v>-0.74691091069370041</v>
      </c>
      <c r="W65" s="191">
        <f t="shared" si="37"/>
        <v>0.45785632331999726</v>
      </c>
    </row>
    <row r="66" spans="5:23" x14ac:dyDescent="0.35">
      <c r="E66" s="94" t="s">
        <v>15</v>
      </c>
      <c r="F66" s="163">
        <f>VLOOKUP(F61,$E$1:$N$13,6,0)</f>
        <v>4401.3999999999996</v>
      </c>
      <c r="G66" s="163">
        <f>SUM(J5:J7)</f>
        <v>11720.71</v>
      </c>
      <c r="H66" s="163">
        <f>SUM(J2:J7)</f>
        <v>146094.46</v>
      </c>
      <c r="I66" s="166">
        <f>VLOOKUP(($E66&amp;$I60),'Projected Rev Values'!$C:$D,2,0)</f>
        <v>2715</v>
      </c>
      <c r="J66" s="162">
        <f t="shared" si="31"/>
        <v>1.6211418047882136</v>
      </c>
      <c r="K66" s="166">
        <f>SUMIF('Projected Rev Values'!$F:$F,$E66&amp;K60,'Projected Rev Values'!$D:$D)</f>
        <v>15768</v>
      </c>
      <c r="L66" s="162">
        <f t="shared" si="32"/>
        <v>0.74332255200405883</v>
      </c>
      <c r="M66" s="166">
        <f>SUMIF('Projected Rev Values'!$H:$H,$E66&amp;M60,'Projected Rev Values'!$D:$D)</f>
        <v>180000</v>
      </c>
      <c r="N66" s="174">
        <f t="shared" si="38"/>
        <v>0.81163588888888882</v>
      </c>
      <c r="O66" s="166">
        <v>2261.62</v>
      </c>
      <c r="P66" s="173">
        <f t="shared" si="33"/>
        <v>0.94612711242383774</v>
      </c>
      <c r="Q66" s="166">
        <v>8699.14</v>
      </c>
      <c r="R66" s="174">
        <f t="shared" si="34"/>
        <v>0.34734123143207257</v>
      </c>
      <c r="S66" s="166">
        <v>107135.32999999999</v>
      </c>
      <c r="T66" s="173">
        <f t="shared" si="35"/>
        <v>0.36364409387640856</v>
      </c>
      <c r="U66" s="311">
        <v>175254</v>
      </c>
      <c r="V66" s="321">
        <f t="shared" si="36"/>
        <v>-0.1663844477158867</v>
      </c>
      <c r="W66" s="192">
        <f t="shared" si="37"/>
        <v>0.61131460622867373</v>
      </c>
    </row>
    <row r="67" spans="5:23" x14ac:dyDescent="0.35">
      <c r="E67" s="225" t="s">
        <v>5</v>
      </c>
      <c r="F67" s="226">
        <f>VLOOKUP(F61,$E$1:$N$13,7,0)</f>
        <v>23961.89</v>
      </c>
      <c r="G67" s="226">
        <f>SUM(K5:K7)</f>
        <v>99426.12000000001</v>
      </c>
      <c r="H67" s="226">
        <f>SUM(K2:K7)</f>
        <v>1495673.9899999995</v>
      </c>
      <c r="I67" s="181">
        <f>VLOOKUP(($E67&amp;$I60),'Projected Rev Values'!$C:$D,2,0)</f>
        <v>23000</v>
      </c>
      <c r="J67" s="179">
        <f t="shared" si="31"/>
        <v>1.0418213043478262</v>
      </c>
      <c r="K67" s="178">
        <f>SUMIF('Projected Rev Values'!$F:$F,$E67&amp;K60,'Projected Rev Values'!$D:$D)</f>
        <v>106000</v>
      </c>
      <c r="L67" s="179">
        <f>G67/K67</f>
        <v>0.93798226415094343</v>
      </c>
      <c r="M67" s="178">
        <f>SUMIF('Projected Rev Values'!$H:$H,$E67&amp;M60,'Projected Rev Values'!$D:$D)</f>
        <v>1925000</v>
      </c>
      <c r="N67" s="227">
        <f t="shared" si="38"/>
        <v>0.77697350129870102</v>
      </c>
      <c r="O67" s="178">
        <v>17752.62</v>
      </c>
      <c r="P67" s="227">
        <f t="shared" si="33"/>
        <v>0.34976640067775916</v>
      </c>
      <c r="Q67" s="178">
        <v>66932.14</v>
      </c>
      <c r="R67" s="228">
        <f t="shared" si="34"/>
        <v>0.48547648409269462</v>
      </c>
      <c r="S67" s="178">
        <v>1596033.52</v>
      </c>
      <c r="T67" s="227">
        <f t="shared" si="35"/>
        <v>-6.2880590377575832E-2</v>
      </c>
      <c r="U67" s="309">
        <v>1890055</v>
      </c>
      <c r="V67" s="322">
        <f t="shared" si="36"/>
        <v>-0.20866112890894734</v>
      </c>
      <c r="W67" s="229">
        <f>S67/U67</f>
        <v>0.84443760631304376</v>
      </c>
    </row>
    <row r="68" spans="5:23" x14ac:dyDescent="0.35">
      <c r="E68" s="208" t="s">
        <v>153</v>
      </c>
      <c r="F68" s="215">
        <f>VLOOKUP(F61,$E$1:$N$13,5,0)</f>
        <v>50.84</v>
      </c>
      <c r="G68" s="215">
        <f>SUM(I5:I7)</f>
        <v>369.59000000000003</v>
      </c>
      <c r="H68" s="215">
        <f>SUM(I2:I7)</f>
        <v>3791.1600000000003</v>
      </c>
      <c r="I68" s="210">
        <f>VLOOKUP(($E68&amp;$I60),'Projected Rev Values'!$C:$D,2,0)</f>
        <v>86</v>
      </c>
      <c r="J68" s="216">
        <f t="shared" si="31"/>
        <v>0.59116279069767441</v>
      </c>
      <c r="K68" s="209">
        <f>SUMIF('Projected Rev Values'!$F:$F,$E68&amp;K60,'Projected Rev Values'!$D:$D)</f>
        <v>342</v>
      </c>
      <c r="L68" s="216">
        <f t="shared" ref="L68:L69" si="39">G68/K68</f>
        <v>1.0806725146198832</v>
      </c>
      <c r="M68" s="209">
        <f>SUMIF('Projected Rev Values'!$H:$H,$E68&amp;M60,'Projected Rev Values'!$D:$D)</f>
        <v>4816</v>
      </c>
      <c r="N68" s="211">
        <f t="shared" si="38"/>
        <v>0.78720099667774091</v>
      </c>
      <c r="O68" s="209">
        <v>257.5</v>
      </c>
      <c r="P68" s="211" t="s">
        <v>163</v>
      </c>
      <c r="Q68" s="209">
        <v>370.5</v>
      </c>
      <c r="R68" s="217" t="s">
        <v>163</v>
      </c>
      <c r="S68" s="209">
        <v>3036.9700000000003</v>
      </c>
      <c r="T68" s="211" t="s">
        <v>163</v>
      </c>
      <c r="U68" s="306">
        <v>4812</v>
      </c>
      <c r="V68" s="307">
        <f t="shared" si="36"/>
        <v>-0.21214463840398995</v>
      </c>
      <c r="W68" s="218" t="s">
        <v>163</v>
      </c>
    </row>
    <row r="69" spans="5:23" x14ac:dyDescent="0.35">
      <c r="E69" s="208" t="s">
        <v>161</v>
      </c>
      <c r="F69" s="215">
        <f>VLOOKUP(F61,$E$1:$N$13,8,0)</f>
        <v>15017.099999999999</v>
      </c>
      <c r="G69" s="215">
        <f>SUM(L5:L7)</f>
        <v>35486.899999999994</v>
      </c>
      <c r="H69" s="215">
        <f>SUM(L2:L7)</f>
        <v>89516.459999999992</v>
      </c>
      <c r="I69" s="210">
        <f>VLOOKUP(($E69&amp;$I60),'Projected Rev Values'!$C:$D,2,0)</f>
        <v>34375</v>
      </c>
      <c r="J69" s="216">
        <f t="shared" si="31"/>
        <v>0.43686109090909087</v>
      </c>
      <c r="K69" s="209">
        <f>SUMIF('Projected Rev Values'!$F:$F,$E69&amp;K60,'Projected Rev Values'!$D:$D)</f>
        <v>103150</v>
      </c>
      <c r="L69" s="216">
        <f t="shared" si="39"/>
        <v>0.34403199224430436</v>
      </c>
      <c r="M69" s="209">
        <f>SUMIF('Projected Rev Values'!$H:$H,$E69&amp;M60,'Projected Rev Values'!$D:$D)</f>
        <v>417350</v>
      </c>
      <c r="N69" s="211">
        <f t="shared" si="38"/>
        <v>0.2144877440996765</v>
      </c>
      <c r="O69" s="209">
        <v>18942.259999999998</v>
      </c>
      <c r="P69" s="211" t="s">
        <v>163</v>
      </c>
      <c r="Q69" s="209">
        <v>57301.440000000002</v>
      </c>
      <c r="R69" s="217" t="s">
        <v>163</v>
      </c>
      <c r="S69" s="209">
        <v>165763.21</v>
      </c>
      <c r="T69" s="211" t="s">
        <v>163</v>
      </c>
      <c r="U69" s="306">
        <v>363863</v>
      </c>
      <c r="V69" s="307">
        <f t="shared" si="36"/>
        <v>-0.7539830650547048</v>
      </c>
      <c r="W69" s="218" t="s">
        <v>163</v>
      </c>
    </row>
    <row r="70" spans="5:23" ht="15" thickBot="1" x14ac:dyDescent="0.4">
      <c r="E70" s="325" t="s">
        <v>513</v>
      </c>
      <c r="F70" s="326" t="str">
        <f>VLOOKUP(F61,$E$1:$N$13,9,0)</f>
        <v>-</v>
      </c>
      <c r="G70" s="326">
        <f>SUM(M5:M7)</f>
        <v>1153.3499999999999</v>
      </c>
      <c r="H70" s="326">
        <f>SUM(M2:M7)</f>
        <v>87152.85</v>
      </c>
      <c r="I70" s="327" t="s">
        <v>163</v>
      </c>
      <c r="J70" s="328" t="s">
        <v>163</v>
      </c>
      <c r="K70" s="329" t="s">
        <v>163</v>
      </c>
      <c r="L70" s="328" t="s">
        <v>163</v>
      </c>
      <c r="M70" s="329" t="s">
        <v>163</v>
      </c>
      <c r="N70" s="330" t="s">
        <v>163</v>
      </c>
      <c r="O70" s="329" t="s">
        <v>163</v>
      </c>
      <c r="P70" s="330" t="s">
        <v>163</v>
      </c>
      <c r="Q70" s="329" t="s">
        <v>163</v>
      </c>
      <c r="R70" s="331" t="s">
        <v>163</v>
      </c>
      <c r="S70" s="329" t="s">
        <v>163</v>
      </c>
      <c r="T70" s="330" t="s">
        <v>163</v>
      </c>
      <c r="U70" s="332">
        <v>13360</v>
      </c>
      <c r="V70" s="333">
        <f t="shared" si="36"/>
        <v>5.5234169161676654</v>
      </c>
      <c r="W70" s="334" t="s">
        <v>163</v>
      </c>
    </row>
    <row r="71" spans="5:23" ht="16.5" thickTop="1" thickBot="1" x14ac:dyDescent="0.4">
      <c r="E71" s="96" t="s">
        <v>13</v>
      </c>
      <c r="F71" s="167">
        <f>SUM(F62:F67)</f>
        <v>421501.04999999981</v>
      </c>
      <c r="G71" s="167">
        <f>SUM(G62:G67)+G70</f>
        <v>1441121.3100000003</v>
      </c>
      <c r="H71" s="167">
        <f>SUM(H62:H67)+H70</f>
        <v>14971103.129999993</v>
      </c>
      <c r="I71" s="169">
        <f>SUM(I62:I67)</f>
        <v>546176</v>
      </c>
      <c r="J71" s="172">
        <f>F71/I71</f>
        <v>0.77173118189008638</v>
      </c>
      <c r="K71" s="169">
        <f>SUM(K62:K67)</f>
        <v>1860984</v>
      </c>
      <c r="L71" s="172">
        <f t="shared" ref="L71" si="40">G71/K71</f>
        <v>0.77438672766665395</v>
      </c>
      <c r="M71" s="169">
        <f>SUM(M62:M67)</f>
        <v>18483721</v>
      </c>
      <c r="N71" s="187">
        <f>H71/M71</f>
        <v>0.80996154021151878</v>
      </c>
      <c r="O71" s="169">
        <f>SUM(O62:O67)</f>
        <v>373901.03999999992</v>
      </c>
      <c r="P71" s="175">
        <f>(F71-O71)/O71</f>
        <v>0.12730643915833961</v>
      </c>
      <c r="Q71" s="169">
        <f>SUM(Q62:Q67)</f>
        <v>1162627.5199999998</v>
      </c>
      <c r="R71" s="175">
        <f>(G71-Q71)/Q71</f>
        <v>0.23953827447676496</v>
      </c>
      <c r="S71" s="169">
        <f>SUM(S62:S67)</f>
        <v>12206499.369999999</v>
      </c>
      <c r="T71" s="175">
        <f>(H71-S71)/S71</f>
        <v>0.22648620838785119</v>
      </c>
      <c r="U71" s="312">
        <f>(SUM(U62:U67))+13397</f>
        <v>17148576.18</v>
      </c>
      <c r="V71" s="323">
        <f>(H71-U71)/U71</f>
        <v>-0.12697690042276188</v>
      </c>
      <c r="W71" s="193">
        <f>S71/U71</f>
        <v>0.71180832985050768</v>
      </c>
    </row>
    <row r="72" spans="5:23" x14ac:dyDescent="0.35">
      <c r="O72" s="183">
        <f>F71-O71</f>
        <v>47600.009999999893</v>
      </c>
      <c r="P72" s="196"/>
      <c r="Q72" s="183">
        <f>G71-Q71</f>
        <v>278493.7900000005</v>
      </c>
      <c r="S72" s="183">
        <f>H71-S71</f>
        <v>2764603.7599999942</v>
      </c>
    </row>
  </sheetData>
  <mergeCells count="32">
    <mergeCell ref="Q60:R60"/>
    <mergeCell ref="S60:T60"/>
    <mergeCell ref="U60:V60"/>
    <mergeCell ref="F60:H60"/>
    <mergeCell ref="I60:J60"/>
    <mergeCell ref="K60:L60"/>
    <mergeCell ref="M60:N60"/>
    <mergeCell ref="O60:P60"/>
    <mergeCell ref="Q45:R45"/>
    <mergeCell ref="S45:T45"/>
    <mergeCell ref="U45:V45"/>
    <mergeCell ref="F45:H45"/>
    <mergeCell ref="I45:J45"/>
    <mergeCell ref="K45:L45"/>
    <mergeCell ref="M45:N45"/>
    <mergeCell ref="O45:P45"/>
    <mergeCell ref="Q17:R17"/>
    <mergeCell ref="S17:T17"/>
    <mergeCell ref="U17:V17"/>
    <mergeCell ref="F17:H17"/>
    <mergeCell ref="I17:J17"/>
    <mergeCell ref="K17:L17"/>
    <mergeCell ref="M17:N17"/>
    <mergeCell ref="O17:P17"/>
    <mergeCell ref="Q31:R31"/>
    <mergeCell ref="S31:T31"/>
    <mergeCell ref="U31:V31"/>
    <mergeCell ref="F31:H31"/>
    <mergeCell ref="I31:J31"/>
    <mergeCell ref="K31:L31"/>
    <mergeCell ref="M31:N31"/>
    <mergeCell ref="O31:P31"/>
  </mergeCells>
  <phoneticPr fontId="7" type="noConversion"/>
  <pageMargins left="0.7" right="0.7" top="0.75" bottom="0.75" header="0.3" footer="0.3"/>
  <pageSetup orientation="portrait" horizontalDpi="1200" verticalDpi="1200" r:id="rId1"/>
  <ignoredErrors>
    <ignoredError sqref="J71 L71 P71" formula="1"/>
    <ignoredError sqref="Q71 G69 U71 S7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EC050-B33E-4FD6-BA3D-99160C5A3D17}">
  <dimension ref="B1:AD89"/>
  <sheetViews>
    <sheetView workbookViewId="0">
      <selection sqref="A1:XFD1048576"/>
    </sheetView>
  </sheetViews>
  <sheetFormatPr defaultColWidth="8.7265625" defaultRowHeight="13" x14ac:dyDescent="0.3"/>
  <cols>
    <col min="1" max="1" width="2.81640625" style="246" customWidth="1"/>
    <col min="2" max="2" width="8.7265625" style="246"/>
    <col min="3" max="3" width="8.81640625" style="246" customWidth="1"/>
    <col min="4" max="4" width="8.7265625" style="246"/>
    <col min="5" max="5" width="4.1796875" style="246" customWidth="1"/>
    <col min="6" max="6" width="17.1796875" style="246" bestFit="1" customWidth="1"/>
    <col min="7" max="7" width="20.453125" style="246" customWidth="1"/>
    <col min="8" max="8" width="13.453125" style="246" bestFit="1" customWidth="1"/>
    <col min="9" max="9" width="1.81640625" style="246" customWidth="1"/>
    <col min="10" max="10" width="12.7265625" style="246" customWidth="1"/>
    <col min="11" max="11" width="10.1796875" style="246" customWidth="1"/>
    <col min="12" max="12" width="8.7265625" style="246"/>
    <col min="13" max="13" width="11.1796875" style="246" bestFit="1" customWidth="1"/>
    <col min="14" max="14" width="16.81640625" style="246" bestFit="1" customWidth="1"/>
    <col min="15" max="15" width="8.7265625" style="246"/>
    <col min="16" max="16" width="15.54296875" style="246" bestFit="1" customWidth="1"/>
    <col min="17" max="17" width="5" style="246" customWidth="1"/>
    <col min="18" max="18" width="2.54296875" style="246" customWidth="1"/>
    <col min="19" max="19" width="9.453125" style="246" customWidth="1"/>
    <col min="20" max="20" width="13.54296875" style="246" customWidth="1"/>
    <col min="21" max="21" width="10.54296875" style="246" customWidth="1"/>
    <col min="22" max="22" width="2.54296875" style="246" customWidth="1"/>
    <col min="23" max="23" width="8.7265625" style="246"/>
    <col min="24" max="24" width="13.54296875" style="246" customWidth="1"/>
    <col min="25" max="25" width="10.54296875" style="246" customWidth="1"/>
    <col min="26" max="26" width="2.54296875" style="246" customWidth="1"/>
    <col min="27" max="27" width="8.7265625" style="246"/>
    <col min="28" max="28" width="13.54296875" style="246" customWidth="1"/>
    <col min="29" max="29" width="10.54296875" style="246" customWidth="1"/>
    <col min="30" max="30" width="2.54296875" style="246" customWidth="1"/>
    <col min="31" max="16384" width="8.7265625" style="246"/>
  </cols>
  <sheetData>
    <row r="1" spans="2:30" ht="13.5" thickBot="1" x14ac:dyDescent="0.35"/>
    <row r="2" spans="2:30" ht="19" thickBot="1" x14ac:dyDescent="0.35">
      <c r="C2" s="364" t="s">
        <v>667</v>
      </c>
      <c r="D2" s="365"/>
      <c r="E2" s="365"/>
      <c r="F2" s="366"/>
      <c r="J2" s="367" t="s">
        <v>178</v>
      </c>
      <c r="K2" s="368"/>
      <c r="L2" s="368"/>
      <c r="M2" s="368"/>
      <c r="N2" s="369"/>
    </row>
    <row r="3" spans="2:30" ht="13.5" thickBot="1" x14ac:dyDescent="0.35">
      <c r="B3" s="370" t="s">
        <v>520</v>
      </c>
      <c r="C3" s="371"/>
      <c r="D3" s="371"/>
      <c r="E3" s="372"/>
      <c r="F3" s="247" t="s">
        <v>180</v>
      </c>
      <c r="G3" s="248" t="s">
        <v>52</v>
      </c>
      <c r="J3" s="339" t="s">
        <v>181</v>
      </c>
      <c r="K3" s="340" t="s">
        <v>180</v>
      </c>
      <c r="L3" s="379" t="s">
        <v>52</v>
      </c>
      <c r="M3" s="379"/>
      <c r="N3" s="341" t="s">
        <v>182</v>
      </c>
      <c r="O3" s="25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2:30" ht="19" thickBot="1" x14ac:dyDescent="0.4">
      <c r="B4" s="373"/>
      <c r="C4" s="374"/>
      <c r="D4" s="374"/>
      <c r="E4" s="375"/>
      <c r="F4" s="380">
        <v>24727</v>
      </c>
      <c r="G4" s="382">
        <v>5259907.8499999996</v>
      </c>
      <c r="J4" s="343" t="s">
        <v>34</v>
      </c>
      <c r="K4" s="344">
        <v>1276</v>
      </c>
      <c r="L4" s="384">
        <v>96399.75</v>
      </c>
      <c r="M4" s="385"/>
      <c r="N4" s="345">
        <v>1.0967977745414828</v>
      </c>
      <c r="R4" s="342"/>
      <c r="S4" s="394" t="s">
        <v>521</v>
      </c>
      <c r="T4" s="395"/>
      <c r="U4" s="395"/>
      <c r="V4" s="395"/>
      <c r="W4" s="395"/>
      <c r="X4" s="395"/>
      <c r="Y4" s="395"/>
      <c r="Z4" s="395"/>
      <c r="AA4" s="395"/>
      <c r="AB4" s="395"/>
      <c r="AC4" s="396"/>
      <c r="AD4" s="342"/>
    </row>
    <row r="5" spans="2:30" ht="13" customHeight="1" thickBot="1" x14ac:dyDescent="0.4">
      <c r="B5" s="376"/>
      <c r="C5" s="377"/>
      <c r="D5" s="377"/>
      <c r="E5" s="378"/>
      <c r="F5" s="381"/>
      <c r="G5" s="383"/>
      <c r="J5" s="256" t="s">
        <v>33</v>
      </c>
      <c r="K5" s="257">
        <v>2803</v>
      </c>
      <c r="L5" s="388">
        <v>361985.50999999995</v>
      </c>
      <c r="M5" s="389"/>
      <c r="N5" s="258">
        <v>0.78128280116204274</v>
      </c>
      <c r="R5" s="342"/>
      <c r="AD5" s="342"/>
    </row>
    <row r="6" spans="2:30" ht="13" customHeight="1" thickBot="1" x14ac:dyDescent="0.4">
      <c r="B6" s="397" t="s">
        <v>183</v>
      </c>
      <c r="C6" s="398"/>
      <c r="D6" s="398"/>
      <c r="E6" s="399"/>
      <c r="F6" s="259">
        <v>20680</v>
      </c>
      <c r="G6" s="302">
        <v>4608779</v>
      </c>
      <c r="J6" s="253" t="s">
        <v>184</v>
      </c>
      <c r="K6" s="254">
        <v>2626</v>
      </c>
      <c r="L6" s="390">
        <v>644034.89</v>
      </c>
      <c r="M6" s="391"/>
      <c r="N6" s="255">
        <v>0.7312769629578324</v>
      </c>
      <c r="R6" s="342"/>
      <c r="S6" s="400" t="s">
        <v>33</v>
      </c>
      <c r="T6" s="401"/>
      <c r="U6" s="402"/>
      <c r="W6" s="400" t="s">
        <v>34</v>
      </c>
      <c r="X6" s="401"/>
      <c r="Y6" s="402"/>
      <c r="AA6" s="400" t="s">
        <v>189</v>
      </c>
      <c r="AB6" s="401"/>
      <c r="AC6" s="402"/>
      <c r="AD6" s="342"/>
    </row>
    <row r="7" spans="2:30" ht="15" thickBot="1" x14ac:dyDescent="0.4">
      <c r="B7" s="386" t="s">
        <v>185</v>
      </c>
      <c r="C7" s="387"/>
      <c r="D7" s="387"/>
      <c r="E7" s="387"/>
      <c r="F7" s="261">
        <v>1.1956963249516441</v>
      </c>
      <c r="G7" s="262">
        <v>1.1412801199623588</v>
      </c>
      <c r="J7" s="256" t="s">
        <v>186</v>
      </c>
      <c r="K7" s="257">
        <v>15</v>
      </c>
      <c r="L7" s="388">
        <v>1273.05</v>
      </c>
      <c r="M7" s="389"/>
      <c r="N7" s="263">
        <v>1.1520814479638009</v>
      </c>
      <c r="R7" s="342"/>
      <c r="S7" s="346" t="s">
        <v>522</v>
      </c>
      <c r="T7" s="347" t="s">
        <v>52</v>
      </c>
      <c r="U7" s="348" t="s">
        <v>180</v>
      </c>
      <c r="W7" s="346" t="s">
        <v>522</v>
      </c>
      <c r="X7" s="347" t="s">
        <v>52</v>
      </c>
      <c r="Y7" s="348" t="s">
        <v>180</v>
      </c>
      <c r="AA7" s="346" t="s">
        <v>522</v>
      </c>
      <c r="AB7" s="347" t="s">
        <v>52</v>
      </c>
      <c r="AC7" s="348" t="s">
        <v>180</v>
      </c>
      <c r="AD7" s="342"/>
    </row>
    <row r="8" spans="2:30" ht="19" customHeight="1" x14ac:dyDescent="0.35">
      <c r="B8" s="264"/>
      <c r="C8" s="264"/>
      <c r="D8" s="264"/>
      <c r="E8" s="264"/>
      <c r="F8" s="265"/>
      <c r="G8" s="265"/>
      <c r="J8" s="253" t="s">
        <v>187</v>
      </c>
      <c r="K8" s="254">
        <v>50</v>
      </c>
      <c r="L8" s="390">
        <v>4238.7</v>
      </c>
      <c r="M8" s="391"/>
      <c r="N8" s="266">
        <v>0.24898378759398496</v>
      </c>
      <c r="R8" s="342"/>
      <c r="S8" s="349">
        <v>45652</v>
      </c>
      <c r="T8" s="350">
        <v>10134.469999999999</v>
      </c>
      <c r="U8" s="351">
        <v>97</v>
      </c>
      <c r="W8" s="349">
        <v>45652</v>
      </c>
      <c r="X8" s="350">
        <v>5872.41</v>
      </c>
      <c r="Y8" s="351">
        <v>87</v>
      </c>
      <c r="AA8" s="349">
        <v>45652</v>
      </c>
      <c r="AB8" s="350">
        <v>33075.29</v>
      </c>
      <c r="AC8" s="351">
        <v>140</v>
      </c>
      <c r="AD8" s="342"/>
    </row>
    <row r="9" spans="2:30" ht="14.5" x14ac:dyDescent="0.35">
      <c r="B9" s="264"/>
      <c r="C9" s="264"/>
      <c r="D9" s="264"/>
      <c r="E9" s="264"/>
      <c r="F9" s="265"/>
      <c r="G9" s="265"/>
      <c r="J9" s="267" t="s">
        <v>36</v>
      </c>
      <c r="K9" s="268">
        <v>17457</v>
      </c>
      <c r="L9" s="388">
        <v>4101571.83</v>
      </c>
      <c r="M9" s="389"/>
      <c r="N9" s="269">
        <v>1.2984847519752356</v>
      </c>
      <c r="R9" s="342"/>
      <c r="S9" s="349">
        <v>45653</v>
      </c>
      <c r="T9" s="350">
        <v>26483.940000000002</v>
      </c>
      <c r="U9" s="351">
        <v>166</v>
      </c>
      <c r="W9" s="349">
        <v>45653</v>
      </c>
      <c r="X9" s="350">
        <v>5969.76</v>
      </c>
      <c r="Y9" s="351">
        <v>99</v>
      </c>
      <c r="AA9" s="349">
        <v>45653</v>
      </c>
      <c r="AB9" s="350">
        <v>46597.95</v>
      </c>
      <c r="AC9" s="351">
        <v>202</v>
      </c>
      <c r="AD9" s="342"/>
    </row>
    <row r="10" spans="2:30" ht="15" thickBot="1" x14ac:dyDescent="0.4">
      <c r="B10" s="264"/>
      <c r="C10" s="264"/>
      <c r="D10" s="264"/>
      <c r="E10" s="264"/>
      <c r="F10" s="265"/>
      <c r="G10" s="265"/>
      <c r="J10" s="303" t="s">
        <v>188</v>
      </c>
      <c r="K10" s="304">
        <v>500</v>
      </c>
      <c r="L10" s="392">
        <v>50404.119999999995</v>
      </c>
      <c r="M10" s="393"/>
      <c r="N10" s="305" t="s">
        <v>163</v>
      </c>
      <c r="R10" s="342"/>
      <c r="S10" s="349">
        <v>45654</v>
      </c>
      <c r="T10" s="350">
        <v>21235.919999999998</v>
      </c>
      <c r="U10" s="351">
        <v>202</v>
      </c>
      <c r="W10" s="349">
        <v>45654</v>
      </c>
      <c r="X10" s="350">
        <v>4298.8500000000004</v>
      </c>
      <c r="Y10" s="351">
        <v>84</v>
      </c>
      <c r="AA10" s="349">
        <v>45654</v>
      </c>
      <c r="AB10" s="350">
        <v>29987.11</v>
      </c>
      <c r="AC10" s="351">
        <v>167</v>
      </c>
      <c r="AD10" s="342"/>
    </row>
    <row r="11" spans="2:30" ht="13.5" thickBot="1" x14ac:dyDescent="0.35">
      <c r="R11" s="342"/>
      <c r="S11" s="349">
        <v>45655</v>
      </c>
      <c r="T11" s="350">
        <v>38435.909999999996</v>
      </c>
      <c r="U11" s="351">
        <v>249</v>
      </c>
      <c r="W11" s="349">
        <v>45655</v>
      </c>
      <c r="X11" s="350">
        <v>15283.04</v>
      </c>
      <c r="Y11" s="351">
        <v>172</v>
      </c>
      <c r="AA11" s="349">
        <v>45655</v>
      </c>
      <c r="AB11" s="350">
        <v>51154.28</v>
      </c>
      <c r="AC11" s="351">
        <v>216</v>
      </c>
      <c r="AD11" s="342"/>
    </row>
    <row r="12" spans="2:30" ht="19" thickBot="1" x14ac:dyDescent="0.35">
      <c r="B12" s="394" t="s">
        <v>34</v>
      </c>
      <c r="C12" s="395"/>
      <c r="D12" s="395"/>
      <c r="E12" s="395"/>
      <c r="F12" s="395"/>
      <c r="G12" s="395"/>
      <c r="H12" s="396"/>
      <c r="J12" s="394" t="s">
        <v>189</v>
      </c>
      <c r="K12" s="395"/>
      <c r="L12" s="395"/>
      <c r="M12" s="395"/>
      <c r="N12" s="395"/>
      <c r="O12" s="395"/>
      <c r="P12" s="396"/>
      <c r="R12" s="342"/>
      <c r="S12" s="349">
        <v>45656</v>
      </c>
      <c r="T12" s="350">
        <v>98809.24</v>
      </c>
      <c r="U12" s="351">
        <v>620</v>
      </c>
      <c r="W12" s="349">
        <v>45656</v>
      </c>
      <c r="X12" s="350">
        <v>14977.6</v>
      </c>
      <c r="Y12" s="351">
        <v>205</v>
      </c>
      <c r="AA12" s="349">
        <v>45656</v>
      </c>
      <c r="AB12" s="350">
        <v>93927.72</v>
      </c>
      <c r="AC12" s="351">
        <v>409</v>
      </c>
      <c r="AD12" s="342"/>
    </row>
    <row r="13" spans="2:30" ht="13.5" thickBot="1" x14ac:dyDescent="0.35">
      <c r="B13" s="405" t="s">
        <v>190</v>
      </c>
      <c r="C13" s="406"/>
      <c r="D13" s="406"/>
      <c r="E13" s="406"/>
      <c r="F13" s="274" t="s">
        <v>191</v>
      </c>
      <c r="G13" s="274" t="s">
        <v>192</v>
      </c>
      <c r="H13" s="275" t="s">
        <v>50</v>
      </c>
      <c r="J13" s="405" t="s">
        <v>190</v>
      </c>
      <c r="K13" s="406"/>
      <c r="L13" s="406"/>
      <c r="M13" s="406"/>
      <c r="N13" s="274" t="s">
        <v>191</v>
      </c>
      <c r="O13" s="274" t="s">
        <v>192</v>
      </c>
      <c r="P13" s="275" t="s">
        <v>50</v>
      </c>
      <c r="R13" s="342"/>
      <c r="S13" s="349">
        <v>45657</v>
      </c>
      <c r="T13" s="350">
        <v>167761.57999999996</v>
      </c>
      <c r="U13" s="351">
        <v>1181</v>
      </c>
      <c r="W13" s="349">
        <v>45657</v>
      </c>
      <c r="X13" s="350">
        <v>37072.89</v>
      </c>
      <c r="Y13" s="351">
        <v>408</v>
      </c>
      <c r="AA13" s="349">
        <v>45657</v>
      </c>
      <c r="AB13" s="350">
        <v>301997.09000000003</v>
      </c>
      <c r="AC13" s="351">
        <v>1031</v>
      </c>
      <c r="AD13" s="342"/>
    </row>
    <row r="14" spans="2:30" ht="13" customHeight="1" thickBot="1" x14ac:dyDescent="0.35">
      <c r="B14" s="407" t="s">
        <v>523</v>
      </c>
      <c r="C14" s="408"/>
      <c r="D14" s="408"/>
      <c r="E14" s="408"/>
      <c r="F14" s="246" t="s">
        <v>524</v>
      </c>
      <c r="G14" s="277">
        <v>104</v>
      </c>
      <c r="H14" s="278">
        <v>6115.56</v>
      </c>
      <c r="J14" s="407" t="s">
        <v>525</v>
      </c>
      <c r="K14" s="408"/>
      <c r="L14" s="408" t="s">
        <v>526</v>
      </c>
      <c r="M14" s="408"/>
      <c r="N14" s="246" t="s">
        <v>527</v>
      </c>
      <c r="O14" s="277">
        <v>824</v>
      </c>
      <c r="P14" s="278">
        <v>221731.32000000004</v>
      </c>
      <c r="R14" s="342"/>
      <c r="S14" s="352">
        <v>45658</v>
      </c>
      <c r="T14" s="353">
        <v>13369.51</v>
      </c>
      <c r="U14" s="354">
        <v>76</v>
      </c>
      <c r="W14" s="352">
        <v>45658</v>
      </c>
      <c r="X14" s="353">
        <v>1823.5099999999998</v>
      </c>
      <c r="Y14" s="354">
        <v>48</v>
      </c>
      <c r="AA14" s="352">
        <v>45658</v>
      </c>
      <c r="AB14" s="353">
        <v>13977.920000000002</v>
      </c>
      <c r="AC14" s="354">
        <v>49</v>
      </c>
      <c r="AD14" s="342"/>
    </row>
    <row r="15" spans="2:30" ht="13" customHeight="1" thickBot="1" x14ac:dyDescent="0.35">
      <c r="B15" s="403" t="s">
        <v>528</v>
      </c>
      <c r="C15" s="404"/>
      <c r="D15" s="404"/>
      <c r="E15" s="404"/>
      <c r="F15" s="246" t="s">
        <v>529</v>
      </c>
      <c r="G15" s="277">
        <v>355</v>
      </c>
      <c r="H15" s="278">
        <v>27024.809999999998</v>
      </c>
      <c r="J15" s="403" t="s">
        <v>530</v>
      </c>
      <c r="K15" s="404"/>
      <c r="L15" s="404" t="s">
        <v>456</v>
      </c>
      <c r="M15" s="404"/>
      <c r="N15" s="246" t="s">
        <v>531</v>
      </c>
      <c r="O15" s="277">
        <v>310</v>
      </c>
      <c r="P15" s="278">
        <v>65906.749999999985</v>
      </c>
      <c r="R15" s="342"/>
      <c r="AD15" s="342"/>
    </row>
    <row r="16" spans="2:30" ht="13" customHeight="1" thickBot="1" x14ac:dyDescent="0.35">
      <c r="B16" s="403" t="s">
        <v>532</v>
      </c>
      <c r="C16" s="404"/>
      <c r="D16" s="404"/>
      <c r="E16" s="404"/>
      <c r="F16" s="246" t="s">
        <v>533</v>
      </c>
      <c r="G16" s="277">
        <v>54</v>
      </c>
      <c r="H16" s="278">
        <v>5207.87</v>
      </c>
      <c r="J16" s="403" t="s">
        <v>534</v>
      </c>
      <c r="K16" s="404"/>
      <c r="L16" s="404" t="s">
        <v>456</v>
      </c>
      <c r="M16" s="404"/>
      <c r="N16" s="246" t="s">
        <v>535</v>
      </c>
      <c r="O16" s="277">
        <v>1350</v>
      </c>
      <c r="P16" s="278">
        <v>344333.47000000003</v>
      </c>
      <c r="R16" s="342"/>
      <c r="S16" s="400" t="s">
        <v>36</v>
      </c>
      <c r="T16" s="401"/>
      <c r="U16" s="402"/>
      <c r="W16" s="400" t="s">
        <v>188</v>
      </c>
      <c r="X16" s="401"/>
      <c r="Y16" s="402"/>
      <c r="AA16" s="336"/>
      <c r="AD16" s="342"/>
    </row>
    <row r="17" spans="2:30" ht="13" customHeight="1" thickBot="1" x14ac:dyDescent="0.35">
      <c r="B17" s="403" t="s">
        <v>536</v>
      </c>
      <c r="C17" s="404"/>
      <c r="D17" s="404"/>
      <c r="E17" s="404"/>
      <c r="F17" s="246" t="s">
        <v>537</v>
      </c>
      <c r="G17" s="277">
        <v>167</v>
      </c>
      <c r="H17" s="278">
        <v>13432.47</v>
      </c>
      <c r="J17" s="403" t="s">
        <v>538</v>
      </c>
      <c r="K17" s="404"/>
      <c r="L17" s="404" t="s">
        <v>388</v>
      </c>
      <c r="M17" s="404"/>
      <c r="N17" s="246" t="s">
        <v>539</v>
      </c>
      <c r="O17" s="277">
        <v>43</v>
      </c>
      <c r="P17" s="278">
        <v>4074</v>
      </c>
      <c r="R17" s="342"/>
      <c r="S17" s="346" t="s">
        <v>522</v>
      </c>
      <c r="T17" s="347" t="s">
        <v>52</v>
      </c>
      <c r="U17" s="348" t="s">
        <v>180</v>
      </c>
      <c r="W17" s="346" t="s">
        <v>522</v>
      </c>
      <c r="X17" s="347" t="s">
        <v>52</v>
      </c>
      <c r="Y17" s="348" t="s">
        <v>180</v>
      </c>
      <c r="AA17" s="336"/>
      <c r="AD17" s="342"/>
    </row>
    <row r="18" spans="2:30" ht="13" customHeight="1" thickBot="1" x14ac:dyDescent="0.35">
      <c r="B18" s="403" t="s">
        <v>540</v>
      </c>
      <c r="C18" s="404"/>
      <c r="D18" s="404"/>
      <c r="E18" s="404"/>
      <c r="F18" s="246" t="s">
        <v>541</v>
      </c>
      <c r="G18" s="277">
        <v>69</v>
      </c>
      <c r="H18" s="278">
        <v>3061.9300000000003</v>
      </c>
      <c r="J18" s="411" t="s">
        <v>542</v>
      </c>
      <c r="K18" s="412"/>
      <c r="L18" s="412" t="s">
        <v>388</v>
      </c>
      <c r="M18" s="412"/>
      <c r="N18" s="246" t="s">
        <v>543</v>
      </c>
      <c r="O18" s="277">
        <v>99</v>
      </c>
      <c r="P18" s="278">
        <v>7989.35</v>
      </c>
      <c r="R18" s="342"/>
      <c r="S18" s="349">
        <v>45652</v>
      </c>
      <c r="T18" s="350">
        <v>304032.69</v>
      </c>
      <c r="U18" s="351">
        <v>1279</v>
      </c>
      <c r="W18" s="349">
        <v>45652</v>
      </c>
      <c r="X18" s="350">
        <v>0</v>
      </c>
      <c r="Y18" s="351">
        <v>0</v>
      </c>
      <c r="AA18" s="336"/>
      <c r="AD18" s="342"/>
    </row>
    <row r="19" spans="2:30" ht="15.5" x14ac:dyDescent="0.3">
      <c r="B19" s="403" t="s">
        <v>544</v>
      </c>
      <c r="C19" s="404"/>
      <c r="D19" s="404"/>
      <c r="E19" s="404"/>
      <c r="F19" s="246" t="s">
        <v>545</v>
      </c>
      <c r="G19" s="277">
        <v>76</v>
      </c>
      <c r="H19" s="278">
        <v>6477.01</v>
      </c>
      <c r="J19" s="409" t="s">
        <v>231</v>
      </c>
      <c r="K19" s="410"/>
      <c r="L19" s="410"/>
      <c r="M19" s="410"/>
      <c r="N19" s="410"/>
      <c r="O19" s="280">
        <v>2626</v>
      </c>
      <c r="P19" s="281">
        <v>644034.89</v>
      </c>
      <c r="R19" s="342"/>
      <c r="S19" s="349">
        <v>45653</v>
      </c>
      <c r="T19" s="350">
        <v>390451.78</v>
      </c>
      <c r="U19" s="351">
        <v>1686</v>
      </c>
      <c r="W19" s="349">
        <v>45653</v>
      </c>
      <c r="X19" s="350">
        <v>0</v>
      </c>
      <c r="Y19" s="351">
        <v>0</v>
      </c>
      <c r="AA19" s="336"/>
      <c r="AD19" s="342"/>
    </row>
    <row r="20" spans="2:30" ht="13" customHeight="1" x14ac:dyDescent="0.3">
      <c r="B20" s="403" t="s">
        <v>546</v>
      </c>
      <c r="C20" s="404"/>
      <c r="D20" s="404"/>
      <c r="E20" s="404"/>
      <c r="F20" s="246" t="s">
        <v>547</v>
      </c>
      <c r="G20" s="277">
        <v>114</v>
      </c>
      <c r="H20" s="278">
        <v>8158.2</v>
      </c>
      <c r="J20" s="413" t="s">
        <v>234</v>
      </c>
      <c r="K20" s="414"/>
      <c r="L20" s="414"/>
      <c r="M20" s="414"/>
      <c r="N20" s="414"/>
      <c r="O20" s="282">
        <v>3437</v>
      </c>
      <c r="P20" s="283">
        <v>880699</v>
      </c>
      <c r="R20" s="342"/>
      <c r="S20" s="349">
        <v>45654</v>
      </c>
      <c r="T20" s="350">
        <v>336227.28</v>
      </c>
      <c r="U20" s="351">
        <v>1471</v>
      </c>
      <c r="W20" s="349">
        <v>45654</v>
      </c>
      <c r="X20" s="350">
        <v>21720.73</v>
      </c>
      <c r="Y20" s="351">
        <v>225</v>
      </c>
      <c r="AA20" s="336"/>
      <c r="AD20" s="342"/>
    </row>
    <row r="21" spans="2:30" ht="13" customHeight="1" thickBot="1" x14ac:dyDescent="0.35">
      <c r="B21" s="403" t="s">
        <v>548</v>
      </c>
      <c r="C21" s="404"/>
      <c r="D21" s="404"/>
      <c r="E21" s="404"/>
      <c r="F21" s="246" t="s">
        <v>549</v>
      </c>
      <c r="G21" s="277">
        <v>324</v>
      </c>
      <c r="H21" s="278">
        <v>26165.200000000001</v>
      </c>
      <c r="J21" s="386" t="s">
        <v>185</v>
      </c>
      <c r="K21" s="387"/>
      <c r="L21" s="387"/>
      <c r="M21" s="387"/>
      <c r="N21" s="387"/>
      <c r="O21" s="284">
        <v>0.76403840558626712</v>
      </c>
      <c r="P21" s="285">
        <v>0.7312769629578324</v>
      </c>
      <c r="R21" s="342"/>
      <c r="S21" s="349">
        <v>45655</v>
      </c>
      <c r="T21" s="350">
        <v>417131.15000000008</v>
      </c>
      <c r="U21" s="351">
        <v>1730</v>
      </c>
      <c r="W21" s="349">
        <v>45655</v>
      </c>
      <c r="X21" s="350">
        <v>1557.1</v>
      </c>
      <c r="Y21" s="351">
        <v>14</v>
      </c>
      <c r="AA21" s="336"/>
      <c r="AD21" s="342"/>
    </row>
    <row r="22" spans="2:30" ht="13" customHeight="1" thickBot="1" x14ac:dyDescent="0.35">
      <c r="B22" s="403" t="s">
        <v>550</v>
      </c>
      <c r="C22" s="404"/>
      <c r="D22" s="404"/>
      <c r="E22" s="404"/>
      <c r="F22" s="246" t="s">
        <v>551</v>
      </c>
      <c r="G22" s="277">
        <v>1</v>
      </c>
      <c r="H22" s="278">
        <v>206</v>
      </c>
      <c r="R22" s="342"/>
      <c r="S22" s="349">
        <v>45656</v>
      </c>
      <c r="T22" s="350">
        <v>931176.4</v>
      </c>
      <c r="U22" s="351">
        <v>3426</v>
      </c>
      <c r="W22" s="349">
        <v>45656</v>
      </c>
      <c r="X22" s="350">
        <v>9293.35</v>
      </c>
      <c r="Y22" s="351">
        <v>100</v>
      </c>
      <c r="AA22" s="336"/>
      <c r="AD22" s="342"/>
    </row>
    <row r="23" spans="2:30" ht="13" customHeight="1" thickBot="1" x14ac:dyDescent="0.35">
      <c r="B23" s="403" t="s">
        <v>552</v>
      </c>
      <c r="C23" s="404"/>
      <c r="D23" s="404"/>
      <c r="E23" s="404"/>
      <c r="F23" s="246" t="s">
        <v>553</v>
      </c>
      <c r="G23" s="277">
        <v>12</v>
      </c>
      <c r="H23" s="278">
        <v>550.70000000000005</v>
      </c>
      <c r="J23" s="394" t="s">
        <v>36</v>
      </c>
      <c r="K23" s="395"/>
      <c r="L23" s="395"/>
      <c r="M23" s="395"/>
      <c r="N23" s="395"/>
      <c r="O23" s="395"/>
      <c r="P23" s="396"/>
      <c r="R23" s="342"/>
      <c r="S23" s="349">
        <v>45657</v>
      </c>
      <c r="T23" s="350">
        <v>1838986.79</v>
      </c>
      <c r="U23" s="351">
        <v>6849</v>
      </c>
      <c r="W23" s="349">
        <v>45657</v>
      </c>
      <c r="X23" s="350">
        <v>17724.089999999997</v>
      </c>
      <c r="Y23" s="351">
        <v>156</v>
      </c>
      <c r="AD23" s="342"/>
    </row>
    <row r="24" spans="2:30" ht="13" customHeight="1" thickBot="1" x14ac:dyDescent="0.35">
      <c r="B24" s="409" t="s">
        <v>247</v>
      </c>
      <c r="C24" s="410"/>
      <c r="D24" s="410"/>
      <c r="E24" s="410"/>
      <c r="F24" s="410"/>
      <c r="G24" s="280">
        <v>1276</v>
      </c>
      <c r="H24" s="281">
        <v>96399.75</v>
      </c>
      <c r="J24" s="405" t="s">
        <v>190</v>
      </c>
      <c r="K24" s="406"/>
      <c r="L24" s="406"/>
      <c r="M24" s="406"/>
      <c r="N24" s="274" t="s">
        <v>191</v>
      </c>
      <c r="O24" s="274" t="s">
        <v>192</v>
      </c>
      <c r="P24" s="275" t="s">
        <v>50</v>
      </c>
      <c r="R24" s="342"/>
      <c r="S24" s="352">
        <v>45658</v>
      </c>
      <c r="T24" s="353">
        <v>109200.21</v>
      </c>
      <c r="U24" s="354">
        <v>778</v>
      </c>
      <c r="W24" s="352">
        <v>45658</v>
      </c>
      <c r="X24" s="353">
        <v>802.35</v>
      </c>
      <c r="Y24" s="354">
        <v>8</v>
      </c>
      <c r="AD24" s="342"/>
    </row>
    <row r="25" spans="2:30" x14ac:dyDescent="0.3">
      <c r="B25" s="413" t="s">
        <v>250</v>
      </c>
      <c r="C25" s="414"/>
      <c r="D25" s="414"/>
      <c r="E25" s="414"/>
      <c r="F25" s="414"/>
      <c r="G25" s="282">
        <v>1269</v>
      </c>
      <c r="H25" s="283">
        <v>87892</v>
      </c>
      <c r="J25" s="407" t="s">
        <v>245</v>
      </c>
      <c r="K25" s="408"/>
      <c r="L25" s="408"/>
      <c r="M25" s="408"/>
      <c r="N25" s="246" t="s">
        <v>554</v>
      </c>
      <c r="O25" s="277">
        <v>59</v>
      </c>
      <c r="P25" s="278">
        <v>4378.17</v>
      </c>
      <c r="R25" s="342"/>
      <c r="S25" s="342"/>
      <c r="T25" s="342"/>
      <c r="U25" s="342"/>
      <c r="V25" s="342"/>
      <c r="W25" s="342"/>
      <c r="X25" s="342"/>
      <c r="Y25" s="342"/>
      <c r="Z25" s="342"/>
      <c r="AA25" s="342"/>
      <c r="AB25" s="342"/>
      <c r="AC25" s="342"/>
      <c r="AD25" s="342"/>
    </row>
    <row r="26" spans="2:30" ht="13" customHeight="1" thickBot="1" x14ac:dyDescent="0.35">
      <c r="B26" s="386" t="s">
        <v>185</v>
      </c>
      <c r="C26" s="387"/>
      <c r="D26" s="387"/>
      <c r="E26" s="387"/>
      <c r="F26" s="387"/>
      <c r="G26" s="284">
        <v>1.0055161544523246</v>
      </c>
      <c r="H26" s="285">
        <v>1.0967977745414828</v>
      </c>
      <c r="J26" s="403" t="s">
        <v>248</v>
      </c>
      <c r="K26" s="404"/>
      <c r="L26" s="404"/>
      <c r="M26" s="404"/>
      <c r="N26" s="246" t="s">
        <v>555</v>
      </c>
      <c r="O26" s="277">
        <v>340</v>
      </c>
      <c r="P26" s="278">
        <v>45657.59</v>
      </c>
    </row>
    <row r="27" spans="2:30" ht="13.5" thickBot="1" x14ac:dyDescent="0.35">
      <c r="J27" s="403" t="s">
        <v>39</v>
      </c>
      <c r="K27" s="404"/>
      <c r="L27" s="404"/>
      <c r="M27" s="404"/>
      <c r="N27" s="246" t="s">
        <v>556</v>
      </c>
      <c r="O27" s="277">
        <v>7537</v>
      </c>
      <c r="P27" s="278">
        <v>1785420.0100000002</v>
      </c>
    </row>
    <row r="28" spans="2:30" ht="19" thickBot="1" x14ac:dyDescent="0.35">
      <c r="B28" s="394" t="s">
        <v>33</v>
      </c>
      <c r="C28" s="395"/>
      <c r="D28" s="395"/>
      <c r="E28" s="395"/>
      <c r="F28" s="395"/>
      <c r="G28" s="395"/>
      <c r="H28" s="396"/>
      <c r="J28" s="403" t="s">
        <v>74</v>
      </c>
      <c r="K28" s="404"/>
      <c r="L28" s="404"/>
      <c r="M28" s="404"/>
      <c r="N28" s="246" t="s">
        <v>557</v>
      </c>
      <c r="O28" s="277">
        <v>18</v>
      </c>
      <c r="P28" s="278">
        <v>10739.4</v>
      </c>
    </row>
    <row r="29" spans="2:30" ht="13.5" thickBot="1" x14ac:dyDescent="0.35">
      <c r="B29" s="405" t="s">
        <v>255</v>
      </c>
      <c r="C29" s="406"/>
      <c r="D29" s="406"/>
      <c r="E29" s="406"/>
      <c r="F29" s="274" t="s">
        <v>191</v>
      </c>
      <c r="G29" s="274" t="s">
        <v>192</v>
      </c>
      <c r="H29" s="275" t="s">
        <v>50</v>
      </c>
      <c r="J29" s="403" t="s">
        <v>40</v>
      </c>
      <c r="K29" s="404"/>
      <c r="L29" s="404"/>
      <c r="M29" s="404"/>
      <c r="N29" s="246" t="s">
        <v>558</v>
      </c>
      <c r="O29" s="277">
        <v>256</v>
      </c>
      <c r="P29" s="278">
        <v>59815.270000000004</v>
      </c>
    </row>
    <row r="30" spans="2:30" x14ac:dyDescent="0.3">
      <c r="B30" s="407" t="s">
        <v>559</v>
      </c>
      <c r="C30" s="408"/>
      <c r="D30" s="408"/>
      <c r="E30" s="408"/>
      <c r="F30" s="246" t="s">
        <v>560</v>
      </c>
      <c r="G30" s="277">
        <v>192</v>
      </c>
      <c r="H30" s="278">
        <v>28017.569999999996</v>
      </c>
      <c r="J30" s="403" t="s">
        <v>75</v>
      </c>
      <c r="K30" s="404"/>
      <c r="L30" s="404"/>
      <c r="M30" s="404"/>
      <c r="N30" s="246" t="s">
        <v>561</v>
      </c>
      <c r="O30" s="277">
        <v>1159</v>
      </c>
      <c r="P30" s="278">
        <v>167477.12</v>
      </c>
    </row>
    <row r="31" spans="2:30" x14ac:dyDescent="0.3">
      <c r="B31" s="403" t="s">
        <v>559</v>
      </c>
      <c r="C31" s="404"/>
      <c r="D31" s="404"/>
      <c r="E31" s="404"/>
      <c r="F31" s="246" t="s">
        <v>562</v>
      </c>
      <c r="G31" s="277">
        <v>8</v>
      </c>
      <c r="H31" s="278">
        <v>698.80000000000007</v>
      </c>
      <c r="J31" s="403" t="s">
        <v>41</v>
      </c>
      <c r="K31" s="404"/>
      <c r="L31" s="404"/>
      <c r="M31" s="404"/>
      <c r="N31" s="246" t="s">
        <v>563</v>
      </c>
      <c r="O31" s="277">
        <v>6</v>
      </c>
      <c r="P31" s="278">
        <v>1175.0999999999999</v>
      </c>
    </row>
    <row r="32" spans="2:30" x14ac:dyDescent="0.3">
      <c r="B32" s="403" t="s">
        <v>559</v>
      </c>
      <c r="C32" s="404"/>
      <c r="D32" s="404"/>
      <c r="E32" s="404"/>
      <c r="F32" s="246" t="s">
        <v>564</v>
      </c>
      <c r="G32" s="277">
        <v>13</v>
      </c>
      <c r="H32" s="278">
        <v>1214.3900000000001</v>
      </c>
      <c r="J32" s="403" t="s">
        <v>76</v>
      </c>
      <c r="K32" s="404"/>
      <c r="L32" s="404"/>
      <c r="M32" s="404"/>
      <c r="N32" s="246" t="s">
        <v>565</v>
      </c>
      <c r="O32" s="277">
        <v>2</v>
      </c>
      <c r="P32" s="278">
        <v>169</v>
      </c>
    </row>
    <row r="33" spans="2:16" x14ac:dyDescent="0.3">
      <c r="B33" s="403" t="s">
        <v>566</v>
      </c>
      <c r="C33" s="404"/>
      <c r="D33" s="404"/>
      <c r="E33" s="404"/>
      <c r="F33" s="246" t="s">
        <v>567</v>
      </c>
      <c r="G33" s="277">
        <v>87</v>
      </c>
      <c r="H33" s="278">
        <v>8779.64</v>
      </c>
      <c r="J33" s="403" t="s">
        <v>42</v>
      </c>
      <c r="K33" s="404"/>
      <c r="L33" s="404"/>
      <c r="M33" s="404"/>
      <c r="N33" s="246" t="s">
        <v>568</v>
      </c>
      <c r="O33" s="277">
        <v>0</v>
      </c>
      <c r="P33" s="278">
        <v>0</v>
      </c>
    </row>
    <row r="34" spans="2:16" x14ac:dyDescent="0.3">
      <c r="B34" s="403" t="s">
        <v>566</v>
      </c>
      <c r="C34" s="404"/>
      <c r="D34" s="404"/>
      <c r="E34" s="404"/>
      <c r="F34" s="246" t="s">
        <v>569</v>
      </c>
      <c r="G34" s="277">
        <v>2</v>
      </c>
      <c r="H34" s="278">
        <v>58.33</v>
      </c>
      <c r="J34" s="403" t="s">
        <v>77</v>
      </c>
      <c r="K34" s="404"/>
      <c r="L34" s="404"/>
      <c r="M34" s="404"/>
      <c r="N34" s="246" t="s">
        <v>570</v>
      </c>
      <c r="O34" s="277">
        <v>0</v>
      </c>
      <c r="P34" s="278">
        <v>0</v>
      </c>
    </row>
    <row r="35" spans="2:16" x14ac:dyDescent="0.3">
      <c r="B35" s="403" t="s">
        <v>571</v>
      </c>
      <c r="C35" s="404"/>
      <c r="D35" s="404"/>
      <c r="E35" s="404"/>
      <c r="F35" s="246" t="s">
        <v>572</v>
      </c>
      <c r="G35" s="277">
        <v>94</v>
      </c>
      <c r="H35" s="278">
        <v>13720.449999999999</v>
      </c>
      <c r="J35" s="403" t="s">
        <v>43</v>
      </c>
      <c r="K35" s="404"/>
      <c r="L35" s="404"/>
      <c r="M35" s="404"/>
      <c r="N35" s="246" t="s">
        <v>573</v>
      </c>
      <c r="O35" s="277">
        <v>4230</v>
      </c>
      <c r="P35" s="278">
        <v>954066.50999999989</v>
      </c>
    </row>
    <row r="36" spans="2:16" x14ac:dyDescent="0.3">
      <c r="B36" s="403" t="s">
        <v>571</v>
      </c>
      <c r="C36" s="404"/>
      <c r="D36" s="404"/>
      <c r="E36" s="404"/>
      <c r="F36" s="246" t="s">
        <v>574</v>
      </c>
      <c r="G36" s="277">
        <v>5</v>
      </c>
      <c r="H36" s="278">
        <v>295.7</v>
      </c>
      <c r="J36" s="403" t="s">
        <v>78</v>
      </c>
      <c r="K36" s="404"/>
      <c r="L36" s="404"/>
      <c r="M36" s="404"/>
      <c r="N36" s="246" t="s">
        <v>575</v>
      </c>
      <c r="O36" s="277">
        <v>92</v>
      </c>
      <c r="P36" s="278">
        <v>15287.94</v>
      </c>
    </row>
    <row r="37" spans="2:16" x14ac:dyDescent="0.3">
      <c r="B37" s="403" t="s">
        <v>576</v>
      </c>
      <c r="C37" s="404"/>
      <c r="D37" s="404"/>
      <c r="E37" s="404"/>
      <c r="F37" s="246" t="s">
        <v>577</v>
      </c>
      <c r="G37" s="277">
        <v>60</v>
      </c>
      <c r="H37" s="278">
        <v>6838.2</v>
      </c>
      <c r="J37" s="403" t="s">
        <v>44</v>
      </c>
      <c r="K37" s="404"/>
      <c r="L37" s="404"/>
      <c r="M37" s="404"/>
      <c r="N37" s="246" t="s">
        <v>578</v>
      </c>
      <c r="O37" s="277">
        <v>320</v>
      </c>
      <c r="P37" s="278">
        <v>68675.600000000006</v>
      </c>
    </row>
    <row r="38" spans="2:16" x14ac:dyDescent="0.3">
      <c r="B38" s="403" t="s">
        <v>576</v>
      </c>
      <c r="C38" s="404"/>
      <c r="D38" s="404"/>
      <c r="E38" s="404"/>
      <c r="F38" s="246" t="s">
        <v>579</v>
      </c>
      <c r="G38" s="277">
        <v>3</v>
      </c>
      <c r="H38" s="278">
        <v>89.57</v>
      </c>
      <c r="J38" s="403" t="s">
        <v>79</v>
      </c>
      <c r="K38" s="404"/>
      <c r="L38" s="404"/>
      <c r="M38" s="404"/>
      <c r="N38" s="246" t="s">
        <v>580</v>
      </c>
      <c r="O38" s="277">
        <v>792</v>
      </c>
      <c r="P38" s="278">
        <v>226431.61000000002</v>
      </c>
    </row>
    <row r="39" spans="2:16" x14ac:dyDescent="0.3">
      <c r="B39" s="403" t="s">
        <v>581</v>
      </c>
      <c r="C39" s="404"/>
      <c r="D39" s="404"/>
      <c r="E39" s="404"/>
      <c r="F39" s="246" t="s">
        <v>582</v>
      </c>
      <c r="G39" s="277">
        <v>235</v>
      </c>
      <c r="H39" s="278">
        <v>26842.26</v>
      </c>
      <c r="J39" s="403" t="s">
        <v>277</v>
      </c>
      <c r="K39" s="404"/>
      <c r="L39" s="404"/>
      <c r="M39" s="404"/>
      <c r="N39" s="246" t="s">
        <v>583</v>
      </c>
      <c r="O39" s="277">
        <v>2533</v>
      </c>
      <c r="P39" s="278">
        <v>755588.03000000026</v>
      </c>
    </row>
    <row r="40" spans="2:16" ht="13.5" thickBot="1" x14ac:dyDescent="0.35">
      <c r="B40" s="403" t="s">
        <v>581</v>
      </c>
      <c r="C40" s="404"/>
      <c r="D40" s="404"/>
      <c r="E40" s="404"/>
      <c r="F40" s="246" t="s">
        <v>584</v>
      </c>
      <c r="G40" s="277">
        <v>2</v>
      </c>
      <c r="H40" s="278">
        <v>70.039999999999992</v>
      </c>
      <c r="J40" s="403" t="s">
        <v>585</v>
      </c>
      <c r="K40" s="404"/>
      <c r="L40" s="404"/>
      <c r="M40" s="404"/>
      <c r="N40" s="246" t="s">
        <v>586</v>
      </c>
      <c r="O40" s="277">
        <v>113</v>
      </c>
      <c r="P40" s="278">
        <v>6690.4800000000005</v>
      </c>
    </row>
    <row r="41" spans="2:16" ht="15.5" x14ac:dyDescent="0.3">
      <c r="B41" s="403" t="s">
        <v>581</v>
      </c>
      <c r="C41" s="404"/>
      <c r="D41" s="404"/>
      <c r="E41" s="404"/>
      <c r="F41" s="246" t="s">
        <v>587</v>
      </c>
      <c r="G41" s="277">
        <v>14</v>
      </c>
      <c r="H41" s="278">
        <v>1056.3499999999999</v>
      </c>
      <c r="J41" s="409" t="s">
        <v>280</v>
      </c>
      <c r="K41" s="410"/>
      <c r="L41" s="410"/>
      <c r="M41" s="410"/>
      <c r="N41" s="410"/>
      <c r="O41" s="280">
        <v>17457</v>
      </c>
      <c r="P41" s="281">
        <v>4101571.83</v>
      </c>
    </row>
    <row r="42" spans="2:16" x14ac:dyDescent="0.3">
      <c r="B42" s="403" t="s">
        <v>581</v>
      </c>
      <c r="C42" s="404"/>
      <c r="D42" s="404"/>
      <c r="E42" s="404"/>
      <c r="F42" s="246" t="s">
        <v>588</v>
      </c>
      <c r="G42" s="277">
        <v>0</v>
      </c>
      <c r="H42" s="278">
        <v>0</v>
      </c>
      <c r="J42" s="413" t="s">
        <v>283</v>
      </c>
      <c r="K42" s="414"/>
      <c r="L42" s="414"/>
      <c r="M42" s="414"/>
      <c r="N42" s="414"/>
      <c r="O42" s="282">
        <v>12530</v>
      </c>
      <c r="P42" s="283">
        <v>3158737</v>
      </c>
    </row>
    <row r="43" spans="2:16" ht="13.5" thickBot="1" x14ac:dyDescent="0.35">
      <c r="B43" s="403" t="s">
        <v>589</v>
      </c>
      <c r="C43" s="404"/>
      <c r="D43" s="404"/>
      <c r="E43" s="404"/>
      <c r="F43" s="246" t="s">
        <v>590</v>
      </c>
      <c r="G43" s="277">
        <v>71</v>
      </c>
      <c r="H43" s="278">
        <v>10501.1</v>
      </c>
      <c r="J43" s="386" t="s">
        <v>185</v>
      </c>
      <c r="K43" s="387"/>
      <c r="L43" s="387"/>
      <c r="M43" s="387"/>
      <c r="N43" s="387"/>
      <c r="O43" s="284">
        <v>1.3932162809257782</v>
      </c>
      <c r="P43" s="285">
        <v>1.2984847519752356</v>
      </c>
    </row>
    <row r="44" spans="2:16" ht="13.5" thickBot="1" x14ac:dyDescent="0.35">
      <c r="B44" s="403" t="s">
        <v>589</v>
      </c>
      <c r="C44" s="404"/>
      <c r="D44" s="404"/>
      <c r="E44" s="404"/>
      <c r="F44" s="246" t="s">
        <v>591</v>
      </c>
      <c r="G44" s="277">
        <v>2</v>
      </c>
      <c r="H44" s="278">
        <v>309</v>
      </c>
    </row>
    <row r="45" spans="2:16" ht="19" thickBot="1" x14ac:dyDescent="0.35">
      <c r="B45" s="403" t="s">
        <v>592</v>
      </c>
      <c r="C45" s="404"/>
      <c r="D45" s="404"/>
      <c r="E45" s="404"/>
      <c r="F45" s="246" t="s">
        <v>593</v>
      </c>
      <c r="G45" s="277">
        <v>177</v>
      </c>
      <c r="H45" s="278">
        <v>21935.02</v>
      </c>
      <c r="J45" s="394" t="s">
        <v>288</v>
      </c>
      <c r="K45" s="395"/>
      <c r="L45" s="395"/>
      <c r="M45" s="395"/>
      <c r="N45" s="395"/>
      <c r="O45" s="395"/>
      <c r="P45" s="396"/>
    </row>
    <row r="46" spans="2:16" ht="13.5" thickBot="1" x14ac:dyDescent="0.35">
      <c r="B46" s="403" t="s">
        <v>592</v>
      </c>
      <c r="C46" s="404"/>
      <c r="D46" s="404"/>
      <c r="E46" s="404"/>
      <c r="F46" s="246" t="s">
        <v>594</v>
      </c>
      <c r="G46" s="277">
        <v>5</v>
      </c>
      <c r="H46" s="278">
        <v>236.43</v>
      </c>
      <c r="J46" s="405" t="s">
        <v>190</v>
      </c>
      <c r="K46" s="406"/>
      <c r="L46" s="406"/>
      <c r="M46" s="406"/>
      <c r="N46" s="274" t="s">
        <v>191</v>
      </c>
      <c r="O46" s="274" t="s">
        <v>192</v>
      </c>
      <c r="P46" s="275" t="s">
        <v>50</v>
      </c>
    </row>
    <row r="47" spans="2:16" x14ac:dyDescent="0.3">
      <c r="B47" s="403" t="s">
        <v>595</v>
      </c>
      <c r="C47" s="404"/>
      <c r="D47" s="404"/>
      <c r="E47" s="404"/>
      <c r="F47" s="246" t="s">
        <v>596</v>
      </c>
      <c r="G47" s="277">
        <v>137</v>
      </c>
      <c r="H47" s="278">
        <v>17876.599999999999</v>
      </c>
      <c r="J47" s="407" t="s">
        <v>205</v>
      </c>
      <c r="K47" s="408"/>
      <c r="L47" s="276" t="s">
        <v>4</v>
      </c>
      <c r="M47" s="276" t="s">
        <v>597</v>
      </c>
      <c r="N47" s="246" t="s">
        <v>598</v>
      </c>
      <c r="O47" s="277">
        <v>0</v>
      </c>
      <c r="P47" s="278">
        <v>0</v>
      </c>
    </row>
    <row r="48" spans="2:16" x14ac:dyDescent="0.3">
      <c r="B48" s="403" t="s">
        <v>595</v>
      </c>
      <c r="C48" s="404"/>
      <c r="D48" s="404"/>
      <c r="E48" s="404"/>
      <c r="F48" s="246" t="s">
        <v>599</v>
      </c>
      <c r="G48" s="277">
        <v>3</v>
      </c>
      <c r="H48" s="278">
        <v>1030.1500000000001</v>
      </c>
      <c r="J48" s="403" t="s">
        <v>205</v>
      </c>
      <c r="K48" s="404"/>
      <c r="L48" s="246" t="s">
        <v>4</v>
      </c>
      <c r="M48" s="246" t="s">
        <v>600</v>
      </c>
      <c r="N48" s="246" t="s">
        <v>601</v>
      </c>
      <c r="O48" s="277">
        <v>1</v>
      </c>
      <c r="P48" s="278">
        <v>25</v>
      </c>
    </row>
    <row r="49" spans="2:16" x14ac:dyDescent="0.3">
      <c r="B49" s="403" t="s">
        <v>602</v>
      </c>
      <c r="C49" s="404"/>
      <c r="D49" s="404"/>
      <c r="E49" s="404"/>
      <c r="F49" s="246" t="s">
        <v>603</v>
      </c>
      <c r="G49" s="277">
        <v>206</v>
      </c>
      <c r="H49" s="278">
        <v>42272.4</v>
      </c>
      <c r="J49" s="403" t="s">
        <v>205</v>
      </c>
      <c r="K49" s="404"/>
      <c r="L49" s="246" t="s">
        <v>4</v>
      </c>
      <c r="M49" s="246" t="s">
        <v>604</v>
      </c>
      <c r="N49" s="246" t="s">
        <v>605</v>
      </c>
      <c r="O49" s="277">
        <v>1</v>
      </c>
      <c r="P49" s="278">
        <v>50</v>
      </c>
    </row>
    <row r="50" spans="2:16" x14ac:dyDescent="0.3">
      <c r="B50" s="403" t="s">
        <v>602</v>
      </c>
      <c r="C50" s="404"/>
      <c r="D50" s="404"/>
      <c r="E50" s="404"/>
      <c r="F50" s="246" t="s">
        <v>606</v>
      </c>
      <c r="G50" s="277">
        <v>7</v>
      </c>
      <c r="H50" s="278">
        <v>483.9</v>
      </c>
      <c r="J50" s="403" t="s">
        <v>456</v>
      </c>
      <c r="K50" s="404"/>
      <c r="L50" s="246" t="s">
        <v>4</v>
      </c>
      <c r="M50" s="246" t="s">
        <v>597</v>
      </c>
      <c r="N50" s="246" t="s">
        <v>607</v>
      </c>
      <c r="O50" s="277">
        <v>1</v>
      </c>
      <c r="P50" s="278">
        <v>50</v>
      </c>
    </row>
    <row r="51" spans="2:16" x14ac:dyDescent="0.3">
      <c r="B51" s="403" t="s">
        <v>608</v>
      </c>
      <c r="C51" s="404"/>
      <c r="D51" s="404"/>
      <c r="E51" s="404"/>
      <c r="F51" s="246" t="s">
        <v>609</v>
      </c>
      <c r="G51" s="277">
        <v>202</v>
      </c>
      <c r="H51" s="278">
        <v>24422.68</v>
      </c>
      <c r="J51" s="403" t="s">
        <v>456</v>
      </c>
      <c r="K51" s="404"/>
      <c r="L51" s="246" t="s">
        <v>4</v>
      </c>
      <c r="M51" s="246" t="s">
        <v>600</v>
      </c>
      <c r="N51" s="246" t="s">
        <v>610</v>
      </c>
      <c r="O51" s="277">
        <v>2</v>
      </c>
      <c r="P51" s="278">
        <v>227.25</v>
      </c>
    </row>
    <row r="52" spans="2:16" x14ac:dyDescent="0.3">
      <c r="B52" s="403" t="s">
        <v>608</v>
      </c>
      <c r="C52" s="404"/>
      <c r="D52" s="404"/>
      <c r="E52" s="404"/>
      <c r="F52" s="246" t="s">
        <v>611</v>
      </c>
      <c r="G52" s="277">
        <v>6</v>
      </c>
      <c r="H52" s="278">
        <v>646.82000000000005</v>
      </c>
      <c r="J52" s="403" t="s">
        <v>456</v>
      </c>
      <c r="K52" s="404"/>
      <c r="L52" s="246" t="s">
        <v>4</v>
      </c>
      <c r="M52" s="246" t="s">
        <v>604</v>
      </c>
      <c r="N52" s="246" t="s">
        <v>612</v>
      </c>
      <c r="O52" s="277">
        <v>1</v>
      </c>
      <c r="P52" s="278">
        <v>250</v>
      </c>
    </row>
    <row r="53" spans="2:16" x14ac:dyDescent="0.3">
      <c r="B53" s="403" t="s">
        <v>613</v>
      </c>
      <c r="C53" s="404"/>
      <c r="D53" s="404"/>
      <c r="E53" s="404"/>
      <c r="F53" s="246" t="s">
        <v>614</v>
      </c>
      <c r="G53" s="277">
        <v>103</v>
      </c>
      <c r="H53" s="278">
        <v>11176.619999999999</v>
      </c>
      <c r="J53" s="403" t="s">
        <v>205</v>
      </c>
      <c r="K53" s="404"/>
      <c r="L53" s="246" t="s">
        <v>308</v>
      </c>
      <c r="M53" s="246" t="s">
        <v>597</v>
      </c>
      <c r="N53" s="246" t="s">
        <v>615</v>
      </c>
      <c r="O53" s="277">
        <v>0</v>
      </c>
      <c r="P53" s="278">
        <v>0</v>
      </c>
    </row>
    <row r="54" spans="2:16" x14ac:dyDescent="0.3">
      <c r="B54" s="403" t="s">
        <v>613</v>
      </c>
      <c r="C54" s="404"/>
      <c r="D54" s="404"/>
      <c r="E54" s="404"/>
      <c r="F54" s="246" t="s">
        <v>616</v>
      </c>
      <c r="G54" s="277">
        <v>8</v>
      </c>
      <c r="H54" s="278">
        <v>381</v>
      </c>
      <c r="J54" s="403" t="s">
        <v>205</v>
      </c>
      <c r="K54" s="404"/>
      <c r="L54" s="246" t="s">
        <v>308</v>
      </c>
      <c r="M54" s="246" t="s">
        <v>600</v>
      </c>
      <c r="N54" s="246" t="s">
        <v>617</v>
      </c>
      <c r="O54" s="277">
        <v>0</v>
      </c>
      <c r="P54" s="278">
        <v>0</v>
      </c>
    </row>
    <row r="55" spans="2:16" x14ac:dyDescent="0.3">
      <c r="B55" s="403" t="s">
        <v>618</v>
      </c>
      <c r="C55" s="404"/>
      <c r="D55" s="404"/>
      <c r="E55" s="404"/>
      <c r="F55" s="246" t="s">
        <v>619</v>
      </c>
      <c r="G55" s="277">
        <v>292</v>
      </c>
      <c r="H55" s="278">
        <v>42947.530000000006</v>
      </c>
      <c r="J55" s="403" t="s">
        <v>205</v>
      </c>
      <c r="K55" s="404"/>
      <c r="L55" s="246" t="s">
        <v>308</v>
      </c>
      <c r="M55" s="246" t="s">
        <v>604</v>
      </c>
      <c r="N55" s="246" t="s">
        <v>620</v>
      </c>
      <c r="O55" s="277">
        <v>0</v>
      </c>
      <c r="P55" s="278">
        <v>0</v>
      </c>
    </row>
    <row r="56" spans="2:16" x14ac:dyDescent="0.3">
      <c r="B56" s="403" t="s">
        <v>618</v>
      </c>
      <c r="C56" s="404"/>
      <c r="D56" s="404"/>
      <c r="E56" s="404"/>
      <c r="F56" s="246" t="s">
        <v>621</v>
      </c>
      <c r="G56" s="277">
        <v>10</v>
      </c>
      <c r="H56" s="278">
        <v>612.85</v>
      </c>
      <c r="J56" s="403" t="s">
        <v>456</v>
      </c>
      <c r="K56" s="404"/>
      <c r="L56" s="246" t="s">
        <v>308</v>
      </c>
      <c r="M56" s="246" t="s">
        <v>597</v>
      </c>
      <c r="N56" s="246" t="s">
        <v>622</v>
      </c>
      <c r="O56" s="277">
        <v>0</v>
      </c>
      <c r="P56" s="278">
        <v>0</v>
      </c>
    </row>
    <row r="57" spans="2:16" x14ac:dyDescent="0.3">
      <c r="B57" s="403" t="s">
        <v>618</v>
      </c>
      <c r="C57" s="404"/>
      <c r="D57" s="404"/>
      <c r="E57" s="404"/>
      <c r="F57" s="246" t="s">
        <v>623</v>
      </c>
      <c r="G57" s="277">
        <v>13</v>
      </c>
      <c r="H57" s="278">
        <v>2807.1</v>
      </c>
      <c r="J57" s="403" t="s">
        <v>456</v>
      </c>
      <c r="K57" s="404"/>
      <c r="L57" s="246" t="s">
        <v>308</v>
      </c>
      <c r="M57" s="246" t="s">
        <v>600</v>
      </c>
      <c r="N57" s="246" t="s">
        <v>624</v>
      </c>
      <c r="O57" s="277">
        <v>0</v>
      </c>
      <c r="P57" s="278">
        <v>0</v>
      </c>
    </row>
    <row r="58" spans="2:16" x14ac:dyDescent="0.3">
      <c r="B58" s="403" t="s">
        <v>625</v>
      </c>
      <c r="C58" s="404"/>
      <c r="D58" s="404"/>
      <c r="E58" s="404"/>
      <c r="F58" s="246" t="s">
        <v>626</v>
      </c>
      <c r="G58" s="277">
        <v>156</v>
      </c>
      <c r="H58" s="278">
        <v>19169.29</v>
      </c>
      <c r="J58" s="403" t="s">
        <v>456</v>
      </c>
      <c r="K58" s="404"/>
      <c r="L58" s="246" t="s">
        <v>308</v>
      </c>
      <c r="M58" s="246" t="s">
        <v>604</v>
      </c>
      <c r="N58" s="246" t="s">
        <v>627</v>
      </c>
      <c r="O58" s="277">
        <v>2</v>
      </c>
      <c r="P58" s="278">
        <v>301.5</v>
      </c>
    </row>
    <row r="59" spans="2:16" x14ac:dyDescent="0.3">
      <c r="B59" s="403" t="s">
        <v>625</v>
      </c>
      <c r="C59" s="404"/>
      <c r="D59" s="404"/>
      <c r="E59" s="404"/>
      <c r="F59" s="246" t="s">
        <v>628</v>
      </c>
      <c r="G59" s="277">
        <v>8</v>
      </c>
      <c r="H59" s="278">
        <v>388.40000000000003</v>
      </c>
      <c r="J59" s="403" t="s">
        <v>629</v>
      </c>
      <c r="K59" s="404"/>
      <c r="L59" s="246" t="s">
        <v>341</v>
      </c>
      <c r="M59" s="246" t="s">
        <v>597</v>
      </c>
      <c r="N59" s="246" t="s">
        <v>630</v>
      </c>
      <c r="O59" s="277">
        <v>0</v>
      </c>
      <c r="P59" s="278">
        <v>0</v>
      </c>
    </row>
    <row r="60" spans="2:16" x14ac:dyDescent="0.3">
      <c r="B60" s="403" t="s">
        <v>631</v>
      </c>
      <c r="C60" s="404"/>
      <c r="D60" s="404"/>
      <c r="E60" s="404"/>
      <c r="F60" s="246" t="s">
        <v>632</v>
      </c>
      <c r="G60" s="277">
        <v>321</v>
      </c>
      <c r="H60" s="278">
        <v>46652.73</v>
      </c>
      <c r="J60" s="403" t="s">
        <v>633</v>
      </c>
      <c r="K60" s="404"/>
      <c r="L60" s="246" t="s">
        <v>323</v>
      </c>
      <c r="M60" s="246" t="s">
        <v>597</v>
      </c>
      <c r="N60" s="246" t="s">
        <v>634</v>
      </c>
      <c r="O60" s="277">
        <v>0</v>
      </c>
      <c r="P60" s="278">
        <v>0</v>
      </c>
    </row>
    <row r="61" spans="2:16" x14ac:dyDescent="0.3">
      <c r="B61" s="403" t="s">
        <v>631</v>
      </c>
      <c r="C61" s="404"/>
      <c r="D61" s="404"/>
      <c r="E61" s="404"/>
      <c r="F61" s="246" t="s">
        <v>635</v>
      </c>
      <c r="G61" s="277">
        <v>7</v>
      </c>
      <c r="H61" s="278">
        <v>467.71</v>
      </c>
      <c r="J61" s="403" t="s">
        <v>633</v>
      </c>
      <c r="K61" s="404"/>
      <c r="L61" s="246" t="s">
        <v>323</v>
      </c>
      <c r="M61" s="246" t="s">
        <v>600</v>
      </c>
      <c r="N61" s="246" t="s">
        <v>636</v>
      </c>
      <c r="O61" s="277">
        <v>0</v>
      </c>
      <c r="P61" s="278">
        <v>0</v>
      </c>
    </row>
    <row r="62" spans="2:16" x14ac:dyDescent="0.3">
      <c r="B62" s="403" t="s">
        <v>637</v>
      </c>
      <c r="C62" s="404"/>
      <c r="D62" s="404"/>
      <c r="E62" s="404"/>
      <c r="F62" s="246" t="s">
        <v>638</v>
      </c>
      <c r="G62" s="277">
        <v>186</v>
      </c>
      <c r="H62" s="278">
        <v>20134.530000000002</v>
      </c>
      <c r="J62" s="403" t="s">
        <v>633</v>
      </c>
      <c r="K62" s="404"/>
      <c r="L62" s="246" t="s">
        <v>323</v>
      </c>
      <c r="M62" s="246" t="s">
        <v>604</v>
      </c>
      <c r="N62" s="246" t="s">
        <v>639</v>
      </c>
      <c r="O62" s="277">
        <v>0</v>
      </c>
      <c r="P62" s="278">
        <v>0</v>
      </c>
    </row>
    <row r="63" spans="2:16" x14ac:dyDescent="0.3">
      <c r="B63" s="403" t="s">
        <v>637</v>
      </c>
      <c r="C63" s="404"/>
      <c r="D63" s="404"/>
      <c r="E63" s="404"/>
      <c r="F63" s="246" t="s">
        <v>640</v>
      </c>
      <c r="G63" s="277">
        <v>15</v>
      </c>
      <c r="H63" s="278">
        <v>873.7</v>
      </c>
      <c r="J63" s="403" t="s">
        <v>633</v>
      </c>
      <c r="K63" s="404"/>
      <c r="L63" s="246" t="s">
        <v>332</v>
      </c>
      <c r="M63" s="246" t="s">
        <v>597</v>
      </c>
      <c r="N63" s="246" t="s">
        <v>641</v>
      </c>
      <c r="O63" s="277">
        <v>0</v>
      </c>
      <c r="P63" s="278">
        <v>0</v>
      </c>
    </row>
    <row r="64" spans="2:16" x14ac:dyDescent="0.3">
      <c r="B64" s="403" t="s">
        <v>642</v>
      </c>
      <c r="C64" s="404"/>
      <c r="D64" s="404"/>
      <c r="E64" s="404"/>
      <c r="F64" s="246" t="s">
        <v>643</v>
      </c>
      <c r="G64" s="277">
        <v>81</v>
      </c>
      <c r="H64" s="278">
        <v>4912.6100000000006</v>
      </c>
      <c r="J64" s="403" t="s">
        <v>633</v>
      </c>
      <c r="K64" s="404"/>
      <c r="L64" s="246" t="s">
        <v>332</v>
      </c>
      <c r="M64" s="246" t="s">
        <v>600</v>
      </c>
      <c r="N64" s="246" t="s">
        <v>644</v>
      </c>
      <c r="O64" s="277">
        <v>0</v>
      </c>
      <c r="P64" s="278">
        <v>0</v>
      </c>
    </row>
    <row r="65" spans="2:16" x14ac:dyDescent="0.3">
      <c r="B65" s="403" t="s">
        <v>642</v>
      </c>
      <c r="C65" s="404"/>
      <c r="D65" s="404"/>
      <c r="E65" s="404"/>
      <c r="F65" s="246" t="s">
        <v>645</v>
      </c>
      <c r="G65" s="277">
        <v>5</v>
      </c>
      <c r="H65" s="278">
        <v>177.62</v>
      </c>
      <c r="J65" s="403" t="s">
        <v>633</v>
      </c>
      <c r="K65" s="404"/>
      <c r="L65" s="246" t="s">
        <v>332</v>
      </c>
      <c r="M65" s="246" t="s">
        <v>604</v>
      </c>
      <c r="N65" s="246" t="s">
        <v>646</v>
      </c>
      <c r="O65" s="277">
        <v>0</v>
      </c>
      <c r="P65" s="278">
        <v>0</v>
      </c>
    </row>
    <row r="66" spans="2:16" x14ac:dyDescent="0.3">
      <c r="B66" s="403" t="s">
        <v>647</v>
      </c>
      <c r="C66" s="404"/>
      <c r="D66" s="404"/>
      <c r="E66" s="404"/>
      <c r="F66" s="246" t="s">
        <v>648</v>
      </c>
      <c r="G66" s="277">
        <v>58</v>
      </c>
      <c r="H66" s="278">
        <v>3286.8700000000003</v>
      </c>
      <c r="J66" s="403" t="s">
        <v>649</v>
      </c>
      <c r="K66" s="404"/>
      <c r="L66" s="246" t="s">
        <v>341</v>
      </c>
      <c r="M66" s="246" t="s">
        <v>597</v>
      </c>
      <c r="N66" s="246" t="s">
        <v>650</v>
      </c>
      <c r="O66" s="277">
        <v>2</v>
      </c>
      <c r="P66" s="278">
        <v>180.25</v>
      </c>
    </row>
    <row r="67" spans="2:16" ht="13.5" thickBot="1" x14ac:dyDescent="0.35">
      <c r="B67" s="403" t="s">
        <v>647</v>
      </c>
      <c r="C67" s="404"/>
      <c r="D67" s="404"/>
      <c r="E67" s="404"/>
      <c r="F67" s="246" t="s">
        <v>651</v>
      </c>
      <c r="G67" s="277">
        <v>3</v>
      </c>
      <c r="H67" s="278">
        <v>287.8</v>
      </c>
      <c r="J67" s="411" t="s">
        <v>652</v>
      </c>
      <c r="K67" s="412"/>
      <c r="L67" s="246" t="s">
        <v>341</v>
      </c>
      <c r="M67" s="246" t="s">
        <v>597</v>
      </c>
      <c r="N67" s="246" t="s">
        <v>653</v>
      </c>
      <c r="O67" s="277">
        <v>5</v>
      </c>
      <c r="P67" s="278">
        <v>189.05</v>
      </c>
    </row>
    <row r="68" spans="2:16" ht="16" thickBot="1" x14ac:dyDescent="0.35">
      <c r="B68" s="403" t="s">
        <v>654</v>
      </c>
      <c r="C68" s="404"/>
      <c r="D68" s="404"/>
      <c r="E68" s="404"/>
      <c r="F68" s="246" t="s">
        <v>655</v>
      </c>
      <c r="G68" s="277">
        <v>6</v>
      </c>
      <c r="H68" s="278">
        <v>313.75</v>
      </c>
      <c r="J68" s="415" t="s">
        <v>350</v>
      </c>
      <c r="K68" s="416"/>
      <c r="L68" s="416"/>
      <c r="M68" s="416"/>
      <c r="N68" s="416"/>
      <c r="O68" s="286">
        <v>15</v>
      </c>
      <c r="P68" s="287">
        <v>1273.05</v>
      </c>
    </row>
    <row r="69" spans="2:16" ht="16" thickBot="1" x14ac:dyDescent="0.35">
      <c r="B69" s="415" t="s">
        <v>355</v>
      </c>
      <c r="C69" s="416"/>
      <c r="D69" s="416"/>
      <c r="E69" s="416"/>
      <c r="F69" s="416"/>
      <c r="G69" s="286">
        <v>2803</v>
      </c>
      <c r="H69" s="287">
        <v>361985.50999999995</v>
      </c>
      <c r="J69" s="413" t="s">
        <v>352</v>
      </c>
      <c r="K69" s="414"/>
      <c r="L69" s="414"/>
      <c r="M69" s="414"/>
      <c r="N69" s="414"/>
      <c r="O69" s="282">
        <v>17</v>
      </c>
      <c r="P69" s="283">
        <v>1105</v>
      </c>
    </row>
    <row r="70" spans="2:16" ht="13.5" thickBot="1" x14ac:dyDescent="0.35">
      <c r="B70" s="420" t="s">
        <v>356</v>
      </c>
      <c r="C70" s="421"/>
      <c r="D70" s="421"/>
      <c r="E70" s="421"/>
      <c r="F70" s="421"/>
      <c r="G70" s="288">
        <v>3239</v>
      </c>
      <c r="H70" s="289">
        <v>463322</v>
      </c>
      <c r="J70" s="386" t="s">
        <v>185</v>
      </c>
      <c r="K70" s="387"/>
      <c r="L70" s="387"/>
      <c r="M70" s="387"/>
      <c r="N70" s="387"/>
      <c r="O70" s="284">
        <v>0.88235294117647056</v>
      </c>
      <c r="P70" s="285">
        <v>1.1520814479638009</v>
      </c>
    </row>
    <row r="71" spans="2:16" ht="13.5" thickBot="1" x14ac:dyDescent="0.35">
      <c r="B71" s="422" t="s">
        <v>185</v>
      </c>
      <c r="C71" s="423"/>
      <c r="D71" s="423"/>
      <c r="E71" s="423"/>
      <c r="F71" s="423"/>
      <c r="G71" s="290">
        <v>0.86539055263970366</v>
      </c>
      <c r="H71" s="291">
        <v>0.78128280116204274</v>
      </c>
    </row>
    <row r="72" spans="2:16" ht="19" thickBot="1" x14ac:dyDescent="0.35">
      <c r="B72" s="424" t="s">
        <v>357</v>
      </c>
      <c r="C72" s="425"/>
      <c r="D72" s="425"/>
      <c r="E72" s="425"/>
      <c r="F72" s="425"/>
      <c r="G72" s="425"/>
      <c r="H72" s="426"/>
      <c r="J72" s="394" t="s">
        <v>187</v>
      </c>
      <c r="K72" s="395"/>
      <c r="L72" s="395"/>
      <c r="M72" s="395"/>
      <c r="N72" s="395"/>
      <c r="O72" s="395"/>
      <c r="P72" s="396"/>
    </row>
    <row r="73" spans="2:16" ht="19" thickBot="1" x14ac:dyDescent="0.35">
      <c r="J73" s="394" t="s">
        <v>519</v>
      </c>
      <c r="K73" s="395"/>
      <c r="L73" s="395"/>
      <c r="M73" s="395"/>
      <c r="N73" s="337">
        <v>45649</v>
      </c>
      <c r="O73" s="335" t="s">
        <v>163</v>
      </c>
      <c r="P73" s="338">
        <v>45663</v>
      </c>
    </row>
    <row r="74" spans="2:16" ht="19" thickBot="1" x14ac:dyDescent="0.35">
      <c r="B74" s="394" t="s">
        <v>362</v>
      </c>
      <c r="C74" s="395"/>
      <c r="D74" s="395"/>
      <c r="E74" s="395"/>
      <c r="F74" s="395"/>
      <c r="G74" s="395"/>
      <c r="H74" s="396"/>
      <c r="J74" s="405" t="s">
        <v>190</v>
      </c>
      <c r="K74" s="406"/>
      <c r="L74" s="406"/>
      <c r="M74" s="406"/>
      <c r="N74" s="273" t="s">
        <v>191</v>
      </c>
      <c r="O74" s="273" t="s">
        <v>192</v>
      </c>
      <c r="P74" s="292" t="s">
        <v>50</v>
      </c>
    </row>
    <row r="75" spans="2:16" ht="13.5" thickBot="1" x14ac:dyDescent="0.35">
      <c r="B75" s="405" t="s">
        <v>190</v>
      </c>
      <c r="C75" s="406"/>
      <c r="D75" s="406"/>
      <c r="E75" s="406"/>
      <c r="F75" s="274" t="s">
        <v>191</v>
      </c>
      <c r="G75" s="274" t="s">
        <v>192</v>
      </c>
      <c r="H75" s="275" t="s">
        <v>50</v>
      </c>
      <c r="J75" s="407" t="s">
        <v>358</v>
      </c>
      <c r="K75" s="408"/>
      <c r="L75" s="408"/>
      <c r="M75" s="408"/>
      <c r="N75" s="276" t="s">
        <v>359</v>
      </c>
      <c r="O75" s="417">
        <v>50</v>
      </c>
      <c r="P75" s="435">
        <v>4238.7</v>
      </c>
    </row>
    <row r="76" spans="2:16" x14ac:dyDescent="0.3">
      <c r="B76" s="407" t="s">
        <v>656</v>
      </c>
      <c r="C76" s="408"/>
      <c r="D76" s="408"/>
      <c r="E76" s="408"/>
      <c r="F76" s="246" t="s">
        <v>657</v>
      </c>
      <c r="G76" s="277">
        <v>240</v>
      </c>
      <c r="H76" s="278">
        <v>23825.69</v>
      </c>
      <c r="J76" s="403" t="s">
        <v>360</v>
      </c>
      <c r="K76" s="404"/>
      <c r="L76" s="404"/>
      <c r="M76" s="404"/>
      <c r="N76" s="246" t="s">
        <v>361</v>
      </c>
      <c r="O76" s="418"/>
      <c r="P76" s="436"/>
    </row>
    <row r="77" spans="2:16" x14ac:dyDescent="0.3">
      <c r="B77" s="403" t="s">
        <v>656</v>
      </c>
      <c r="C77" s="404"/>
      <c r="D77" s="404"/>
      <c r="E77" s="404"/>
      <c r="F77" s="246" t="s">
        <v>658</v>
      </c>
      <c r="G77" s="277">
        <v>5</v>
      </c>
      <c r="H77" s="278">
        <v>265.64</v>
      </c>
      <c r="J77" s="403" t="s">
        <v>363</v>
      </c>
      <c r="K77" s="404"/>
      <c r="L77" s="404"/>
      <c r="M77" s="404"/>
      <c r="N77" s="246" t="s">
        <v>364</v>
      </c>
      <c r="O77" s="418"/>
      <c r="P77" s="436"/>
    </row>
    <row r="78" spans="2:16" x14ac:dyDescent="0.3">
      <c r="B78" s="403" t="s">
        <v>659</v>
      </c>
      <c r="C78" s="404"/>
      <c r="D78" s="404"/>
      <c r="E78" s="404"/>
      <c r="F78" s="246" t="s">
        <v>660</v>
      </c>
      <c r="G78" s="277">
        <v>107</v>
      </c>
      <c r="H78" s="278">
        <v>9339.4</v>
      </c>
      <c r="J78" s="403" t="s">
        <v>363</v>
      </c>
      <c r="K78" s="404"/>
      <c r="L78" s="404"/>
      <c r="M78" s="404"/>
      <c r="N78" s="246" t="s">
        <v>365</v>
      </c>
      <c r="O78" s="418"/>
      <c r="P78" s="436"/>
    </row>
    <row r="79" spans="2:16" x14ac:dyDescent="0.3">
      <c r="B79" s="403" t="s">
        <v>659</v>
      </c>
      <c r="C79" s="404"/>
      <c r="D79" s="404"/>
      <c r="E79" s="404"/>
      <c r="F79" s="246" t="s">
        <v>661</v>
      </c>
      <c r="G79" s="277">
        <v>2</v>
      </c>
      <c r="H79" s="278">
        <v>283.25</v>
      </c>
      <c r="J79" s="403" t="s">
        <v>363</v>
      </c>
      <c r="K79" s="404"/>
      <c r="L79" s="404"/>
      <c r="M79" s="404"/>
      <c r="N79" s="246" t="s">
        <v>366</v>
      </c>
      <c r="O79" s="418"/>
      <c r="P79" s="436"/>
    </row>
    <row r="80" spans="2:16" ht="13.5" thickBot="1" x14ac:dyDescent="0.35">
      <c r="B80" s="403" t="s">
        <v>662</v>
      </c>
      <c r="C80" s="404"/>
      <c r="D80" s="404"/>
      <c r="E80" s="404"/>
      <c r="F80" s="246" t="s">
        <v>663</v>
      </c>
      <c r="G80" s="277">
        <v>145</v>
      </c>
      <c r="H80" s="278">
        <v>16679.84</v>
      </c>
      <c r="J80" s="411" t="s">
        <v>363</v>
      </c>
      <c r="K80" s="412"/>
      <c r="L80" s="412"/>
      <c r="M80" s="412"/>
      <c r="N80" s="279" t="s">
        <v>367</v>
      </c>
      <c r="O80" s="419"/>
      <c r="P80" s="437"/>
    </row>
    <row r="81" spans="2:16" ht="16" thickBot="1" x14ac:dyDescent="0.35">
      <c r="B81" s="411" t="s">
        <v>662</v>
      </c>
      <c r="C81" s="412"/>
      <c r="D81" s="412"/>
      <c r="E81" s="412"/>
      <c r="F81" s="246" t="s">
        <v>664</v>
      </c>
      <c r="G81" s="277">
        <v>1</v>
      </c>
      <c r="H81" s="278">
        <v>10.3</v>
      </c>
      <c r="J81" s="427" t="s">
        <v>369</v>
      </c>
      <c r="K81" s="428"/>
      <c r="L81" s="428"/>
      <c r="M81" s="428"/>
      <c r="N81" s="428"/>
      <c r="O81" s="300">
        <v>50</v>
      </c>
      <c r="P81" s="301">
        <v>4238.7</v>
      </c>
    </row>
    <row r="82" spans="2:16" ht="16" thickBot="1" x14ac:dyDescent="0.35">
      <c r="B82" s="415" t="s">
        <v>368</v>
      </c>
      <c r="C82" s="416"/>
      <c r="D82" s="416"/>
      <c r="E82" s="416"/>
      <c r="F82" s="416"/>
      <c r="G82" s="286">
        <v>500</v>
      </c>
      <c r="H82" s="287">
        <v>50404.119999999995</v>
      </c>
      <c r="J82" s="413" t="s">
        <v>370</v>
      </c>
      <c r="K82" s="414"/>
      <c r="L82" s="414"/>
      <c r="M82" s="414"/>
      <c r="N82" s="414"/>
      <c r="O82" s="282">
        <v>188</v>
      </c>
      <c r="P82" s="283">
        <v>17024</v>
      </c>
    </row>
    <row r="83" spans="2:16" ht="13.5" thickBot="1" x14ac:dyDescent="0.35">
      <c r="J83" s="386" t="s">
        <v>185</v>
      </c>
      <c r="K83" s="387"/>
      <c r="L83" s="387"/>
      <c r="M83" s="387"/>
      <c r="N83" s="387"/>
      <c r="O83" s="284">
        <v>0.26595744680851063</v>
      </c>
      <c r="P83" s="285">
        <v>0.24898378759398496</v>
      </c>
    </row>
    <row r="84" spans="2:16" x14ac:dyDescent="0.3">
      <c r="J84" s="429" t="s">
        <v>517</v>
      </c>
      <c r="K84" s="430"/>
      <c r="L84" s="430"/>
      <c r="M84" s="430"/>
      <c r="N84" s="430"/>
      <c r="O84" s="430"/>
      <c r="P84" s="431"/>
    </row>
    <row r="85" spans="2:16" ht="13.5" thickBot="1" x14ac:dyDescent="0.35">
      <c r="J85" s="432"/>
      <c r="K85" s="433"/>
      <c r="L85" s="433"/>
      <c r="M85" s="433"/>
      <c r="N85" s="433"/>
      <c r="O85" s="433"/>
      <c r="P85" s="434"/>
    </row>
    <row r="87" spans="2:16" ht="5.15" customHeight="1" x14ac:dyDescent="0.3"/>
    <row r="89" spans="2:16" ht="5.15" customHeight="1" x14ac:dyDescent="0.3"/>
  </sheetData>
  <mergeCells count="167">
    <mergeCell ref="B81:E81"/>
    <mergeCell ref="J81:N81"/>
    <mergeCell ref="B82:F82"/>
    <mergeCell ref="J82:N82"/>
    <mergeCell ref="J83:N83"/>
    <mergeCell ref="J84:P85"/>
    <mergeCell ref="P75:P80"/>
    <mergeCell ref="B76:E76"/>
    <mergeCell ref="J76:M76"/>
    <mergeCell ref="B77:E77"/>
    <mergeCell ref="J77:M77"/>
    <mergeCell ref="B78:E78"/>
    <mergeCell ref="J78:M78"/>
    <mergeCell ref="B79:E79"/>
    <mergeCell ref="J79:M79"/>
    <mergeCell ref="B80:E80"/>
    <mergeCell ref="J73:M73"/>
    <mergeCell ref="B74:H74"/>
    <mergeCell ref="J74:M74"/>
    <mergeCell ref="B75:E75"/>
    <mergeCell ref="J75:M75"/>
    <mergeCell ref="O75:O80"/>
    <mergeCell ref="J80:M80"/>
    <mergeCell ref="B69:F69"/>
    <mergeCell ref="J69:N69"/>
    <mergeCell ref="B70:F70"/>
    <mergeCell ref="J70:N70"/>
    <mergeCell ref="B71:F71"/>
    <mergeCell ref="B72:H72"/>
    <mergeCell ref="J72:P72"/>
    <mergeCell ref="B66:E66"/>
    <mergeCell ref="J66:K66"/>
    <mergeCell ref="B67:E67"/>
    <mergeCell ref="J67:K67"/>
    <mergeCell ref="B68:E68"/>
    <mergeCell ref="J68:N68"/>
    <mergeCell ref="B63:E63"/>
    <mergeCell ref="J63:K63"/>
    <mergeCell ref="B64:E64"/>
    <mergeCell ref="J64:K64"/>
    <mergeCell ref="B65:E65"/>
    <mergeCell ref="J65:K65"/>
    <mergeCell ref="B60:E60"/>
    <mergeCell ref="J60:K60"/>
    <mergeCell ref="B61:E61"/>
    <mergeCell ref="J61:K61"/>
    <mergeCell ref="B62:E62"/>
    <mergeCell ref="J62:K62"/>
    <mergeCell ref="B57:E57"/>
    <mergeCell ref="J57:K57"/>
    <mergeCell ref="B58:E58"/>
    <mergeCell ref="J58:K58"/>
    <mergeCell ref="B59:E59"/>
    <mergeCell ref="J59:K59"/>
    <mergeCell ref="B54:E54"/>
    <mergeCell ref="J54:K54"/>
    <mergeCell ref="B55:E55"/>
    <mergeCell ref="J55:K55"/>
    <mergeCell ref="B56:E56"/>
    <mergeCell ref="J56:K56"/>
    <mergeCell ref="B51:E51"/>
    <mergeCell ref="J51:K51"/>
    <mergeCell ref="B52:E52"/>
    <mergeCell ref="J52:K52"/>
    <mergeCell ref="B53:E53"/>
    <mergeCell ref="J53:K53"/>
    <mergeCell ref="B48:E48"/>
    <mergeCell ref="J48:K48"/>
    <mergeCell ref="B49:E49"/>
    <mergeCell ref="J49:K49"/>
    <mergeCell ref="B50:E50"/>
    <mergeCell ref="J50:K50"/>
    <mergeCell ref="B44:E44"/>
    <mergeCell ref="B45:E45"/>
    <mergeCell ref="J45:P45"/>
    <mergeCell ref="B46:E46"/>
    <mergeCell ref="J46:M46"/>
    <mergeCell ref="B47:E47"/>
    <mergeCell ref="J47:K47"/>
    <mergeCell ref="B41:E41"/>
    <mergeCell ref="J41:N41"/>
    <mergeCell ref="B42:E42"/>
    <mergeCell ref="J42:N42"/>
    <mergeCell ref="B43:E43"/>
    <mergeCell ref="J43:N43"/>
    <mergeCell ref="B38:E38"/>
    <mergeCell ref="J38:M38"/>
    <mergeCell ref="B39:E39"/>
    <mergeCell ref="J39:M39"/>
    <mergeCell ref="B40:E40"/>
    <mergeCell ref="J40:M40"/>
    <mergeCell ref="B35:E35"/>
    <mergeCell ref="J35:M35"/>
    <mergeCell ref="B36:E36"/>
    <mergeCell ref="J36:M36"/>
    <mergeCell ref="B37:E37"/>
    <mergeCell ref="J37:M37"/>
    <mergeCell ref="B32:E32"/>
    <mergeCell ref="J32:M32"/>
    <mergeCell ref="B33:E33"/>
    <mergeCell ref="J33:M33"/>
    <mergeCell ref="B34:E34"/>
    <mergeCell ref="J34:M34"/>
    <mergeCell ref="B29:E29"/>
    <mergeCell ref="J29:M29"/>
    <mergeCell ref="B30:E30"/>
    <mergeCell ref="J30:M30"/>
    <mergeCell ref="B31:E31"/>
    <mergeCell ref="J31:M31"/>
    <mergeCell ref="B25:F25"/>
    <mergeCell ref="J25:M25"/>
    <mergeCell ref="B26:F26"/>
    <mergeCell ref="J26:M26"/>
    <mergeCell ref="J27:M27"/>
    <mergeCell ref="B28:H28"/>
    <mergeCell ref="J28:M28"/>
    <mergeCell ref="B21:E21"/>
    <mergeCell ref="J21:N21"/>
    <mergeCell ref="B22:E22"/>
    <mergeCell ref="B23:E23"/>
    <mergeCell ref="J23:P23"/>
    <mergeCell ref="B24:F24"/>
    <mergeCell ref="J24:M24"/>
    <mergeCell ref="B18:E18"/>
    <mergeCell ref="J18:K18"/>
    <mergeCell ref="L18:M18"/>
    <mergeCell ref="B19:E19"/>
    <mergeCell ref="J19:N19"/>
    <mergeCell ref="B20:E20"/>
    <mergeCell ref="J20:N20"/>
    <mergeCell ref="B16:E16"/>
    <mergeCell ref="J16:K16"/>
    <mergeCell ref="L16:M16"/>
    <mergeCell ref="S16:U16"/>
    <mergeCell ref="W16:Y16"/>
    <mergeCell ref="B17:E17"/>
    <mergeCell ref="J17:K17"/>
    <mergeCell ref="L17:M17"/>
    <mergeCell ref="B13:E13"/>
    <mergeCell ref="J13:M13"/>
    <mergeCell ref="B14:E14"/>
    <mergeCell ref="J14:K14"/>
    <mergeCell ref="L14:M14"/>
    <mergeCell ref="B15:E15"/>
    <mergeCell ref="J15:K15"/>
    <mergeCell ref="L15:M15"/>
    <mergeCell ref="L8:M8"/>
    <mergeCell ref="L9:M9"/>
    <mergeCell ref="L10:M10"/>
    <mergeCell ref="B12:H12"/>
    <mergeCell ref="J12:P12"/>
    <mergeCell ref="S4:AC4"/>
    <mergeCell ref="L5:M5"/>
    <mergeCell ref="B6:E6"/>
    <mergeCell ref="L6:M6"/>
    <mergeCell ref="S6:U6"/>
    <mergeCell ref="W6:Y6"/>
    <mergeCell ref="AA6:AC6"/>
    <mergeCell ref="C2:F2"/>
    <mergeCell ref="J2:N2"/>
    <mergeCell ref="B3:E5"/>
    <mergeCell ref="L3:M3"/>
    <mergeCell ref="F4:F5"/>
    <mergeCell ref="G4:G5"/>
    <mergeCell ref="L4:M4"/>
    <mergeCell ref="B7:E7"/>
    <mergeCell ref="L7:M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E421-1809-48C6-9BCE-0C82A42D09A9}">
  <dimension ref="B1:S90"/>
  <sheetViews>
    <sheetView workbookViewId="0">
      <selection activeCell="G21" sqref="G21"/>
    </sheetView>
  </sheetViews>
  <sheetFormatPr defaultColWidth="8.7265625" defaultRowHeight="13" x14ac:dyDescent="0.3"/>
  <cols>
    <col min="1" max="1" width="2.81640625" style="246" customWidth="1"/>
    <col min="2" max="2" width="8.7265625" style="246"/>
    <col min="3" max="3" width="8.81640625" style="246" customWidth="1"/>
    <col min="4" max="4" width="8.7265625" style="246"/>
    <col min="5" max="5" width="4.1796875" style="246" customWidth="1"/>
    <col min="6" max="6" width="17.1796875" style="246" bestFit="1" customWidth="1"/>
    <col min="7" max="7" width="20.453125" style="246" customWidth="1"/>
    <col min="8" max="8" width="13.453125" style="246" bestFit="1" customWidth="1"/>
    <col min="9" max="9" width="1.81640625" style="246" customWidth="1"/>
    <col min="10" max="10" width="12.453125" style="246" bestFit="1" customWidth="1"/>
    <col min="11" max="11" width="10.1796875" style="246" customWidth="1"/>
    <col min="12" max="12" width="8.7265625" style="246"/>
    <col min="13" max="13" width="11.1796875" style="246" bestFit="1" customWidth="1"/>
    <col min="14" max="14" width="16.81640625" style="246" bestFit="1" customWidth="1"/>
    <col min="15" max="15" width="8.7265625" style="246"/>
    <col min="16" max="16" width="15.54296875" style="246" bestFit="1" customWidth="1"/>
    <col min="17" max="20" width="8.7265625" style="246"/>
    <col min="21" max="21" width="18.26953125" style="246" bestFit="1" customWidth="1"/>
    <col min="22" max="22" width="16.54296875" style="246" bestFit="1" customWidth="1"/>
    <col min="23" max="23" width="8.7265625" style="246"/>
    <col min="24" max="24" width="9.54296875" style="246" bestFit="1" customWidth="1"/>
    <col min="25" max="16384" width="8.7265625" style="246"/>
  </cols>
  <sheetData>
    <row r="1" spans="2:16" ht="13.5" thickBot="1" x14ac:dyDescent="0.35"/>
    <row r="2" spans="2:16" ht="19" thickBot="1" x14ac:dyDescent="0.35">
      <c r="C2" s="364" t="s">
        <v>518</v>
      </c>
      <c r="D2" s="365"/>
      <c r="E2" s="365"/>
      <c r="F2" s="366"/>
      <c r="J2" s="438" t="s">
        <v>178</v>
      </c>
      <c r="K2" s="439"/>
      <c r="L2" s="439"/>
      <c r="M2" s="439"/>
      <c r="N2" s="440"/>
    </row>
    <row r="3" spans="2:16" x14ac:dyDescent="0.3">
      <c r="B3" s="441" t="s">
        <v>374</v>
      </c>
      <c r="C3" s="442"/>
      <c r="D3" s="442"/>
      <c r="E3" s="443"/>
      <c r="F3" s="247" t="s">
        <v>180</v>
      </c>
      <c r="G3" s="248" t="s">
        <v>52</v>
      </c>
      <c r="J3" s="249" t="s">
        <v>181</v>
      </c>
      <c r="K3" s="250" t="s">
        <v>180</v>
      </c>
      <c r="L3" s="450" t="s">
        <v>52</v>
      </c>
      <c r="M3" s="450"/>
      <c r="N3" s="251" t="s">
        <v>182</v>
      </c>
      <c r="O3" s="252"/>
    </row>
    <row r="4" spans="2:16" ht="13" customHeight="1" x14ac:dyDescent="0.35">
      <c r="B4" s="444"/>
      <c r="C4" s="445"/>
      <c r="D4" s="445"/>
      <c r="E4" s="446"/>
      <c r="F4" s="380">
        <v>13807</v>
      </c>
      <c r="G4" s="382">
        <v>1984997.0699999998</v>
      </c>
      <c r="J4" s="253" t="s">
        <v>34</v>
      </c>
      <c r="K4" s="254">
        <v>1522</v>
      </c>
      <c r="L4" s="390">
        <v>93229.08</v>
      </c>
      <c r="M4" s="391"/>
      <c r="N4" s="255">
        <v>1.4027637260950032</v>
      </c>
    </row>
    <row r="5" spans="2:16" ht="13" customHeight="1" x14ac:dyDescent="0.35">
      <c r="B5" s="447"/>
      <c r="C5" s="448"/>
      <c r="D5" s="448"/>
      <c r="E5" s="449"/>
      <c r="F5" s="381"/>
      <c r="G5" s="383"/>
      <c r="J5" s="256" t="s">
        <v>33</v>
      </c>
      <c r="K5" s="257">
        <v>2371</v>
      </c>
      <c r="L5" s="388">
        <v>241714.75999999995</v>
      </c>
      <c r="M5" s="389"/>
      <c r="N5" s="258">
        <v>0.84677307026701309</v>
      </c>
    </row>
    <row r="6" spans="2:16" ht="13" customHeight="1" x14ac:dyDescent="0.35">
      <c r="B6" s="397" t="s">
        <v>183</v>
      </c>
      <c r="C6" s="398"/>
      <c r="D6" s="398"/>
      <c r="E6" s="399"/>
      <c r="F6" s="259">
        <v>10936</v>
      </c>
      <c r="G6" s="302">
        <v>1424733</v>
      </c>
      <c r="J6" s="253" t="s">
        <v>184</v>
      </c>
      <c r="K6" s="254">
        <v>1538</v>
      </c>
      <c r="L6" s="390">
        <v>275723.24</v>
      </c>
      <c r="M6" s="391"/>
      <c r="N6" s="255">
        <v>1.11680839257144</v>
      </c>
    </row>
    <row r="7" spans="2:16" ht="15" thickBot="1" x14ac:dyDescent="0.4">
      <c r="B7" s="386" t="s">
        <v>185</v>
      </c>
      <c r="C7" s="387"/>
      <c r="D7" s="387"/>
      <c r="E7" s="387"/>
      <c r="F7" s="261">
        <v>1.2625274323335771</v>
      </c>
      <c r="G7" s="262">
        <v>1.3932414494505285</v>
      </c>
      <c r="J7" s="256" t="s">
        <v>186</v>
      </c>
      <c r="K7" s="257">
        <v>5</v>
      </c>
      <c r="L7" s="388">
        <v>361.9</v>
      </c>
      <c r="M7" s="389"/>
      <c r="N7" s="263">
        <v>0.7850325379609544</v>
      </c>
    </row>
    <row r="8" spans="2:16" ht="19" customHeight="1" x14ac:dyDescent="0.35">
      <c r="B8" s="264"/>
      <c r="C8" s="264"/>
      <c r="D8" s="264"/>
      <c r="E8" s="264"/>
      <c r="F8" s="265"/>
      <c r="G8" s="265"/>
      <c r="J8" s="253" t="s">
        <v>187</v>
      </c>
      <c r="K8" s="254">
        <v>11</v>
      </c>
      <c r="L8" s="390">
        <v>1918.5</v>
      </c>
      <c r="M8" s="391"/>
      <c r="N8" s="266">
        <v>6.2963570725303578E-2</v>
      </c>
    </row>
    <row r="9" spans="2:16" ht="14.5" x14ac:dyDescent="0.35">
      <c r="B9" s="264"/>
      <c r="C9" s="264"/>
      <c r="D9" s="264"/>
      <c r="E9" s="264"/>
      <c r="F9" s="265"/>
      <c r="G9" s="265"/>
      <c r="J9" s="267" t="s">
        <v>36</v>
      </c>
      <c r="K9" s="268">
        <v>7908</v>
      </c>
      <c r="L9" s="388">
        <v>1336406.1099999999</v>
      </c>
      <c r="M9" s="389"/>
      <c r="N9" s="269">
        <v>1.6810097458874316</v>
      </c>
    </row>
    <row r="10" spans="2:16" ht="15" thickBot="1" x14ac:dyDescent="0.4">
      <c r="B10" s="264"/>
      <c r="C10" s="264"/>
      <c r="D10" s="264"/>
      <c r="E10" s="264"/>
      <c r="F10" s="265"/>
      <c r="G10" s="265"/>
      <c r="J10" s="303" t="s">
        <v>188</v>
      </c>
      <c r="K10" s="304">
        <v>452</v>
      </c>
      <c r="L10" s="392">
        <v>35643.480000000003</v>
      </c>
      <c r="M10" s="393"/>
      <c r="N10" s="305" t="s">
        <v>163</v>
      </c>
    </row>
    <row r="11" spans="2:16" ht="13.5" thickBot="1" x14ac:dyDescent="0.35"/>
    <row r="12" spans="2:16" ht="19" thickBot="1" x14ac:dyDescent="0.35">
      <c r="B12" s="394" t="s">
        <v>34</v>
      </c>
      <c r="C12" s="395"/>
      <c r="D12" s="395"/>
      <c r="E12" s="395"/>
      <c r="F12" s="395"/>
      <c r="G12" s="395"/>
      <c r="H12" s="396"/>
      <c r="J12" s="394" t="s">
        <v>189</v>
      </c>
      <c r="K12" s="395"/>
      <c r="L12" s="395"/>
      <c r="M12" s="395"/>
      <c r="N12" s="395"/>
      <c r="O12" s="395"/>
      <c r="P12" s="396"/>
    </row>
    <row r="13" spans="2:16" ht="13.5" thickBot="1" x14ac:dyDescent="0.35">
      <c r="B13" s="405" t="s">
        <v>190</v>
      </c>
      <c r="C13" s="406"/>
      <c r="D13" s="406"/>
      <c r="E13" s="406"/>
      <c r="F13" s="274" t="s">
        <v>191</v>
      </c>
      <c r="G13" s="274" t="s">
        <v>192</v>
      </c>
      <c r="H13" s="275" t="s">
        <v>50</v>
      </c>
      <c r="J13" s="405" t="s">
        <v>190</v>
      </c>
      <c r="K13" s="406"/>
      <c r="L13" s="406"/>
      <c r="M13" s="406"/>
      <c r="N13" s="274" t="s">
        <v>191</v>
      </c>
      <c r="O13" s="274" t="s">
        <v>192</v>
      </c>
      <c r="P13" s="275" t="s">
        <v>50</v>
      </c>
    </row>
    <row r="14" spans="2:16" ht="13" customHeight="1" x14ac:dyDescent="0.3">
      <c r="B14" s="407" t="s">
        <v>375</v>
      </c>
      <c r="C14" s="408"/>
      <c r="D14" s="408"/>
      <c r="E14" s="408"/>
      <c r="F14" s="246" t="s">
        <v>376</v>
      </c>
      <c r="G14" s="277">
        <v>4</v>
      </c>
      <c r="H14" s="278">
        <v>114.75</v>
      </c>
      <c r="J14" s="407" t="s">
        <v>377</v>
      </c>
      <c r="K14" s="408"/>
      <c r="L14" s="408" t="s">
        <v>378</v>
      </c>
      <c r="M14" s="408"/>
      <c r="N14" s="246" t="s">
        <v>379</v>
      </c>
      <c r="O14" s="277">
        <v>279</v>
      </c>
      <c r="P14" s="278">
        <v>51245.58</v>
      </c>
    </row>
    <row r="15" spans="2:16" ht="13" customHeight="1" x14ac:dyDescent="0.3">
      <c r="B15" s="403" t="s">
        <v>380</v>
      </c>
      <c r="C15" s="404"/>
      <c r="D15" s="404"/>
      <c r="E15" s="404"/>
      <c r="F15" s="246" t="s">
        <v>381</v>
      </c>
      <c r="G15" s="277">
        <v>49</v>
      </c>
      <c r="H15" s="278">
        <v>2794.4400000000005</v>
      </c>
      <c r="J15" s="403" t="s">
        <v>382</v>
      </c>
      <c r="K15" s="404"/>
      <c r="L15" s="404" t="s">
        <v>383</v>
      </c>
      <c r="M15" s="404"/>
      <c r="N15" s="246" t="s">
        <v>384</v>
      </c>
      <c r="O15" s="277">
        <v>188</v>
      </c>
      <c r="P15" s="278">
        <v>36792.94</v>
      </c>
    </row>
    <row r="16" spans="2:16" ht="13" customHeight="1" x14ac:dyDescent="0.3">
      <c r="B16" s="403" t="s">
        <v>385</v>
      </c>
      <c r="C16" s="404"/>
      <c r="D16" s="404"/>
      <c r="E16" s="404"/>
      <c r="F16" s="246" t="s">
        <v>386</v>
      </c>
      <c r="G16" s="277">
        <v>224</v>
      </c>
      <c r="H16" s="278">
        <v>18953.7</v>
      </c>
      <c r="J16" s="403" t="s">
        <v>387</v>
      </c>
      <c r="K16" s="404"/>
      <c r="L16" s="404" t="s">
        <v>388</v>
      </c>
      <c r="M16" s="404"/>
      <c r="N16" s="246" t="s">
        <v>389</v>
      </c>
      <c r="O16" s="277">
        <v>268</v>
      </c>
      <c r="P16" s="278">
        <v>45557.770000000011</v>
      </c>
    </row>
    <row r="17" spans="2:16" ht="13" customHeight="1" x14ac:dyDescent="0.3">
      <c r="B17" s="403" t="s">
        <v>390</v>
      </c>
      <c r="C17" s="404"/>
      <c r="D17" s="404"/>
      <c r="E17" s="404"/>
      <c r="F17" s="246" t="s">
        <v>391</v>
      </c>
      <c r="G17" s="277">
        <v>568</v>
      </c>
      <c r="H17" s="278">
        <v>35185.85</v>
      </c>
      <c r="J17" s="403" t="s">
        <v>392</v>
      </c>
      <c r="K17" s="404"/>
      <c r="L17" s="404" t="s">
        <v>378</v>
      </c>
      <c r="M17" s="404"/>
      <c r="N17" s="246" t="s">
        <v>393</v>
      </c>
      <c r="O17" s="277">
        <v>583</v>
      </c>
      <c r="P17" s="278">
        <v>93034.94</v>
      </c>
    </row>
    <row r="18" spans="2:16" ht="13" customHeight="1" thickBot="1" x14ac:dyDescent="0.35">
      <c r="B18" s="403" t="s">
        <v>394</v>
      </c>
      <c r="C18" s="404"/>
      <c r="D18" s="404"/>
      <c r="E18" s="404"/>
      <c r="F18" s="246" t="s">
        <v>395</v>
      </c>
      <c r="G18" s="277">
        <v>125</v>
      </c>
      <c r="H18" s="278">
        <v>4984.75</v>
      </c>
      <c r="J18" s="403" t="s">
        <v>396</v>
      </c>
      <c r="K18" s="404"/>
      <c r="L18" s="404" t="s">
        <v>397</v>
      </c>
      <c r="M18" s="404"/>
      <c r="N18" s="246" t="s">
        <v>398</v>
      </c>
      <c r="O18" s="277">
        <v>220</v>
      </c>
      <c r="P18" s="278">
        <v>49092.009999999995</v>
      </c>
    </row>
    <row r="19" spans="2:16" ht="15.5" x14ac:dyDescent="0.3">
      <c r="B19" s="403" t="s">
        <v>399</v>
      </c>
      <c r="C19" s="404"/>
      <c r="D19" s="404"/>
      <c r="E19" s="404"/>
      <c r="F19" s="246" t="s">
        <v>400</v>
      </c>
      <c r="G19" s="277">
        <v>310</v>
      </c>
      <c r="H19" s="278">
        <v>15331.819999999998</v>
      </c>
      <c r="J19" s="409" t="s">
        <v>231</v>
      </c>
      <c r="K19" s="410"/>
      <c r="L19" s="410"/>
      <c r="M19" s="410"/>
      <c r="N19" s="410"/>
      <c r="O19" s="280">
        <v>1538</v>
      </c>
      <c r="P19" s="281">
        <v>275723.24</v>
      </c>
    </row>
    <row r="20" spans="2:16" ht="13" customHeight="1" x14ac:dyDescent="0.3">
      <c r="B20" s="403" t="s">
        <v>401</v>
      </c>
      <c r="C20" s="404"/>
      <c r="D20" s="404"/>
      <c r="E20" s="404"/>
      <c r="F20" s="246" t="s">
        <v>402</v>
      </c>
      <c r="G20" s="277">
        <v>28</v>
      </c>
      <c r="H20" s="278">
        <v>2298.5</v>
      </c>
      <c r="J20" s="413" t="s">
        <v>234</v>
      </c>
      <c r="K20" s="414"/>
      <c r="L20" s="414"/>
      <c r="M20" s="414"/>
      <c r="N20" s="414"/>
      <c r="O20" s="282">
        <v>1343</v>
      </c>
      <c r="P20" s="283">
        <v>246885</v>
      </c>
    </row>
    <row r="21" spans="2:16" ht="13" customHeight="1" thickBot="1" x14ac:dyDescent="0.35">
      <c r="B21" s="403" t="s">
        <v>403</v>
      </c>
      <c r="C21" s="404"/>
      <c r="D21" s="404"/>
      <c r="E21" s="404"/>
      <c r="F21" s="246" t="s">
        <v>404</v>
      </c>
      <c r="G21" s="277">
        <v>170</v>
      </c>
      <c r="H21" s="278">
        <v>10881.060000000001</v>
      </c>
      <c r="J21" s="386" t="s">
        <v>185</v>
      </c>
      <c r="K21" s="387"/>
      <c r="L21" s="387"/>
      <c r="M21" s="387"/>
      <c r="N21" s="387"/>
      <c r="O21" s="284">
        <v>1.1451973194341027</v>
      </c>
      <c r="P21" s="285">
        <v>1.11680839257144</v>
      </c>
    </row>
    <row r="22" spans="2:16" ht="13" customHeight="1" thickBot="1" x14ac:dyDescent="0.35">
      <c r="B22" s="403" t="s">
        <v>405</v>
      </c>
      <c r="C22" s="404"/>
      <c r="D22" s="404"/>
      <c r="E22" s="404"/>
      <c r="F22" s="246" t="s">
        <v>406</v>
      </c>
      <c r="G22" s="277">
        <v>3</v>
      </c>
      <c r="H22" s="278">
        <v>100.75</v>
      </c>
    </row>
    <row r="23" spans="2:16" ht="19" thickBot="1" x14ac:dyDescent="0.35">
      <c r="B23" s="403" t="s">
        <v>407</v>
      </c>
      <c r="C23" s="404"/>
      <c r="D23" s="404"/>
      <c r="E23" s="404"/>
      <c r="F23" s="246" t="s">
        <v>408</v>
      </c>
      <c r="G23" s="277">
        <v>41</v>
      </c>
      <c r="H23" s="278">
        <v>2583.46</v>
      </c>
      <c r="J23" s="394" t="s">
        <v>36</v>
      </c>
      <c r="K23" s="395"/>
      <c r="L23" s="395"/>
      <c r="M23" s="395"/>
      <c r="N23" s="395"/>
      <c r="O23" s="395"/>
      <c r="P23" s="396"/>
    </row>
    <row r="24" spans="2:16" ht="13" customHeight="1" thickBot="1" x14ac:dyDescent="0.35">
      <c r="B24" s="409" t="s">
        <v>247</v>
      </c>
      <c r="C24" s="410"/>
      <c r="D24" s="410"/>
      <c r="E24" s="410"/>
      <c r="F24" s="410"/>
      <c r="G24" s="280">
        <v>1522</v>
      </c>
      <c r="H24" s="281">
        <v>93229.08</v>
      </c>
      <c r="J24" s="405" t="s">
        <v>190</v>
      </c>
      <c r="K24" s="406"/>
      <c r="L24" s="406"/>
      <c r="M24" s="406"/>
      <c r="N24" s="274" t="s">
        <v>191</v>
      </c>
      <c r="O24" s="274" t="s">
        <v>192</v>
      </c>
      <c r="P24" s="275" t="s">
        <v>50</v>
      </c>
    </row>
    <row r="25" spans="2:16" ht="13" customHeight="1" x14ac:dyDescent="0.3">
      <c r="B25" s="413" t="s">
        <v>250</v>
      </c>
      <c r="C25" s="414"/>
      <c r="D25" s="414"/>
      <c r="E25" s="414"/>
      <c r="F25" s="414"/>
      <c r="G25" s="282">
        <v>1132</v>
      </c>
      <c r="H25" s="283">
        <v>66461</v>
      </c>
      <c r="J25" s="407" t="s">
        <v>245</v>
      </c>
      <c r="K25" s="408"/>
      <c r="L25" s="408"/>
      <c r="M25" s="408"/>
      <c r="N25" s="246" t="s">
        <v>409</v>
      </c>
      <c r="O25" s="277">
        <v>14</v>
      </c>
      <c r="P25" s="278">
        <v>1149.55</v>
      </c>
    </row>
    <row r="26" spans="2:16" ht="13" customHeight="1" thickBot="1" x14ac:dyDescent="0.35">
      <c r="B26" s="386" t="s">
        <v>185</v>
      </c>
      <c r="C26" s="387"/>
      <c r="D26" s="387"/>
      <c r="E26" s="387"/>
      <c r="F26" s="387"/>
      <c r="G26" s="284">
        <v>1.3445229681978799</v>
      </c>
      <c r="H26" s="285">
        <v>1.4027637260950032</v>
      </c>
      <c r="J26" s="403" t="s">
        <v>248</v>
      </c>
      <c r="K26" s="404"/>
      <c r="L26" s="404"/>
      <c r="M26" s="404"/>
      <c r="N26" s="246" t="s">
        <v>410</v>
      </c>
      <c r="O26" s="277">
        <v>222</v>
      </c>
      <c r="P26" s="278">
        <v>21531.629999999997</v>
      </c>
    </row>
    <row r="27" spans="2:16" ht="13.5" thickBot="1" x14ac:dyDescent="0.35">
      <c r="J27" s="403" t="s">
        <v>39</v>
      </c>
      <c r="K27" s="404"/>
      <c r="L27" s="404"/>
      <c r="M27" s="404"/>
      <c r="N27" s="246" t="s">
        <v>411</v>
      </c>
      <c r="O27" s="277">
        <v>3304</v>
      </c>
      <c r="P27" s="278">
        <v>533617.66</v>
      </c>
    </row>
    <row r="28" spans="2:16" ht="19" thickBot="1" x14ac:dyDescent="0.35">
      <c r="B28" s="394" t="s">
        <v>33</v>
      </c>
      <c r="C28" s="395"/>
      <c r="D28" s="395"/>
      <c r="E28" s="395"/>
      <c r="F28" s="395"/>
      <c r="G28" s="395"/>
      <c r="H28" s="396"/>
      <c r="J28" s="403" t="s">
        <v>74</v>
      </c>
      <c r="K28" s="404"/>
      <c r="L28" s="404"/>
      <c r="M28" s="404"/>
      <c r="N28" s="246" t="s">
        <v>412</v>
      </c>
      <c r="O28" s="277">
        <v>4</v>
      </c>
      <c r="P28" s="278">
        <v>2128.75</v>
      </c>
    </row>
    <row r="29" spans="2:16" ht="13.5" thickBot="1" x14ac:dyDescent="0.35">
      <c r="B29" s="405" t="s">
        <v>255</v>
      </c>
      <c r="C29" s="406"/>
      <c r="D29" s="406"/>
      <c r="E29" s="406"/>
      <c r="F29" s="274" t="s">
        <v>191</v>
      </c>
      <c r="G29" s="274" t="s">
        <v>192</v>
      </c>
      <c r="H29" s="275" t="s">
        <v>50</v>
      </c>
      <c r="J29" s="403" t="s">
        <v>40</v>
      </c>
      <c r="K29" s="404"/>
      <c r="L29" s="404"/>
      <c r="M29" s="404"/>
      <c r="N29" s="246" t="s">
        <v>413</v>
      </c>
      <c r="O29" s="277">
        <v>83</v>
      </c>
      <c r="P29" s="278">
        <v>10007.950000000001</v>
      </c>
    </row>
    <row r="30" spans="2:16" x14ac:dyDescent="0.3">
      <c r="B30" s="407" t="s">
        <v>414</v>
      </c>
      <c r="C30" s="408"/>
      <c r="D30" s="408"/>
      <c r="E30" s="408"/>
      <c r="F30" s="246" t="s">
        <v>415</v>
      </c>
      <c r="G30" s="277">
        <v>151</v>
      </c>
      <c r="H30" s="278">
        <v>12882.13</v>
      </c>
      <c r="J30" s="403" t="s">
        <v>75</v>
      </c>
      <c r="K30" s="404"/>
      <c r="L30" s="404"/>
      <c r="M30" s="404"/>
      <c r="N30" s="246" t="s">
        <v>416</v>
      </c>
      <c r="O30" s="277">
        <v>545</v>
      </c>
      <c r="P30" s="278">
        <v>53378.720000000008</v>
      </c>
    </row>
    <row r="31" spans="2:16" x14ac:dyDescent="0.3">
      <c r="B31" s="403" t="s">
        <v>414</v>
      </c>
      <c r="C31" s="404"/>
      <c r="D31" s="404"/>
      <c r="E31" s="404"/>
      <c r="F31" s="246" t="s">
        <v>417</v>
      </c>
      <c r="G31" s="277">
        <v>3</v>
      </c>
      <c r="H31" s="278">
        <v>105.15</v>
      </c>
      <c r="J31" s="403" t="s">
        <v>41</v>
      </c>
      <c r="K31" s="404"/>
      <c r="L31" s="404"/>
      <c r="M31" s="404"/>
      <c r="N31" s="246" t="s">
        <v>418</v>
      </c>
      <c r="O31" s="277">
        <v>0</v>
      </c>
      <c r="P31" s="278">
        <v>0</v>
      </c>
    </row>
    <row r="32" spans="2:16" x14ac:dyDescent="0.3">
      <c r="B32" s="403" t="s">
        <v>414</v>
      </c>
      <c r="C32" s="404"/>
      <c r="D32" s="404"/>
      <c r="E32" s="404"/>
      <c r="F32" s="246" t="s">
        <v>419</v>
      </c>
      <c r="G32" s="277">
        <v>5</v>
      </c>
      <c r="H32" s="278">
        <v>208.75</v>
      </c>
      <c r="J32" s="403" t="s">
        <v>76</v>
      </c>
      <c r="K32" s="404"/>
      <c r="L32" s="404"/>
      <c r="M32" s="404"/>
      <c r="N32" s="246" t="s">
        <v>420</v>
      </c>
      <c r="O32" s="277">
        <v>0</v>
      </c>
      <c r="P32" s="278">
        <v>0</v>
      </c>
    </row>
    <row r="33" spans="2:16" x14ac:dyDescent="0.3">
      <c r="B33" s="403" t="s">
        <v>421</v>
      </c>
      <c r="C33" s="404"/>
      <c r="D33" s="404"/>
      <c r="E33" s="404"/>
      <c r="F33" s="246" t="s">
        <v>422</v>
      </c>
      <c r="G33" s="277">
        <v>90</v>
      </c>
      <c r="H33" s="278">
        <v>10874.369999999999</v>
      </c>
      <c r="J33" s="403" t="s">
        <v>42</v>
      </c>
      <c r="K33" s="404"/>
      <c r="L33" s="404"/>
      <c r="M33" s="404"/>
      <c r="N33" s="246" t="s">
        <v>423</v>
      </c>
      <c r="O33" s="277">
        <v>0</v>
      </c>
      <c r="P33" s="278">
        <v>0</v>
      </c>
    </row>
    <row r="34" spans="2:16" x14ac:dyDescent="0.3">
      <c r="B34" s="403" t="s">
        <v>421</v>
      </c>
      <c r="C34" s="404"/>
      <c r="D34" s="404"/>
      <c r="E34" s="404"/>
      <c r="F34" s="246" t="s">
        <v>424</v>
      </c>
      <c r="G34" s="277">
        <v>8</v>
      </c>
      <c r="H34" s="278">
        <v>504.4</v>
      </c>
      <c r="J34" s="403" t="s">
        <v>77</v>
      </c>
      <c r="K34" s="404"/>
      <c r="L34" s="404"/>
      <c r="M34" s="404"/>
      <c r="N34" s="246" t="s">
        <v>425</v>
      </c>
      <c r="O34" s="277">
        <v>0</v>
      </c>
      <c r="P34" s="278">
        <v>0</v>
      </c>
    </row>
    <row r="35" spans="2:16" x14ac:dyDescent="0.3">
      <c r="B35" s="403" t="s">
        <v>426</v>
      </c>
      <c r="C35" s="404"/>
      <c r="D35" s="404"/>
      <c r="E35" s="404"/>
      <c r="F35" s="246" t="s">
        <v>427</v>
      </c>
      <c r="G35" s="277">
        <v>115</v>
      </c>
      <c r="H35" s="278">
        <v>9715.33</v>
      </c>
      <c r="J35" s="403" t="s">
        <v>43</v>
      </c>
      <c r="K35" s="404"/>
      <c r="L35" s="404"/>
      <c r="M35" s="404"/>
      <c r="N35" s="246" t="s">
        <v>428</v>
      </c>
      <c r="O35" s="277">
        <v>1874</v>
      </c>
      <c r="P35" s="278">
        <v>321274.98</v>
      </c>
    </row>
    <row r="36" spans="2:16" x14ac:dyDescent="0.3">
      <c r="B36" s="403" t="s">
        <v>426</v>
      </c>
      <c r="C36" s="404"/>
      <c r="D36" s="404"/>
      <c r="E36" s="404"/>
      <c r="F36" s="246" t="s">
        <v>429</v>
      </c>
      <c r="G36" s="277">
        <v>4</v>
      </c>
      <c r="H36" s="278">
        <v>253.75</v>
      </c>
      <c r="J36" s="403" t="s">
        <v>78</v>
      </c>
      <c r="K36" s="404"/>
      <c r="L36" s="404"/>
      <c r="M36" s="404"/>
      <c r="N36" s="246" t="s">
        <v>430</v>
      </c>
      <c r="O36" s="277">
        <v>176</v>
      </c>
      <c r="P36" s="278">
        <v>31121.119999999999</v>
      </c>
    </row>
    <row r="37" spans="2:16" x14ac:dyDescent="0.3">
      <c r="B37" s="403" t="s">
        <v>431</v>
      </c>
      <c r="C37" s="404"/>
      <c r="D37" s="404"/>
      <c r="E37" s="404"/>
      <c r="F37" s="246" t="s">
        <v>432</v>
      </c>
      <c r="G37" s="277">
        <v>113</v>
      </c>
      <c r="H37" s="278">
        <v>12394.31</v>
      </c>
      <c r="J37" s="403" t="s">
        <v>44</v>
      </c>
      <c r="K37" s="404"/>
      <c r="L37" s="404"/>
      <c r="M37" s="404"/>
      <c r="N37" s="246" t="s">
        <v>433</v>
      </c>
      <c r="O37" s="277">
        <v>125</v>
      </c>
      <c r="P37" s="278">
        <v>17378.560000000001</v>
      </c>
    </row>
    <row r="38" spans="2:16" x14ac:dyDescent="0.3">
      <c r="B38" s="403" t="s">
        <v>431</v>
      </c>
      <c r="C38" s="404"/>
      <c r="D38" s="404"/>
      <c r="E38" s="404"/>
      <c r="F38" s="246" t="s">
        <v>434</v>
      </c>
      <c r="G38" s="277">
        <v>4</v>
      </c>
      <c r="H38" s="278">
        <v>107.85</v>
      </c>
      <c r="J38" s="403" t="s">
        <v>79</v>
      </c>
      <c r="K38" s="404"/>
      <c r="L38" s="404"/>
      <c r="M38" s="404"/>
      <c r="N38" s="246" t="s">
        <v>435</v>
      </c>
      <c r="O38" s="277">
        <v>288</v>
      </c>
      <c r="P38" s="278">
        <v>69440.3</v>
      </c>
    </row>
    <row r="39" spans="2:16" ht="13.5" thickBot="1" x14ac:dyDescent="0.35">
      <c r="B39" s="403" t="s">
        <v>436</v>
      </c>
      <c r="C39" s="404"/>
      <c r="D39" s="404"/>
      <c r="E39" s="404"/>
      <c r="F39" s="246" t="s">
        <v>437</v>
      </c>
      <c r="G39" s="277">
        <v>373</v>
      </c>
      <c r="H39" s="278">
        <v>34482.25</v>
      </c>
      <c r="J39" s="403" t="s">
        <v>277</v>
      </c>
      <c r="K39" s="404"/>
      <c r="L39" s="404"/>
      <c r="M39" s="404"/>
      <c r="N39" s="246" t="s">
        <v>438</v>
      </c>
      <c r="O39" s="277">
        <v>1273</v>
      </c>
      <c r="P39" s="278">
        <v>275376.89</v>
      </c>
    </row>
    <row r="40" spans="2:16" ht="15.5" x14ac:dyDescent="0.3">
      <c r="B40" s="403" t="s">
        <v>436</v>
      </c>
      <c r="C40" s="404"/>
      <c r="D40" s="404"/>
      <c r="E40" s="404"/>
      <c r="F40" s="246" t="s">
        <v>439</v>
      </c>
      <c r="G40" s="277">
        <v>7</v>
      </c>
      <c r="H40" s="278">
        <v>406.75</v>
      </c>
      <c r="J40" s="409" t="s">
        <v>280</v>
      </c>
      <c r="K40" s="410"/>
      <c r="L40" s="410"/>
      <c r="M40" s="410"/>
      <c r="N40" s="410"/>
      <c r="O40" s="280">
        <v>7908</v>
      </c>
      <c r="P40" s="281">
        <v>1336406.1099999999</v>
      </c>
    </row>
    <row r="41" spans="2:16" x14ac:dyDescent="0.3">
      <c r="B41" s="403" t="s">
        <v>436</v>
      </c>
      <c r="C41" s="404"/>
      <c r="D41" s="404"/>
      <c r="E41" s="404"/>
      <c r="F41" s="246" t="s">
        <v>440</v>
      </c>
      <c r="G41" s="277">
        <v>13</v>
      </c>
      <c r="H41" s="278">
        <v>1199.05</v>
      </c>
      <c r="J41" s="413" t="s">
        <v>283</v>
      </c>
      <c r="K41" s="414"/>
      <c r="L41" s="414"/>
      <c r="M41" s="414"/>
      <c r="N41" s="414"/>
      <c r="O41" s="282">
        <v>5457</v>
      </c>
      <c r="P41" s="283">
        <v>795002</v>
      </c>
    </row>
    <row r="42" spans="2:16" ht="13.5" thickBot="1" x14ac:dyDescent="0.35">
      <c r="B42" s="403" t="s">
        <v>436</v>
      </c>
      <c r="C42" s="404"/>
      <c r="D42" s="404"/>
      <c r="E42" s="404"/>
      <c r="F42" s="246" t="s">
        <v>441</v>
      </c>
      <c r="G42" s="277">
        <v>2</v>
      </c>
      <c r="H42" s="278">
        <v>101.5</v>
      </c>
      <c r="J42" s="386" t="s">
        <v>185</v>
      </c>
      <c r="K42" s="387"/>
      <c r="L42" s="387"/>
      <c r="M42" s="387"/>
      <c r="N42" s="387"/>
      <c r="O42" s="284">
        <v>1.4491478834524465</v>
      </c>
      <c r="P42" s="285">
        <v>1.6810097458874316</v>
      </c>
    </row>
    <row r="43" spans="2:16" ht="13.5" thickBot="1" x14ac:dyDescent="0.35">
      <c r="B43" s="403" t="s">
        <v>442</v>
      </c>
      <c r="C43" s="404"/>
      <c r="D43" s="404"/>
      <c r="E43" s="404"/>
      <c r="F43" s="246" t="s">
        <v>443</v>
      </c>
      <c r="G43" s="277">
        <v>202</v>
      </c>
      <c r="H43" s="278">
        <v>19917.7</v>
      </c>
    </row>
    <row r="44" spans="2:16" ht="19" thickBot="1" x14ac:dyDescent="0.35">
      <c r="B44" s="403" t="s">
        <v>442</v>
      </c>
      <c r="C44" s="404"/>
      <c r="D44" s="404"/>
      <c r="E44" s="404"/>
      <c r="F44" s="246" t="s">
        <v>444</v>
      </c>
      <c r="G44" s="277">
        <v>9</v>
      </c>
      <c r="H44" s="278">
        <v>895.5</v>
      </c>
      <c r="J44" s="394" t="s">
        <v>288</v>
      </c>
      <c r="K44" s="395"/>
      <c r="L44" s="395"/>
      <c r="M44" s="395"/>
      <c r="N44" s="395"/>
      <c r="O44" s="395"/>
      <c r="P44" s="396"/>
    </row>
    <row r="45" spans="2:16" ht="13.5" thickBot="1" x14ac:dyDescent="0.35">
      <c r="B45" s="403" t="s">
        <v>445</v>
      </c>
      <c r="C45" s="404"/>
      <c r="D45" s="404"/>
      <c r="E45" s="404"/>
      <c r="F45" s="246" t="s">
        <v>446</v>
      </c>
      <c r="G45" s="277">
        <v>376</v>
      </c>
      <c r="H45" s="278">
        <v>41246.630000000005</v>
      </c>
      <c r="J45" s="405" t="s">
        <v>190</v>
      </c>
      <c r="K45" s="406"/>
      <c r="L45" s="406"/>
      <c r="M45" s="406"/>
      <c r="N45" s="274" t="s">
        <v>191</v>
      </c>
      <c r="O45" s="274" t="s">
        <v>192</v>
      </c>
      <c r="P45" s="275" t="s">
        <v>50</v>
      </c>
    </row>
    <row r="46" spans="2:16" x14ac:dyDescent="0.3">
      <c r="B46" s="403" t="s">
        <v>445</v>
      </c>
      <c r="C46" s="404"/>
      <c r="D46" s="404"/>
      <c r="E46" s="404"/>
      <c r="F46" s="246" t="s">
        <v>447</v>
      </c>
      <c r="G46" s="277">
        <v>11</v>
      </c>
      <c r="H46" s="278">
        <v>1542.1499999999999</v>
      </c>
      <c r="J46" s="407" t="s">
        <v>448</v>
      </c>
      <c r="K46" s="408"/>
      <c r="L46" s="408" t="s">
        <v>4</v>
      </c>
      <c r="M46" s="408"/>
      <c r="N46" s="246" t="s">
        <v>449</v>
      </c>
      <c r="O46" s="277">
        <v>0</v>
      </c>
      <c r="P46" s="278">
        <v>0</v>
      </c>
    </row>
    <row r="47" spans="2:16" x14ac:dyDescent="0.3">
      <c r="B47" s="403" t="s">
        <v>445</v>
      </c>
      <c r="C47" s="404"/>
      <c r="D47" s="404"/>
      <c r="E47" s="404"/>
      <c r="F47" s="246" t="s">
        <v>450</v>
      </c>
      <c r="G47" s="277">
        <v>17</v>
      </c>
      <c r="H47" s="278">
        <v>1206.9000000000001</v>
      </c>
      <c r="J47" s="403" t="s">
        <v>448</v>
      </c>
      <c r="K47" s="404"/>
      <c r="L47" s="404" t="s">
        <v>4</v>
      </c>
      <c r="M47" s="404"/>
      <c r="N47" s="246" t="s">
        <v>451</v>
      </c>
      <c r="O47" s="277">
        <v>0</v>
      </c>
      <c r="P47" s="278">
        <v>0</v>
      </c>
    </row>
    <row r="48" spans="2:16" x14ac:dyDescent="0.3">
      <c r="B48" s="403" t="s">
        <v>452</v>
      </c>
      <c r="C48" s="404"/>
      <c r="D48" s="404"/>
      <c r="E48" s="404"/>
      <c r="F48" s="246" t="s">
        <v>453</v>
      </c>
      <c r="G48" s="277">
        <v>282</v>
      </c>
      <c r="H48" s="278">
        <v>29886.61</v>
      </c>
      <c r="J48" s="403" t="s">
        <v>448</v>
      </c>
      <c r="K48" s="404"/>
      <c r="L48" s="404" t="s">
        <v>4</v>
      </c>
      <c r="M48" s="404"/>
      <c r="N48" s="246" t="s">
        <v>454</v>
      </c>
      <c r="O48" s="277">
        <v>0</v>
      </c>
      <c r="P48" s="278">
        <v>0</v>
      </c>
    </row>
    <row r="49" spans="2:16" x14ac:dyDescent="0.3">
      <c r="B49" s="403" t="s">
        <v>452</v>
      </c>
      <c r="C49" s="404"/>
      <c r="D49" s="404"/>
      <c r="E49" s="404"/>
      <c r="F49" s="246" t="s">
        <v>455</v>
      </c>
      <c r="G49" s="277">
        <v>20</v>
      </c>
      <c r="H49" s="278">
        <v>864.98</v>
      </c>
      <c r="J49" s="403" t="s">
        <v>456</v>
      </c>
      <c r="K49" s="404"/>
      <c r="L49" s="404" t="s">
        <v>4</v>
      </c>
      <c r="M49" s="404"/>
      <c r="N49" s="246" t="s">
        <v>457</v>
      </c>
      <c r="O49" s="277">
        <v>0</v>
      </c>
      <c r="P49" s="278">
        <v>0</v>
      </c>
    </row>
    <row r="50" spans="2:16" x14ac:dyDescent="0.3">
      <c r="B50" s="403" t="s">
        <v>458</v>
      </c>
      <c r="C50" s="404"/>
      <c r="D50" s="404"/>
      <c r="E50" s="404"/>
      <c r="F50" s="246" t="s">
        <v>459</v>
      </c>
      <c r="G50" s="277">
        <v>122</v>
      </c>
      <c r="H50" s="278">
        <v>9772.5500000000011</v>
      </c>
      <c r="J50" s="403" t="s">
        <v>456</v>
      </c>
      <c r="K50" s="404"/>
      <c r="L50" s="404" t="s">
        <v>4</v>
      </c>
      <c r="M50" s="404"/>
      <c r="N50" s="246" t="s">
        <v>460</v>
      </c>
      <c r="O50" s="277">
        <v>0</v>
      </c>
      <c r="P50" s="278">
        <v>0</v>
      </c>
    </row>
    <row r="51" spans="2:16" x14ac:dyDescent="0.3">
      <c r="B51" s="403" t="s">
        <v>458</v>
      </c>
      <c r="C51" s="404"/>
      <c r="D51" s="404"/>
      <c r="E51" s="404"/>
      <c r="F51" s="246" t="s">
        <v>461</v>
      </c>
      <c r="G51" s="277">
        <v>3</v>
      </c>
      <c r="H51" s="278">
        <v>463.5</v>
      </c>
      <c r="J51" s="403" t="s">
        <v>456</v>
      </c>
      <c r="K51" s="404"/>
      <c r="L51" s="404" t="s">
        <v>4</v>
      </c>
      <c r="M51" s="404"/>
      <c r="N51" s="246" t="s">
        <v>462</v>
      </c>
      <c r="O51" s="277">
        <v>0</v>
      </c>
      <c r="P51" s="278">
        <v>0</v>
      </c>
    </row>
    <row r="52" spans="2:16" x14ac:dyDescent="0.3">
      <c r="B52" s="403" t="s">
        <v>463</v>
      </c>
      <c r="C52" s="404"/>
      <c r="D52" s="404"/>
      <c r="E52" s="404"/>
      <c r="F52" s="246" t="s">
        <v>464</v>
      </c>
      <c r="G52" s="277">
        <v>77</v>
      </c>
      <c r="H52" s="278">
        <v>7905.4400000000005</v>
      </c>
      <c r="J52" s="403" t="s">
        <v>378</v>
      </c>
      <c r="K52" s="404"/>
      <c r="L52" s="404" t="s">
        <v>4</v>
      </c>
      <c r="M52" s="404"/>
      <c r="N52" s="246" t="s">
        <v>465</v>
      </c>
      <c r="O52" s="277">
        <v>0</v>
      </c>
      <c r="P52" s="278">
        <v>0</v>
      </c>
    </row>
    <row r="53" spans="2:16" x14ac:dyDescent="0.3">
      <c r="B53" s="403" t="s">
        <v>463</v>
      </c>
      <c r="C53" s="404"/>
      <c r="D53" s="404"/>
      <c r="E53" s="404"/>
      <c r="F53" s="246" t="s">
        <v>466</v>
      </c>
      <c r="G53" s="277">
        <v>5</v>
      </c>
      <c r="H53" s="278">
        <v>431.1</v>
      </c>
      <c r="J53" s="403" t="s">
        <v>378</v>
      </c>
      <c r="K53" s="404"/>
      <c r="L53" s="404" t="s">
        <v>4</v>
      </c>
      <c r="M53" s="404"/>
      <c r="N53" s="246" t="s">
        <v>467</v>
      </c>
      <c r="O53" s="277">
        <v>1</v>
      </c>
      <c r="P53" s="278">
        <v>75</v>
      </c>
    </row>
    <row r="54" spans="2:16" x14ac:dyDescent="0.3">
      <c r="B54" s="403" t="s">
        <v>463</v>
      </c>
      <c r="C54" s="404"/>
      <c r="D54" s="404"/>
      <c r="E54" s="404"/>
      <c r="F54" s="246" t="s">
        <v>468</v>
      </c>
      <c r="G54" s="277">
        <v>1</v>
      </c>
      <c r="H54" s="278">
        <v>150</v>
      </c>
      <c r="J54" s="403" t="s">
        <v>378</v>
      </c>
      <c r="K54" s="404"/>
      <c r="L54" s="404" t="s">
        <v>4</v>
      </c>
      <c r="M54" s="404"/>
      <c r="N54" s="246" t="s">
        <v>469</v>
      </c>
      <c r="O54" s="277">
        <v>1</v>
      </c>
      <c r="P54" s="278">
        <v>15.45</v>
      </c>
    </row>
    <row r="55" spans="2:16" x14ac:dyDescent="0.3">
      <c r="B55" s="403" t="s">
        <v>470</v>
      </c>
      <c r="C55" s="404"/>
      <c r="D55" s="404"/>
      <c r="E55" s="404"/>
      <c r="F55" s="246" t="s">
        <v>471</v>
      </c>
      <c r="G55" s="277">
        <v>99</v>
      </c>
      <c r="H55" s="278">
        <v>11006.56</v>
      </c>
      <c r="J55" s="403" t="s">
        <v>448</v>
      </c>
      <c r="K55" s="404"/>
      <c r="L55" s="404" t="s">
        <v>308</v>
      </c>
      <c r="M55" s="404"/>
      <c r="N55" s="246" t="s">
        <v>472</v>
      </c>
      <c r="O55" s="277">
        <v>0</v>
      </c>
      <c r="P55" s="278">
        <v>0</v>
      </c>
    </row>
    <row r="56" spans="2:16" x14ac:dyDescent="0.3">
      <c r="B56" s="403" t="s">
        <v>470</v>
      </c>
      <c r="C56" s="404"/>
      <c r="D56" s="404"/>
      <c r="E56" s="404"/>
      <c r="F56" s="246" t="s">
        <v>473</v>
      </c>
      <c r="G56" s="277">
        <v>4</v>
      </c>
      <c r="H56" s="278">
        <v>149.80000000000001</v>
      </c>
      <c r="J56" s="403" t="s">
        <v>448</v>
      </c>
      <c r="K56" s="404"/>
      <c r="L56" s="404" t="s">
        <v>308</v>
      </c>
      <c r="M56" s="404"/>
      <c r="N56" s="246" t="s">
        <v>474</v>
      </c>
      <c r="O56" s="277">
        <v>0</v>
      </c>
      <c r="P56" s="278">
        <v>0</v>
      </c>
    </row>
    <row r="57" spans="2:16" x14ac:dyDescent="0.3">
      <c r="B57" s="403" t="s">
        <v>475</v>
      </c>
      <c r="C57" s="404"/>
      <c r="D57" s="404"/>
      <c r="E57" s="404"/>
      <c r="F57" s="246" t="s">
        <v>476</v>
      </c>
      <c r="G57" s="277">
        <v>122</v>
      </c>
      <c r="H57" s="278">
        <v>22617.35</v>
      </c>
      <c r="J57" s="403" t="s">
        <v>448</v>
      </c>
      <c r="K57" s="404"/>
      <c r="L57" s="404" t="s">
        <v>308</v>
      </c>
      <c r="M57" s="404"/>
      <c r="N57" s="246" t="s">
        <v>477</v>
      </c>
      <c r="O57" s="277">
        <v>0</v>
      </c>
      <c r="P57" s="278">
        <v>0</v>
      </c>
    </row>
    <row r="58" spans="2:16" x14ac:dyDescent="0.3">
      <c r="B58" s="403" t="s">
        <v>475</v>
      </c>
      <c r="C58" s="404"/>
      <c r="D58" s="404"/>
      <c r="E58" s="404"/>
      <c r="F58" s="246" t="s">
        <v>478</v>
      </c>
      <c r="G58" s="277">
        <v>10</v>
      </c>
      <c r="H58" s="278">
        <v>592</v>
      </c>
      <c r="J58" s="403" t="s">
        <v>456</v>
      </c>
      <c r="K58" s="404"/>
      <c r="L58" s="404" t="s">
        <v>308</v>
      </c>
      <c r="M58" s="404"/>
      <c r="N58" s="246" t="s">
        <v>479</v>
      </c>
      <c r="O58" s="277">
        <v>1</v>
      </c>
      <c r="P58" s="278">
        <v>180.25</v>
      </c>
    </row>
    <row r="59" spans="2:16" x14ac:dyDescent="0.3">
      <c r="B59" s="403" t="s">
        <v>480</v>
      </c>
      <c r="C59" s="404"/>
      <c r="D59" s="404"/>
      <c r="E59" s="404"/>
      <c r="F59" s="246" t="s">
        <v>481</v>
      </c>
      <c r="G59" s="277">
        <v>36</v>
      </c>
      <c r="H59" s="278">
        <v>2495.65</v>
      </c>
      <c r="J59" s="403" t="s">
        <v>456</v>
      </c>
      <c r="K59" s="404"/>
      <c r="L59" s="404" t="s">
        <v>308</v>
      </c>
      <c r="M59" s="404"/>
      <c r="N59" s="246" t="s">
        <v>482</v>
      </c>
      <c r="O59" s="277">
        <v>0</v>
      </c>
      <c r="P59" s="278">
        <v>0</v>
      </c>
    </row>
    <row r="60" spans="2:16" x14ac:dyDescent="0.3">
      <c r="B60" s="403" t="s">
        <v>480</v>
      </c>
      <c r="C60" s="404"/>
      <c r="D60" s="404"/>
      <c r="E60" s="404"/>
      <c r="F60" s="246" t="s">
        <v>483</v>
      </c>
      <c r="G60" s="277">
        <v>3</v>
      </c>
      <c r="H60" s="278">
        <v>71.5</v>
      </c>
      <c r="J60" s="403" t="s">
        <v>456</v>
      </c>
      <c r="K60" s="404"/>
      <c r="L60" s="404" t="s">
        <v>308</v>
      </c>
      <c r="M60" s="404"/>
      <c r="N60" s="246" t="s">
        <v>484</v>
      </c>
      <c r="O60" s="277">
        <v>0</v>
      </c>
      <c r="P60" s="278">
        <v>0</v>
      </c>
    </row>
    <row r="61" spans="2:16" x14ac:dyDescent="0.3">
      <c r="B61" s="403" t="s">
        <v>485</v>
      </c>
      <c r="C61" s="404"/>
      <c r="D61" s="404"/>
      <c r="E61" s="404"/>
      <c r="F61" s="246" t="s">
        <v>486</v>
      </c>
      <c r="G61" s="277">
        <v>74</v>
      </c>
      <c r="H61" s="278">
        <v>6506.3</v>
      </c>
      <c r="J61" s="403" t="s">
        <v>378</v>
      </c>
      <c r="K61" s="404"/>
      <c r="L61" s="404" t="s">
        <v>308</v>
      </c>
      <c r="M61" s="404"/>
      <c r="N61" s="246" t="s">
        <v>487</v>
      </c>
      <c r="O61" s="277">
        <v>0</v>
      </c>
      <c r="P61" s="278">
        <v>0</v>
      </c>
    </row>
    <row r="62" spans="2:16" x14ac:dyDescent="0.3">
      <c r="B62" s="403" t="s">
        <v>485</v>
      </c>
      <c r="C62" s="404"/>
      <c r="D62" s="404"/>
      <c r="E62" s="404"/>
      <c r="F62" s="246" t="s">
        <v>488</v>
      </c>
      <c r="G62" s="277">
        <v>5</v>
      </c>
      <c r="H62" s="278">
        <v>298.7</v>
      </c>
      <c r="J62" s="403" t="s">
        <v>378</v>
      </c>
      <c r="K62" s="404"/>
      <c r="L62" s="404" t="s">
        <v>308</v>
      </c>
      <c r="M62" s="404"/>
      <c r="N62" s="246" t="s">
        <v>489</v>
      </c>
      <c r="O62" s="277">
        <v>0</v>
      </c>
      <c r="P62" s="278">
        <v>0</v>
      </c>
    </row>
    <row r="63" spans="2:16" x14ac:dyDescent="0.3">
      <c r="B63" s="403" t="s">
        <v>485</v>
      </c>
      <c r="C63" s="404"/>
      <c r="D63" s="404"/>
      <c r="E63" s="404"/>
      <c r="F63" s="246" t="s">
        <v>490</v>
      </c>
      <c r="G63" s="277">
        <v>5</v>
      </c>
      <c r="H63" s="278">
        <v>458.25</v>
      </c>
      <c r="J63" s="403" t="s">
        <v>378</v>
      </c>
      <c r="K63" s="404"/>
      <c r="L63" s="404" t="s">
        <v>308</v>
      </c>
      <c r="M63" s="404"/>
      <c r="N63" s="246" t="s">
        <v>491</v>
      </c>
      <c r="O63" s="277">
        <v>1</v>
      </c>
      <c r="P63" s="278">
        <v>50</v>
      </c>
    </row>
    <row r="64" spans="2:16" ht="13.5" thickBot="1" x14ac:dyDescent="0.35">
      <c r="B64" s="403" t="s">
        <v>492</v>
      </c>
      <c r="C64" s="404"/>
      <c r="D64" s="404"/>
      <c r="E64" s="404"/>
      <c r="F64" s="246" t="s">
        <v>493</v>
      </c>
      <c r="G64" s="277">
        <v>0</v>
      </c>
      <c r="H64" s="278">
        <v>0</v>
      </c>
      <c r="J64" s="403" t="s">
        <v>494</v>
      </c>
      <c r="K64" s="404"/>
      <c r="L64" s="404" t="s">
        <v>323</v>
      </c>
      <c r="M64" s="404"/>
      <c r="N64" s="246" t="s">
        <v>495</v>
      </c>
      <c r="O64" s="277">
        <v>0</v>
      </c>
      <c r="P64" s="278">
        <v>0</v>
      </c>
    </row>
    <row r="65" spans="2:19" ht="16" thickBot="1" x14ac:dyDescent="0.35">
      <c r="B65" s="415" t="s">
        <v>355</v>
      </c>
      <c r="C65" s="416"/>
      <c r="D65" s="416"/>
      <c r="E65" s="416"/>
      <c r="F65" s="416"/>
      <c r="G65" s="286">
        <v>2371</v>
      </c>
      <c r="H65" s="287">
        <v>241714.75999999995</v>
      </c>
      <c r="J65" s="403" t="s">
        <v>494</v>
      </c>
      <c r="K65" s="404"/>
      <c r="L65" s="404" t="s">
        <v>323</v>
      </c>
      <c r="M65" s="404"/>
      <c r="N65" s="246" t="s">
        <v>496</v>
      </c>
      <c r="O65" s="277">
        <v>0</v>
      </c>
      <c r="P65" s="278">
        <v>0</v>
      </c>
    </row>
    <row r="66" spans="2:19" ht="13.5" thickBot="1" x14ac:dyDescent="0.35">
      <c r="B66" s="420" t="s">
        <v>356</v>
      </c>
      <c r="C66" s="421"/>
      <c r="D66" s="421"/>
      <c r="E66" s="421"/>
      <c r="F66" s="421"/>
      <c r="G66" s="288">
        <v>2767</v>
      </c>
      <c r="H66" s="289">
        <v>285454</v>
      </c>
      <c r="J66" s="403" t="s">
        <v>494</v>
      </c>
      <c r="K66" s="404"/>
      <c r="L66" s="404" t="s">
        <v>323</v>
      </c>
      <c r="M66" s="404"/>
      <c r="N66" s="246" t="s">
        <v>497</v>
      </c>
      <c r="O66" s="277">
        <v>0</v>
      </c>
      <c r="P66" s="278">
        <v>0</v>
      </c>
    </row>
    <row r="67" spans="2:19" ht="13.5" thickBot="1" x14ac:dyDescent="0.35">
      <c r="B67" s="422" t="s">
        <v>185</v>
      </c>
      <c r="C67" s="423"/>
      <c r="D67" s="423"/>
      <c r="E67" s="423"/>
      <c r="F67" s="423"/>
      <c r="G67" s="290">
        <v>0.8568847126852186</v>
      </c>
      <c r="H67" s="291">
        <v>0.84677307026701309</v>
      </c>
      <c r="J67" s="403" t="s">
        <v>494</v>
      </c>
      <c r="K67" s="404"/>
      <c r="L67" s="404" t="s">
        <v>332</v>
      </c>
      <c r="M67" s="404"/>
      <c r="N67" s="246" t="s">
        <v>498</v>
      </c>
      <c r="O67" s="277">
        <v>0</v>
      </c>
      <c r="P67" s="278">
        <v>0</v>
      </c>
    </row>
    <row r="68" spans="2:19" ht="13.5" thickBot="1" x14ac:dyDescent="0.35">
      <c r="B68" s="424" t="s">
        <v>357</v>
      </c>
      <c r="C68" s="425"/>
      <c r="D68" s="425"/>
      <c r="E68" s="425"/>
      <c r="F68" s="425"/>
      <c r="G68" s="425"/>
      <c r="H68" s="426"/>
      <c r="J68" s="403" t="s">
        <v>494</v>
      </c>
      <c r="K68" s="404"/>
      <c r="L68" s="404" t="s">
        <v>332</v>
      </c>
      <c r="M68" s="404"/>
      <c r="N68" s="246" t="s">
        <v>499</v>
      </c>
      <c r="O68" s="277">
        <v>0</v>
      </c>
      <c r="P68" s="278">
        <v>0</v>
      </c>
    </row>
    <row r="69" spans="2:19" ht="13.5" thickBot="1" x14ac:dyDescent="0.35">
      <c r="J69" s="403" t="s">
        <v>494</v>
      </c>
      <c r="K69" s="404"/>
      <c r="L69" s="404" t="s">
        <v>332</v>
      </c>
      <c r="M69" s="404"/>
      <c r="N69" s="246" t="s">
        <v>500</v>
      </c>
      <c r="O69" s="277">
        <v>0</v>
      </c>
      <c r="P69" s="278">
        <v>0</v>
      </c>
    </row>
    <row r="70" spans="2:19" ht="19" thickBot="1" x14ac:dyDescent="0.35">
      <c r="B70" s="394" t="s">
        <v>362</v>
      </c>
      <c r="C70" s="395"/>
      <c r="D70" s="395"/>
      <c r="E70" s="395"/>
      <c r="F70" s="395"/>
      <c r="G70" s="395"/>
      <c r="H70" s="396"/>
      <c r="J70" s="403" t="s">
        <v>501</v>
      </c>
      <c r="K70" s="404"/>
      <c r="L70" s="404" t="s">
        <v>341</v>
      </c>
      <c r="M70" s="404"/>
      <c r="N70" s="246" t="s">
        <v>502</v>
      </c>
      <c r="O70" s="277">
        <v>0</v>
      </c>
      <c r="P70" s="278">
        <v>0</v>
      </c>
    </row>
    <row r="71" spans="2:19" ht="13.5" thickBot="1" x14ac:dyDescent="0.35">
      <c r="B71" s="405" t="s">
        <v>190</v>
      </c>
      <c r="C71" s="406"/>
      <c r="D71" s="406"/>
      <c r="E71" s="406"/>
      <c r="F71" s="274" t="s">
        <v>191</v>
      </c>
      <c r="G71" s="274" t="s">
        <v>192</v>
      </c>
      <c r="H71" s="275" t="s">
        <v>50</v>
      </c>
      <c r="J71" s="403" t="s">
        <v>503</v>
      </c>
      <c r="K71" s="404"/>
      <c r="L71" s="404" t="s">
        <v>341</v>
      </c>
      <c r="M71" s="404"/>
      <c r="N71" s="246" t="s">
        <v>504</v>
      </c>
      <c r="O71" s="277">
        <v>1</v>
      </c>
      <c r="P71" s="278">
        <v>41.2</v>
      </c>
    </row>
    <row r="72" spans="2:19" ht="13.5" thickBot="1" x14ac:dyDescent="0.35">
      <c r="B72" s="407" t="s">
        <v>505</v>
      </c>
      <c r="C72" s="408"/>
      <c r="D72" s="408"/>
      <c r="E72" s="408"/>
      <c r="F72" s="246" t="s">
        <v>506</v>
      </c>
      <c r="G72" s="277">
        <v>311</v>
      </c>
      <c r="H72" s="278">
        <v>25093.61</v>
      </c>
      <c r="J72" s="411" t="s">
        <v>507</v>
      </c>
      <c r="K72" s="412"/>
      <c r="L72" s="412" t="s">
        <v>341</v>
      </c>
      <c r="M72" s="412"/>
      <c r="N72" s="246" t="s">
        <v>508</v>
      </c>
      <c r="O72" s="277">
        <v>0</v>
      </c>
      <c r="P72" s="278">
        <v>0</v>
      </c>
    </row>
    <row r="73" spans="2:19" ht="16" thickBot="1" x14ac:dyDescent="0.35">
      <c r="B73" s="403" t="s">
        <v>505</v>
      </c>
      <c r="C73" s="404"/>
      <c r="D73" s="404"/>
      <c r="E73" s="404"/>
      <c r="F73" s="246" t="s">
        <v>509</v>
      </c>
      <c r="G73" s="277">
        <v>5</v>
      </c>
      <c r="H73" s="278">
        <v>240.25</v>
      </c>
      <c r="J73" s="415" t="s">
        <v>350</v>
      </c>
      <c r="K73" s="416"/>
      <c r="L73" s="416"/>
      <c r="M73" s="416"/>
      <c r="N73" s="416"/>
      <c r="O73" s="286">
        <v>5</v>
      </c>
      <c r="P73" s="287">
        <v>361.9</v>
      </c>
    </row>
    <row r="74" spans="2:19" x14ac:dyDescent="0.3">
      <c r="B74" s="403" t="s">
        <v>510</v>
      </c>
      <c r="C74" s="404"/>
      <c r="D74" s="404"/>
      <c r="E74" s="404"/>
      <c r="F74" s="246" t="s">
        <v>511</v>
      </c>
      <c r="G74" s="277">
        <v>135</v>
      </c>
      <c r="H74" s="278">
        <v>10258.120000000001</v>
      </c>
      <c r="J74" s="413" t="s">
        <v>352</v>
      </c>
      <c r="K74" s="414"/>
      <c r="L74" s="414"/>
      <c r="M74" s="414"/>
      <c r="N74" s="414"/>
      <c r="O74" s="282">
        <v>5</v>
      </c>
      <c r="P74" s="283">
        <v>461</v>
      </c>
    </row>
    <row r="75" spans="2:19" ht="13.5" thickBot="1" x14ac:dyDescent="0.35">
      <c r="B75" s="403" t="s">
        <v>510</v>
      </c>
      <c r="C75" s="404"/>
      <c r="D75" s="404"/>
      <c r="E75" s="404"/>
      <c r="F75" s="246" t="s">
        <v>512</v>
      </c>
      <c r="G75" s="277">
        <v>1</v>
      </c>
      <c r="H75" s="278">
        <v>51.5</v>
      </c>
      <c r="J75" s="386" t="s">
        <v>185</v>
      </c>
      <c r="K75" s="387"/>
      <c r="L75" s="387"/>
      <c r="M75" s="387"/>
      <c r="N75" s="387"/>
      <c r="O75" s="284">
        <v>1</v>
      </c>
      <c r="P75" s="285">
        <v>0.7850325379609544</v>
      </c>
    </row>
    <row r="76" spans="2:19" ht="16" thickBot="1" x14ac:dyDescent="0.35">
      <c r="B76" s="415" t="s">
        <v>368</v>
      </c>
      <c r="C76" s="416"/>
      <c r="D76" s="416"/>
      <c r="E76" s="416"/>
      <c r="F76" s="416"/>
      <c r="G76" s="286">
        <v>452</v>
      </c>
      <c r="H76" s="287">
        <v>35643.480000000003</v>
      </c>
    </row>
    <row r="77" spans="2:19" ht="19" thickBot="1" x14ac:dyDescent="0.35">
      <c r="J77" s="394" t="s">
        <v>187</v>
      </c>
      <c r="K77" s="395"/>
      <c r="L77" s="395"/>
      <c r="M77" s="395"/>
      <c r="N77" s="395"/>
      <c r="O77" s="395"/>
      <c r="P77" s="396"/>
      <c r="R77" s="336"/>
      <c r="S77" s="336"/>
    </row>
    <row r="78" spans="2:19" ht="19" thickBot="1" x14ac:dyDescent="0.35">
      <c r="J78" s="394" t="s">
        <v>519</v>
      </c>
      <c r="K78" s="395"/>
      <c r="L78" s="395"/>
      <c r="M78" s="395"/>
      <c r="N78" s="337">
        <v>45618</v>
      </c>
      <c r="O78" s="335" t="s">
        <v>163</v>
      </c>
      <c r="P78" s="338">
        <v>45635</v>
      </c>
      <c r="R78" s="336"/>
      <c r="S78" s="336"/>
    </row>
    <row r="79" spans="2:19" ht="13.5" thickBot="1" x14ac:dyDescent="0.35">
      <c r="J79" s="405" t="s">
        <v>190</v>
      </c>
      <c r="K79" s="406"/>
      <c r="L79" s="406"/>
      <c r="M79" s="406"/>
      <c r="N79" s="273" t="s">
        <v>191</v>
      </c>
      <c r="O79" s="273" t="s">
        <v>192</v>
      </c>
      <c r="P79" s="292" t="s">
        <v>50</v>
      </c>
    </row>
    <row r="80" spans="2:19" x14ac:dyDescent="0.3">
      <c r="J80" s="407" t="s">
        <v>358</v>
      </c>
      <c r="K80" s="408"/>
      <c r="L80" s="408"/>
      <c r="M80" s="408"/>
      <c r="N80" s="276" t="s">
        <v>359</v>
      </c>
      <c r="O80" s="417">
        <v>11</v>
      </c>
      <c r="P80" s="435">
        <v>1918.5</v>
      </c>
    </row>
    <row r="81" spans="10:16" x14ac:dyDescent="0.3">
      <c r="J81" s="403" t="s">
        <v>360</v>
      </c>
      <c r="K81" s="404"/>
      <c r="L81" s="404"/>
      <c r="M81" s="404"/>
      <c r="N81" s="246" t="s">
        <v>361</v>
      </c>
      <c r="O81" s="418"/>
      <c r="P81" s="436"/>
    </row>
    <row r="82" spans="10:16" x14ac:dyDescent="0.3">
      <c r="J82" s="403" t="s">
        <v>363</v>
      </c>
      <c r="K82" s="404"/>
      <c r="L82" s="404"/>
      <c r="M82" s="404"/>
      <c r="N82" s="246" t="s">
        <v>364</v>
      </c>
      <c r="O82" s="418"/>
      <c r="P82" s="436"/>
    </row>
    <row r="83" spans="10:16" x14ac:dyDescent="0.3">
      <c r="J83" s="403" t="s">
        <v>363</v>
      </c>
      <c r="K83" s="404"/>
      <c r="L83" s="404"/>
      <c r="M83" s="404"/>
      <c r="N83" s="246" t="s">
        <v>365</v>
      </c>
      <c r="O83" s="418"/>
      <c r="P83" s="436"/>
    </row>
    <row r="84" spans="10:16" x14ac:dyDescent="0.3">
      <c r="J84" s="403" t="s">
        <v>363</v>
      </c>
      <c r="K84" s="404"/>
      <c r="L84" s="404"/>
      <c r="M84" s="404"/>
      <c r="N84" s="246" t="s">
        <v>366</v>
      </c>
      <c r="O84" s="418"/>
      <c r="P84" s="436"/>
    </row>
    <row r="85" spans="10:16" ht="13.5" thickBot="1" x14ac:dyDescent="0.35">
      <c r="J85" s="411" t="s">
        <v>363</v>
      </c>
      <c r="K85" s="412"/>
      <c r="L85" s="412"/>
      <c r="M85" s="412"/>
      <c r="N85" s="279" t="s">
        <v>367</v>
      </c>
      <c r="O85" s="419"/>
      <c r="P85" s="437"/>
    </row>
    <row r="86" spans="10:16" ht="16" thickBot="1" x14ac:dyDescent="0.35">
      <c r="J86" s="427" t="s">
        <v>369</v>
      </c>
      <c r="K86" s="428"/>
      <c r="L86" s="428"/>
      <c r="M86" s="428"/>
      <c r="N86" s="428"/>
      <c r="O86" s="300">
        <v>11</v>
      </c>
      <c r="P86" s="301">
        <v>1918.5</v>
      </c>
    </row>
    <row r="87" spans="10:16" x14ac:dyDescent="0.3">
      <c r="J87" s="413" t="s">
        <v>370</v>
      </c>
      <c r="K87" s="414"/>
      <c r="L87" s="414"/>
      <c r="M87" s="414"/>
      <c r="N87" s="414"/>
      <c r="O87" s="282">
        <v>232</v>
      </c>
      <c r="P87" s="283">
        <v>30470</v>
      </c>
    </row>
    <row r="88" spans="10:16" ht="13.5" thickBot="1" x14ac:dyDescent="0.35">
      <c r="J88" s="386" t="s">
        <v>185</v>
      </c>
      <c r="K88" s="387"/>
      <c r="L88" s="387"/>
      <c r="M88" s="387"/>
      <c r="N88" s="387"/>
      <c r="O88" s="284">
        <v>4.7413793103448273E-2</v>
      </c>
      <c r="P88" s="285">
        <v>6.2963570725303578E-2</v>
      </c>
    </row>
    <row r="89" spans="10:16" x14ac:dyDescent="0.3">
      <c r="J89" s="429" t="s">
        <v>517</v>
      </c>
      <c r="K89" s="430"/>
      <c r="L89" s="430"/>
      <c r="M89" s="430"/>
      <c r="N89" s="430"/>
      <c r="O89" s="430"/>
      <c r="P89" s="431"/>
    </row>
    <row r="90" spans="10:16" ht="13.5" thickBot="1" x14ac:dyDescent="0.35">
      <c r="J90" s="432"/>
      <c r="K90" s="433"/>
      <c r="L90" s="433"/>
      <c r="M90" s="433"/>
      <c r="N90" s="433"/>
      <c r="O90" s="433"/>
      <c r="P90" s="434"/>
    </row>
  </sheetData>
  <mergeCells count="187">
    <mergeCell ref="C2:F2"/>
    <mergeCell ref="J2:N2"/>
    <mergeCell ref="B3:E5"/>
    <mergeCell ref="L3:M3"/>
    <mergeCell ref="F4:F5"/>
    <mergeCell ref="G4:G5"/>
    <mergeCell ref="L4:M4"/>
    <mergeCell ref="L5:M5"/>
    <mergeCell ref="L10:M10"/>
    <mergeCell ref="B12:H12"/>
    <mergeCell ref="J12:P12"/>
    <mergeCell ref="B13:E13"/>
    <mergeCell ref="J13:M13"/>
    <mergeCell ref="B14:E14"/>
    <mergeCell ref="J14:K14"/>
    <mergeCell ref="L14:M14"/>
    <mergeCell ref="B6:E6"/>
    <mergeCell ref="L6:M6"/>
    <mergeCell ref="B7:E7"/>
    <mergeCell ref="L7:M7"/>
    <mergeCell ref="L8:M8"/>
    <mergeCell ref="L9:M9"/>
    <mergeCell ref="B17:E17"/>
    <mergeCell ref="J17:K17"/>
    <mergeCell ref="L17:M17"/>
    <mergeCell ref="B18:E18"/>
    <mergeCell ref="J18:K18"/>
    <mergeCell ref="L18:M18"/>
    <mergeCell ref="B15:E15"/>
    <mergeCell ref="J15:K15"/>
    <mergeCell ref="L15:M15"/>
    <mergeCell ref="B16:E16"/>
    <mergeCell ref="J16:K16"/>
    <mergeCell ref="L16:M16"/>
    <mergeCell ref="B22:E22"/>
    <mergeCell ref="B23:E23"/>
    <mergeCell ref="J23:P23"/>
    <mergeCell ref="B24:F24"/>
    <mergeCell ref="J24:M24"/>
    <mergeCell ref="B25:F25"/>
    <mergeCell ref="J25:M25"/>
    <mergeCell ref="B19:E19"/>
    <mergeCell ref="J19:N19"/>
    <mergeCell ref="B20:E20"/>
    <mergeCell ref="J20:N20"/>
    <mergeCell ref="B21:E21"/>
    <mergeCell ref="J21:N21"/>
    <mergeCell ref="B30:E30"/>
    <mergeCell ref="J30:M30"/>
    <mergeCell ref="B31:E31"/>
    <mergeCell ref="J31:M31"/>
    <mergeCell ref="B32:E32"/>
    <mergeCell ref="J32:M32"/>
    <mergeCell ref="B26:F26"/>
    <mergeCell ref="J26:M26"/>
    <mergeCell ref="J27:M27"/>
    <mergeCell ref="B28:H28"/>
    <mergeCell ref="J28:M28"/>
    <mergeCell ref="B29:E29"/>
    <mergeCell ref="J29:M29"/>
    <mergeCell ref="B36:E36"/>
    <mergeCell ref="J36:M36"/>
    <mergeCell ref="B37:E37"/>
    <mergeCell ref="J37:M37"/>
    <mergeCell ref="B38:E38"/>
    <mergeCell ref="J38:M38"/>
    <mergeCell ref="B33:E33"/>
    <mergeCell ref="J33:M33"/>
    <mergeCell ref="B34:E34"/>
    <mergeCell ref="J34:M34"/>
    <mergeCell ref="B35:E35"/>
    <mergeCell ref="J35:M35"/>
    <mergeCell ref="B42:E42"/>
    <mergeCell ref="J42:N42"/>
    <mergeCell ref="B43:E43"/>
    <mergeCell ref="B44:E44"/>
    <mergeCell ref="J44:P44"/>
    <mergeCell ref="B45:E45"/>
    <mergeCell ref="J45:M45"/>
    <mergeCell ref="B39:E39"/>
    <mergeCell ref="J39:M39"/>
    <mergeCell ref="B40:E40"/>
    <mergeCell ref="J40:N40"/>
    <mergeCell ref="B41:E41"/>
    <mergeCell ref="J41:N41"/>
    <mergeCell ref="B48:E48"/>
    <mergeCell ref="J48:K48"/>
    <mergeCell ref="L48:M48"/>
    <mergeCell ref="B49:E49"/>
    <mergeCell ref="J49:K49"/>
    <mergeCell ref="L49:M49"/>
    <mergeCell ref="B46:E46"/>
    <mergeCell ref="J46:K46"/>
    <mergeCell ref="L46:M46"/>
    <mergeCell ref="B47:E47"/>
    <mergeCell ref="J47:K47"/>
    <mergeCell ref="L47:M47"/>
    <mergeCell ref="B52:E52"/>
    <mergeCell ref="J52:K52"/>
    <mergeCell ref="L52:M52"/>
    <mergeCell ref="B53:E53"/>
    <mergeCell ref="J53:K53"/>
    <mergeCell ref="L53:M53"/>
    <mergeCell ref="B50:E50"/>
    <mergeCell ref="J50:K50"/>
    <mergeCell ref="L50:M50"/>
    <mergeCell ref="B51:E51"/>
    <mergeCell ref="J51:K51"/>
    <mergeCell ref="L51:M51"/>
    <mergeCell ref="B56:E56"/>
    <mergeCell ref="J56:K56"/>
    <mergeCell ref="L56:M56"/>
    <mergeCell ref="B57:E57"/>
    <mergeCell ref="J57:K57"/>
    <mergeCell ref="L57:M57"/>
    <mergeCell ref="B54:E54"/>
    <mergeCell ref="J54:K54"/>
    <mergeCell ref="L54:M54"/>
    <mergeCell ref="B55:E55"/>
    <mergeCell ref="J55:K55"/>
    <mergeCell ref="L55:M55"/>
    <mergeCell ref="B60:E60"/>
    <mergeCell ref="J60:K60"/>
    <mergeCell ref="L60:M60"/>
    <mergeCell ref="B61:E61"/>
    <mergeCell ref="J61:K61"/>
    <mergeCell ref="L61:M61"/>
    <mergeCell ref="B58:E58"/>
    <mergeCell ref="J58:K58"/>
    <mergeCell ref="L58:M58"/>
    <mergeCell ref="B59:E59"/>
    <mergeCell ref="J59:K59"/>
    <mergeCell ref="L59:M59"/>
    <mergeCell ref="B64:E64"/>
    <mergeCell ref="J64:K64"/>
    <mergeCell ref="L64:M64"/>
    <mergeCell ref="B65:F65"/>
    <mergeCell ref="J65:K65"/>
    <mergeCell ref="L65:M65"/>
    <mergeCell ref="B62:E62"/>
    <mergeCell ref="J62:K62"/>
    <mergeCell ref="L62:M62"/>
    <mergeCell ref="B63:E63"/>
    <mergeCell ref="J63:K63"/>
    <mergeCell ref="L63:M63"/>
    <mergeCell ref="B68:H68"/>
    <mergeCell ref="J68:K68"/>
    <mergeCell ref="L68:M68"/>
    <mergeCell ref="J69:K69"/>
    <mergeCell ref="L69:M69"/>
    <mergeCell ref="B70:H70"/>
    <mergeCell ref="J70:K70"/>
    <mergeCell ref="L70:M70"/>
    <mergeCell ref="B66:F66"/>
    <mergeCell ref="J66:K66"/>
    <mergeCell ref="L66:M66"/>
    <mergeCell ref="B67:F67"/>
    <mergeCell ref="J67:K67"/>
    <mergeCell ref="L67:M67"/>
    <mergeCell ref="B73:E73"/>
    <mergeCell ref="J73:N73"/>
    <mergeCell ref="B74:E74"/>
    <mergeCell ref="J74:N74"/>
    <mergeCell ref="B75:E75"/>
    <mergeCell ref="J75:N75"/>
    <mergeCell ref="B71:E71"/>
    <mergeCell ref="J71:K71"/>
    <mergeCell ref="L71:M71"/>
    <mergeCell ref="B72:E72"/>
    <mergeCell ref="J72:K72"/>
    <mergeCell ref="L72:M72"/>
    <mergeCell ref="J88:N88"/>
    <mergeCell ref="J89:P90"/>
    <mergeCell ref="J84:M84"/>
    <mergeCell ref="J86:N86"/>
    <mergeCell ref="J87:N87"/>
    <mergeCell ref="B76:F76"/>
    <mergeCell ref="J77:P77"/>
    <mergeCell ref="J78:M78"/>
    <mergeCell ref="J79:M79"/>
    <mergeCell ref="J80:M80"/>
    <mergeCell ref="J81:M81"/>
    <mergeCell ref="J82:M82"/>
    <mergeCell ref="J83:M83"/>
    <mergeCell ref="O80:O85"/>
    <mergeCell ref="P80:P85"/>
    <mergeCell ref="J85:M8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1ACE-75E8-467D-A303-DA483D7A105E}">
  <dimension ref="B1:P86"/>
  <sheetViews>
    <sheetView topLeftCell="A48" workbookViewId="0">
      <selection activeCell="H73" sqref="H73"/>
    </sheetView>
  </sheetViews>
  <sheetFormatPr defaultColWidth="8.7265625" defaultRowHeight="13" x14ac:dyDescent="0.3"/>
  <cols>
    <col min="1" max="1" width="2.81640625" style="246" customWidth="1"/>
    <col min="2" max="2" width="8.7265625" style="246"/>
    <col min="3" max="3" width="8.81640625" style="246" customWidth="1"/>
    <col min="4" max="4" width="8.7265625" style="246"/>
    <col min="5" max="5" width="4.1796875" style="246" customWidth="1"/>
    <col min="6" max="6" width="17.1796875" style="246" bestFit="1" customWidth="1"/>
    <col min="7" max="7" width="20.453125" style="246" customWidth="1"/>
    <col min="8" max="8" width="13.453125" style="246" bestFit="1" customWidth="1"/>
    <col min="9" max="9" width="1.81640625" style="246" customWidth="1"/>
    <col min="10" max="10" width="12.453125" style="246" bestFit="1" customWidth="1"/>
    <col min="11" max="11" width="10.1796875" style="246" customWidth="1"/>
    <col min="12" max="12" width="8.7265625" style="246"/>
    <col min="13" max="13" width="11.1796875" style="246" bestFit="1" customWidth="1"/>
    <col min="14" max="14" width="16.81640625" style="246" bestFit="1" customWidth="1"/>
    <col min="15" max="15" width="8.7265625" style="246"/>
    <col min="16" max="16" width="15.54296875" style="246" bestFit="1" customWidth="1"/>
    <col min="17" max="20" width="8.7265625" style="246"/>
    <col min="21" max="21" width="18.26953125" style="246" bestFit="1" customWidth="1"/>
    <col min="22" max="22" width="16.54296875" style="246" bestFit="1" customWidth="1"/>
    <col min="23" max="23" width="8.7265625" style="246"/>
    <col min="24" max="24" width="9.54296875" style="246" bestFit="1" customWidth="1"/>
    <col min="25" max="16384" width="8.7265625" style="246"/>
  </cols>
  <sheetData>
    <row r="1" spans="2:16" ht="13.5" thickBot="1" x14ac:dyDescent="0.35"/>
    <row r="2" spans="2:16" ht="19" thickBot="1" x14ac:dyDescent="0.35">
      <c r="C2" s="364" t="s">
        <v>373</v>
      </c>
      <c r="D2" s="365"/>
      <c r="E2" s="365"/>
      <c r="F2" s="366"/>
      <c r="J2" s="438" t="s">
        <v>178</v>
      </c>
      <c r="K2" s="439"/>
      <c r="L2" s="439"/>
      <c r="M2" s="439"/>
      <c r="N2" s="440"/>
    </row>
    <row r="3" spans="2:16" x14ac:dyDescent="0.3">
      <c r="B3" s="370" t="s">
        <v>179</v>
      </c>
      <c r="C3" s="371"/>
      <c r="D3" s="371"/>
      <c r="E3" s="372"/>
      <c r="F3" s="247" t="s">
        <v>180</v>
      </c>
      <c r="G3" s="248" t="s">
        <v>52</v>
      </c>
      <c r="J3" s="249" t="s">
        <v>181</v>
      </c>
      <c r="K3" s="250" t="s">
        <v>180</v>
      </c>
      <c r="L3" s="450" t="s">
        <v>52</v>
      </c>
      <c r="M3" s="450"/>
      <c r="N3" s="251" t="s">
        <v>182</v>
      </c>
      <c r="O3" s="252"/>
    </row>
    <row r="4" spans="2:16" ht="13" customHeight="1" x14ac:dyDescent="0.35">
      <c r="B4" s="373"/>
      <c r="C4" s="374"/>
      <c r="D4" s="374"/>
      <c r="E4" s="375"/>
      <c r="F4" s="380">
        <v>10378</v>
      </c>
      <c r="G4" s="382">
        <v>1125646.1400000001</v>
      </c>
      <c r="J4" s="253" t="s">
        <v>34</v>
      </c>
      <c r="K4" s="254">
        <v>1635</v>
      </c>
      <c r="L4" s="390">
        <v>95227.92</v>
      </c>
      <c r="M4" s="391"/>
      <c r="N4" s="255">
        <v>2.9610671641791044</v>
      </c>
    </row>
    <row r="5" spans="2:16" ht="13" customHeight="1" x14ac:dyDescent="0.35">
      <c r="B5" s="376"/>
      <c r="C5" s="377"/>
      <c r="D5" s="377"/>
      <c r="E5" s="378"/>
      <c r="F5" s="381"/>
      <c r="G5" s="383"/>
      <c r="J5" s="256" t="s">
        <v>33</v>
      </c>
      <c r="K5" s="257">
        <v>1981</v>
      </c>
      <c r="L5" s="388">
        <v>166210.89000000004</v>
      </c>
      <c r="M5" s="389"/>
      <c r="N5" s="258">
        <v>1.0464242588313808</v>
      </c>
    </row>
    <row r="6" spans="2:16" ht="13" customHeight="1" x14ac:dyDescent="0.35">
      <c r="B6" s="397" t="s">
        <v>183</v>
      </c>
      <c r="C6" s="398"/>
      <c r="D6" s="398"/>
      <c r="E6" s="399"/>
      <c r="F6" s="259">
        <v>7417</v>
      </c>
      <c r="G6" s="260">
        <v>822218.64</v>
      </c>
      <c r="J6" s="253" t="s">
        <v>184</v>
      </c>
      <c r="K6" s="254">
        <v>958</v>
      </c>
      <c r="L6" s="390">
        <v>153251.49</v>
      </c>
      <c r="M6" s="391"/>
      <c r="N6" s="255">
        <v>1.4000684268225836</v>
      </c>
    </row>
    <row r="7" spans="2:16" ht="15" thickBot="1" x14ac:dyDescent="0.4">
      <c r="B7" s="386" t="s">
        <v>185</v>
      </c>
      <c r="C7" s="387"/>
      <c r="D7" s="387"/>
      <c r="E7" s="387"/>
      <c r="F7" s="261">
        <v>1.3992180126735878</v>
      </c>
      <c r="G7" s="262">
        <v>1.36903505374191</v>
      </c>
      <c r="J7" s="256" t="s">
        <v>186</v>
      </c>
      <c r="K7" s="257">
        <v>7</v>
      </c>
      <c r="L7" s="388">
        <v>369.25</v>
      </c>
      <c r="M7" s="389"/>
      <c r="N7" s="263">
        <v>0.63445017182130581</v>
      </c>
    </row>
    <row r="8" spans="2:16" ht="19" customHeight="1" x14ac:dyDescent="0.35">
      <c r="B8" s="264"/>
      <c r="C8" s="264"/>
      <c r="D8" s="264"/>
      <c r="E8" s="264"/>
      <c r="F8" s="265"/>
      <c r="G8" s="265"/>
      <c r="J8" s="253" t="s">
        <v>187</v>
      </c>
      <c r="K8" s="254">
        <v>19</v>
      </c>
      <c r="L8" s="390">
        <v>1575.75</v>
      </c>
      <c r="M8" s="391"/>
      <c r="N8" s="266">
        <v>0.11009991615427613</v>
      </c>
    </row>
    <row r="9" spans="2:16" ht="14.5" x14ac:dyDescent="0.35">
      <c r="B9" s="264"/>
      <c r="C9" s="264"/>
      <c r="D9" s="264"/>
      <c r="E9" s="264"/>
      <c r="F9" s="265"/>
      <c r="G9" s="265"/>
      <c r="J9" s="267" t="s">
        <v>36</v>
      </c>
      <c r="K9" s="268">
        <v>5778</v>
      </c>
      <c r="L9" s="388">
        <v>709010.8400000002</v>
      </c>
      <c r="M9" s="389"/>
      <c r="N9" s="269">
        <v>1.3988076580095807</v>
      </c>
    </row>
    <row r="10" spans="2:16" ht="15" thickBot="1" x14ac:dyDescent="0.4">
      <c r="B10" s="264"/>
      <c r="C10" s="264"/>
      <c r="D10" s="264"/>
      <c r="E10" s="264"/>
      <c r="F10" s="265"/>
      <c r="G10" s="265"/>
      <c r="J10" s="270" t="s">
        <v>188</v>
      </c>
      <c r="K10" s="271">
        <v>0</v>
      </c>
      <c r="L10" s="451">
        <v>0</v>
      </c>
      <c r="M10" s="452"/>
      <c r="N10" s="272" t="s">
        <v>163</v>
      </c>
    </row>
    <row r="11" spans="2:16" ht="13.5" thickBot="1" x14ac:dyDescent="0.35"/>
    <row r="12" spans="2:16" ht="19" thickBot="1" x14ac:dyDescent="0.35">
      <c r="B12" s="394" t="s">
        <v>34</v>
      </c>
      <c r="C12" s="395"/>
      <c r="D12" s="395"/>
      <c r="E12" s="395"/>
      <c r="F12" s="395"/>
      <c r="G12" s="395"/>
      <c r="H12" s="396"/>
      <c r="J12" s="394" t="s">
        <v>189</v>
      </c>
      <c r="K12" s="395"/>
      <c r="L12" s="395"/>
      <c r="M12" s="395"/>
      <c r="N12" s="395"/>
      <c r="O12" s="395"/>
      <c r="P12" s="396"/>
    </row>
    <row r="13" spans="2:16" ht="13.5" thickBot="1" x14ac:dyDescent="0.35">
      <c r="B13" s="405" t="s">
        <v>190</v>
      </c>
      <c r="C13" s="406"/>
      <c r="D13" s="406"/>
      <c r="E13" s="406"/>
      <c r="F13" s="274" t="s">
        <v>191</v>
      </c>
      <c r="G13" s="274" t="s">
        <v>192</v>
      </c>
      <c r="H13" s="275" t="s">
        <v>50</v>
      </c>
      <c r="J13" s="405" t="s">
        <v>190</v>
      </c>
      <c r="K13" s="406"/>
      <c r="L13" s="406"/>
      <c r="M13" s="406"/>
      <c r="N13" s="274" t="s">
        <v>191</v>
      </c>
      <c r="O13" s="274" t="s">
        <v>192</v>
      </c>
      <c r="P13" s="275" t="s">
        <v>50</v>
      </c>
    </row>
    <row r="14" spans="2:16" ht="13" customHeight="1" x14ac:dyDescent="0.3">
      <c r="B14" s="407" t="s">
        <v>193</v>
      </c>
      <c r="C14" s="408"/>
      <c r="D14" s="408"/>
      <c r="E14" s="408"/>
      <c r="F14" s="246" t="s">
        <v>194</v>
      </c>
      <c r="G14" s="277">
        <v>1</v>
      </c>
      <c r="H14" s="278">
        <v>5</v>
      </c>
      <c r="J14" s="407" t="s">
        <v>195</v>
      </c>
      <c r="K14" s="408"/>
      <c r="L14" s="408" t="s">
        <v>196</v>
      </c>
      <c r="M14" s="408"/>
      <c r="N14" s="246" t="s">
        <v>197</v>
      </c>
      <c r="O14" s="277">
        <v>204</v>
      </c>
      <c r="P14" s="278">
        <v>36815.06</v>
      </c>
    </row>
    <row r="15" spans="2:16" ht="13" customHeight="1" x14ac:dyDescent="0.3">
      <c r="B15" s="403" t="s">
        <v>198</v>
      </c>
      <c r="C15" s="404"/>
      <c r="D15" s="404"/>
      <c r="E15" s="404"/>
      <c r="F15" s="246" t="s">
        <v>199</v>
      </c>
      <c r="G15" s="277">
        <v>6</v>
      </c>
      <c r="H15" s="278">
        <v>2173.15</v>
      </c>
      <c r="J15" s="403" t="s">
        <v>200</v>
      </c>
      <c r="K15" s="404"/>
      <c r="L15" s="404" t="s">
        <v>196</v>
      </c>
      <c r="M15" s="404"/>
      <c r="N15" s="246" t="s">
        <v>201</v>
      </c>
      <c r="O15" s="277">
        <v>75</v>
      </c>
      <c r="P15" s="278">
        <v>11707.099999999999</v>
      </c>
    </row>
    <row r="16" spans="2:16" ht="13" customHeight="1" x14ac:dyDescent="0.3">
      <c r="B16" s="403" t="s">
        <v>202</v>
      </c>
      <c r="C16" s="404"/>
      <c r="D16" s="404"/>
      <c r="E16" s="404"/>
      <c r="F16" s="246" t="s">
        <v>203</v>
      </c>
      <c r="G16" s="277">
        <v>4</v>
      </c>
      <c r="H16" s="278">
        <v>86.65</v>
      </c>
      <c r="J16" s="403" t="s">
        <v>204</v>
      </c>
      <c r="K16" s="404"/>
      <c r="L16" s="404" t="s">
        <v>205</v>
      </c>
      <c r="M16" s="404"/>
      <c r="N16" s="246" t="s">
        <v>206</v>
      </c>
      <c r="O16" s="277">
        <v>37</v>
      </c>
      <c r="P16" s="278">
        <v>5573.87</v>
      </c>
    </row>
    <row r="17" spans="2:16" ht="13" customHeight="1" x14ac:dyDescent="0.3">
      <c r="B17" s="403" t="s">
        <v>207</v>
      </c>
      <c r="C17" s="404"/>
      <c r="D17" s="404"/>
      <c r="E17" s="404"/>
      <c r="F17" s="246" t="s">
        <v>208</v>
      </c>
      <c r="G17" s="277">
        <v>9</v>
      </c>
      <c r="H17" s="278">
        <v>403.61999999999995</v>
      </c>
      <c r="J17" s="403" t="s">
        <v>209</v>
      </c>
      <c r="K17" s="404"/>
      <c r="L17" s="404" t="s">
        <v>205</v>
      </c>
      <c r="M17" s="404"/>
      <c r="N17" s="246" t="s">
        <v>210</v>
      </c>
      <c r="O17" s="277">
        <v>39</v>
      </c>
      <c r="P17" s="278">
        <v>5444.47</v>
      </c>
    </row>
    <row r="18" spans="2:16" ht="13" customHeight="1" x14ac:dyDescent="0.3">
      <c r="B18" s="403" t="s">
        <v>211</v>
      </c>
      <c r="C18" s="404"/>
      <c r="D18" s="404"/>
      <c r="E18" s="404"/>
      <c r="F18" s="246" t="s">
        <v>212</v>
      </c>
      <c r="G18" s="277">
        <v>12</v>
      </c>
      <c r="H18" s="278">
        <v>248.37</v>
      </c>
      <c r="J18" s="403" t="s">
        <v>213</v>
      </c>
      <c r="K18" s="404"/>
      <c r="L18" s="404" t="s">
        <v>214</v>
      </c>
      <c r="M18" s="404"/>
      <c r="N18" s="246" t="s">
        <v>215</v>
      </c>
      <c r="O18" s="277">
        <v>243</v>
      </c>
      <c r="P18" s="278">
        <v>32120.91</v>
      </c>
    </row>
    <row r="19" spans="2:16" x14ac:dyDescent="0.3">
      <c r="B19" s="403" t="s">
        <v>216</v>
      </c>
      <c r="C19" s="404"/>
      <c r="D19" s="404"/>
      <c r="E19" s="404"/>
      <c r="F19" s="246" t="s">
        <v>217</v>
      </c>
      <c r="G19" s="277">
        <v>92</v>
      </c>
      <c r="H19" s="278">
        <v>5351.8</v>
      </c>
      <c r="J19" s="403" t="s">
        <v>218</v>
      </c>
      <c r="K19" s="404"/>
      <c r="L19" s="404" t="s">
        <v>214</v>
      </c>
      <c r="M19" s="404"/>
      <c r="N19" s="246" t="s">
        <v>219</v>
      </c>
      <c r="O19" s="277">
        <v>220</v>
      </c>
      <c r="P19" s="278">
        <v>32445.11</v>
      </c>
    </row>
    <row r="20" spans="2:16" ht="13" customHeight="1" x14ac:dyDescent="0.3">
      <c r="B20" s="403" t="s">
        <v>220</v>
      </c>
      <c r="C20" s="404"/>
      <c r="D20" s="404"/>
      <c r="E20" s="404"/>
      <c r="F20" s="246" t="s">
        <v>221</v>
      </c>
      <c r="G20" s="277">
        <v>240</v>
      </c>
      <c r="H20" s="278">
        <v>11284.45</v>
      </c>
      <c r="J20" s="403" t="s">
        <v>222</v>
      </c>
      <c r="K20" s="404"/>
      <c r="L20" s="404" t="s">
        <v>223</v>
      </c>
      <c r="M20" s="404"/>
      <c r="N20" s="246" t="s">
        <v>224</v>
      </c>
      <c r="O20" s="277">
        <v>74</v>
      </c>
      <c r="P20" s="278">
        <v>17575.28</v>
      </c>
    </row>
    <row r="21" spans="2:16" ht="13" customHeight="1" thickBot="1" x14ac:dyDescent="0.35">
      <c r="B21" s="403" t="s">
        <v>225</v>
      </c>
      <c r="C21" s="404"/>
      <c r="D21" s="404"/>
      <c r="E21" s="404"/>
      <c r="F21" s="246" t="s">
        <v>226</v>
      </c>
      <c r="G21" s="277">
        <v>0</v>
      </c>
      <c r="H21" s="278">
        <v>0</v>
      </c>
      <c r="J21" s="411" t="s">
        <v>227</v>
      </c>
      <c r="K21" s="412"/>
      <c r="L21" s="412" t="s">
        <v>223</v>
      </c>
      <c r="M21" s="412"/>
      <c r="N21" s="246" t="s">
        <v>228</v>
      </c>
      <c r="O21" s="277">
        <v>66</v>
      </c>
      <c r="P21" s="278">
        <v>11569.689999999999</v>
      </c>
    </row>
    <row r="22" spans="2:16" ht="13" customHeight="1" x14ac:dyDescent="0.3">
      <c r="B22" s="403" t="s">
        <v>229</v>
      </c>
      <c r="C22" s="404"/>
      <c r="D22" s="404"/>
      <c r="E22" s="404"/>
      <c r="F22" s="246" t="s">
        <v>230</v>
      </c>
      <c r="G22" s="277">
        <v>12</v>
      </c>
      <c r="H22" s="278">
        <v>516.01</v>
      </c>
      <c r="J22" s="409" t="s">
        <v>231</v>
      </c>
      <c r="K22" s="410"/>
      <c r="L22" s="410"/>
      <c r="M22" s="410"/>
      <c r="N22" s="410"/>
      <c r="O22" s="280">
        <v>958</v>
      </c>
      <c r="P22" s="281">
        <v>153251.49</v>
      </c>
    </row>
    <row r="23" spans="2:16" ht="13" customHeight="1" x14ac:dyDescent="0.3">
      <c r="B23" s="403" t="s">
        <v>232</v>
      </c>
      <c r="C23" s="404"/>
      <c r="D23" s="404"/>
      <c r="E23" s="404"/>
      <c r="F23" s="246" t="s">
        <v>233</v>
      </c>
      <c r="G23" s="277">
        <v>120</v>
      </c>
      <c r="H23" s="278">
        <v>9401.64</v>
      </c>
      <c r="J23" s="413" t="s">
        <v>234</v>
      </c>
      <c r="K23" s="414"/>
      <c r="L23" s="414"/>
      <c r="M23" s="414"/>
      <c r="N23" s="414"/>
      <c r="O23" s="282">
        <v>695</v>
      </c>
      <c r="P23" s="283">
        <v>109460</v>
      </c>
    </row>
    <row r="24" spans="2:16" ht="13" customHeight="1" thickBot="1" x14ac:dyDescent="0.35">
      <c r="B24" s="403" t="s">
        <v>235</v>
      </c>
      <c r="C24" s="404"/>
      <c r="D24" s="404"/>
      <c r="E24" s="404"/>
      <c r="F24" s="246" t="s">
        <v>236</v>
      </c>
      <c r="G24" s="277">
        <v>959</v>
      </c>
      <c r="H24" s="278">
        <v>57548.72</v>
      </c>
      <c r="J24" s="386" t="s">
        <v>185</v>
      </c>
      <c r="K24" s="387"/>
      <c r="L24" s="387"/>
      <c r="M24" s="387"/>
      <c r="N24" s="387"/>
      <c r="O24" s="284">
        <v>1.3784172661870504</v>
      </c>
      <c r="P24" s="285">
        <v>1.4000684268225836</v>
      </c>
    </row>
    <row r="25" spans="2:16" ht="13" customHeight="1" thickBot="1" x14ac:dyDescent="0.35">
      <c r="B25" s="403" t="s">
        <v>237</v>
      </c>
      <c r="C25" s="404"/>
      <c r="D25" s="404"/>
      <c r="E25" s="404"/>
      <c r="F25" s="246" t="s">
        <v>238</v>
      </c>
      <c r="G25" s="277">
        <v>47</v>
      </c>
      <c r="H25" s="278">
        <v>1735.12</v>
      </c>
    </row>
    <row r="26" spans="2:16" ht="19" thickBot="1" x14ac:dyDescent="0.35">
      <c r="B26" s="403" t="s">
        <v>239</v>
      </c>
      <c r="C26" s="404"/>
      <c r="D26" s="404"/>
      <c r="E26" s="404"/>
      <c r="F26" s="246" t="s">
        <v>240</v>
      </c>
      <c r="G26" s="277">
        <v>39</v>
      </c>
      <c r="H26" s="278">
        <v>1527.2799999999997</v>
      </c>
      <c r="J26" s="394" t="s">
        <v>36</v>
      </c>
      <c r="K26" s="395"/>
      <c r="L26" s="395"/>
      <c r="M26" s="395"/>
      <c r="N26" s="395"/>
      <c r="O26" s="395"/>
      <c r="P26" s="396"/>
    </row>
    <row r="27" spans="2:16" ht="13.5" thickBot="1" x14ac:dyDescent="0.35">
      <c r="B27" s="403" t="s">
        <v>241</v>
      </c>
      <c r="C27" s="404"/>
      <c r="D27" s="404"/>
      <c r="E27" s="404"/>
      <c r="F27" s="246" t="s">
        <v>242</v>
      </c>
      <c r="G27" s="277">
        <v>20</v>
      </c>
      <c r="H27" s="278">
        <v>939.25000000000011</v>
      </c>
      <c r="J27" s="405" t="s">
        <v>190</v>
      </c>
      <c r="K27" s="406"/>
      <c r="L27" s="406"/>
      <c r="M27" s="406"/>
      <c r="N27" s="274" t="s">
        <v>191</v>
      </c>
      <c r="O27" s="274" t="s">
        <v>192</v>
      </c>
      <c r="P27" s="275" t="s">
        <v>50</v>
      </c>
    </row>
    <row r="28" spans="2:16" ht="13.5" thickBot="1" x14ac:dyDescent="0.35">
      <c r="B28" s="403" t="s">
        <v>243</v>
      </c>
      <c r="C28" s="404"/>
      <c r="D28" s="404"/>
      <c r="E28" s="404"/>
      <c r="F28" s="246" t="s">
        <v>244</v>
      </c>
      <c r="G28" s="277">
        <v>74</v>
      </c>
      <c r="H28" s="278">
        <v>4006.86</v>
      </c>
      <c r="J28" s="407" t="s">
        <v>245</v>
      </c>
      <c r="K28" s="408"/>
      <c r="L28" s="408"/>
      <c r="M28" s="408"/>
      <c r="N28" s="246" t="s">
        <v>246</v>
      </c>
      <c r="O28" s="277">
        <v>43</v>
      </c>
      <c r="P28" s="278">
        <v>2839.1499999999996</v>
      </c>
    </row>
    <row r="29" spans="2:16" ht="15.5" x14ac:dyDescent="0.3">
      <c r="B29" s="409" t="s">
        <v>247</v>
      </c>
      <c r="C29" s="410"/>
      <c r="D29" s="410"/>
      <c r="E29" s="410"/>
      <c r="F29" s="410"/>
      <c r="G29" s="280">
        <v>1635</v>
      </c>
      <c r="H29" s="281">
        <v>95227.92</v>
      </c>
      <c r="J29" s="403" t="s">
        <v>248</v>
      </c>
      <c r="K29" s="404"/>
      <c r="L29" s="404"/>
      <c r="M29" s="404"/>
      <c r="N29" s="246" t="s">
        <v>249</v>
      </c>
      <c r="O29" s="277">
        <v>66</v>
      </c>
      <c r="P29" s="278">
        <v>4453.75</v>
      </c>
    </row>
    <row r="30" spans="2:16" x14ac:dyDescent="0.3">
      <c r="B30" s="413" t="s">
        <v>250</v>
      </c>
      <c r="C30" s="414"/>
      <c r="D30" s="414"/>
      <c r="E30" s="414"/>
      <c r="F30" s="414"/>
      <c r="G30" s="282">
        <v>662</v>
      </c>
      <c r="H30" s="283">
        <v>32160</v>
      </c>
      <c r="J30" s="403" t="s">
        <v>39</v>
      </c>
      <c r="K30" s="404"/>
      <c r="L30" s="404"/>
      <c r="M30" s="404"/>
      <c r="N30" s="246" t="s">
        <v>251</v>
      </c>
      <c r="O30" s="277">
        <v>2350</v>
      </c>
      <c r="P30" s="278">
        <v>287826.61000000004</v>
      </c>
    </row>
    <row r="31" spans="2:16" ht="13.5" thickBot="1" x14ac:dyDescent="0.35">
      <c r="B31" s="386" t="s">
        <v>185</v>
      </c>
      <c r="C31" s="387"/>
      <c r="D31" s="387"/>
      <c r="E31" s="387"/>
      <c r="F31" s="387"/>
      <c r="G31" s="284">
        <v>2.4697885196374623</v>
      </c>
      <c r="H31" s="285">
        <v>2.9610671641791044</v>
      </c>
      <c r="J31" s="403" t="s">
        <v>74</v>
      </c>
      <c r="K31" s="404"/>
      <c r="L31" s="404"/>
      <c r="M31" s="404"/>
      <c r="N31" s="246" t="s">
        <v>252</v>
      </c>
      <c r="O31" s="277">
        <v>83</v>
      </c>
      <c r="P31" s="278">
        <v>8113.8000000000011</v>
      </c>
    </row>
    <row r="32" spans="2:16" ht="13.5" thickBot="1" x14ac:dyDescent="0.35">
      <c r="J32" s="403" t="s">
        <v>40</v>
      </c>
      <c r="K32" s="404"/>
      <c r="L32" s="404"/>
      <c r="M32" s="404"/>
      <c r="N32" s="246" t="s">
        <v>253</v>
      </c>
      <c r="O32" s="277">
        <v>115</v>
      </c>
      <c r="P32" s="278">
        <v>12226.169999999998</v>
      </c>
    </row>
    <row r="33" spans="2:16" ht="19" thickBot="1" x14ac:dyDescent="0.35">
      <c r="B33" s="394" t="s">
        <v>33</v>
      </c>
      <c r="C33" s="395"/>
      <c r="D33" s="395"/>
      <c r="E33" s="395"/>
      <c r="F33" s="395"/>
      <c r="G33" s="395"/>
      <c r="H33" s="396"/>
      <c r="J33" s="403" t="s">
        <v>75</v>
      </c>
      <c r="K33" s="404"/>
      <c r="L33" s="404"/>
      <c r="M33" s="404"/>
      <c r="N33" s="246" t="s">
        <v>254</v>
      </c>
      <c r="O33" s="277">
        <v>458</v>
      </c>
      <c r="P33" s="278">
        <v>30783.600000000002</v>
      </c>
    </row>
    <row r="34" spans="2:16" ht="13.5" thickBot="1" x14ac:dyDescent="0.35">
      <c r="B34" s="405" t="s">
        <v>255</v>
      </c>
      <c r="C34" s="406"/>
      <c r="D34" s="406"/>
      <c r="E34" s="406"/>
      <c r="F34" s="274" t="s">
        <v>191</v>
      </c>
      <c r="G34" s="274" t="s">
        <v>192</v>
      </c>
      <c r="H34" s="275" t="s">
        <v>50</v>
      </c>
      <c r="J34" s="403" t="s">
        <v>41</v>
      </c>
      <c r="K34" s="404"/>
      <c r="L34" s="404"/>
      <c r="M34" s="404"/>
      <c r="N34" s="246" t="s">
        <v>256</v>
      </c>
      <c r="O34" s="277">
        <v>2</v>
      </c>
      <c r="P34" s="278">
        <v>1025.75</v>
      </c>
    </row>
    <row r="35" spans="2:16" x14ac:dyDescent="0.3">
      <c r="B35" s="407" t="s">
        <v>257</v>
      </c>
      <c r="C35" s="408"/>
      <c r="D35" s="408"/>
      <c r="E35" s="408"/>
      <c r="F35" s="246" t="s">
        <v>258</v>
      </c>
      <c r="G35" s="277">
        <v>39</v>
      </c>
      <c r="H35" s="278">
        <v>2727.13</v>
      </c>
      <c r="J35" s="403" t="s">
        <v>76</v>
      </c>
      <c r="K35" s="404"/>
      <c r="L35" s="404"/>
      <c r="M35" s="404"/>
      <c r="N35" s="246" t="s">
        <v>259</v>
      </c>
      <c r="O35" s="277">
        <v>1</v>
      </c>
      <c r="P35" s="278">
        <v>100</v>
      </c>
    </row>
    <row r="36" spans="2:16" x14ac:dyDescent="0.3">
      <c r="B36" s="403" t="s">
        <v>260</v>
      </c>
      <c r="C36" s="404"/>
      <c r="D36" s="404"/>
      <c r="E36" s="404"/>
      <c r="F36" s="246" t="s">
        <v>261</v>
      </c>
      <c r="G36" s="277">
        <v>49</v>
      </c>
      <c r="H36" s="278">
        <v>3671.7999999999997</v>
      </c>
      <c r="J36" s="403" t="s">
        <v>42</v>
      </c>
      <c r="K36" s="404"/>
      <c r="L36" s="404"/>
      <c r="M36" s="404"/>
      <c r="N36" s="246" t="s">
        <v>262</v>
      </c>
      <c r="O36" s="277">
        <v>0</v>
      </c>
      <c r="P36" s="278">
        <v>0</v>
      </c>
    </row>
    <row r="37" spans="2:16" x14ac:dyDescent="0.3">
      <c r="B37" s="403" t="s">
        <v>257</v>
      </c>
      <c r="C37" s="404"/>
      <c r="D37" s="404"/>
      <c r="E37" s="404"/>
      <c r="F37" s="246" t="s">
        <v>263</v>
      </c>
      <c r="G37" s="277">
        <v>1</v>
      </c>
      <c r="H37" s="278">
        <v>154.5</v>
      </c>
      <c r="J37" s="403" t="s">
        <v>77</v>
      </c>
      <c r="K37" s="404"/>
      <c r="L37" s="404"/>
      <c r="M37" s="404"/>
      <c r="N37" s="246" t="s">
        <v>264</v>
      </c>
      <c r="O37" s="277">
        <v>0</v>
      </c>
      <c r="P37" s="278">
        <v>0</v>
      </c>
    </row>
    <row r="38" spans="2:16" x14ac:dyDescent="0.3">
      <c r="B38" s="403" t="s">
        <v>260</v>
      </c>
      <c r="C38" s="404"/>
      <c r="D38" s="404"/>
      <c r="E38" s="404"/>
      <c r="F38" s="246" t="s">
        <v>265</v>
      </c>
      <c r="G38" s="277">
        <v>4</v>
      </c>
      <c r="H38" s="278">
        <v>136.5</v>
      </c>
      <c r="J38" s="403" t="s">
        <v>43</v>
      </c>
      <c r="K38" s="404"/>
      <c r="L38" s="404"/>
      <c r="M38" s="404"/>
      <c r="N38" s="246" t="s">
        <v>266</v>
      </c>
      <c r="O38" s="277">
        <v>1464</v>
      </c>
      <c r="P38" s="278">
        <v>188609.03000000003</v>
      </c>
    </row>
    <row r="39" spans="2:16" x14ac:dyDescent="0.3">
      <c r="B39" s="403" t="s">
        <v>267</v>
      </c>
      <c r="C39" s="404"/>
      <c r="D39" s="404"/>
      <c r="E39" s="404"/>
      <c r="F39" s="246" t="s">
        <v>268</v>
      </c>
      <c r="G39" s="277">
        <v>9</v>
      </c>
      <c r="H39" s="278">
        <v>667.15</v>
      </c>
      <c r="J39" s="403" t="s">
        <v>78</v>
      </c>
      <c r="K39" s="404"/>
      <c r="L39" s="404"/>
      <c r="M39" s="404"/>
      <c r="N39" s="246" t="s">
        <v>269</v>
      </c>
      <c r="O39" s="277">
        <v>94</v>
      </c>
      <c r="P39" s="278">
        <v>6642.7799999999988</v>
      </c>
    </row>
    <row r="40" spans="2:16" x14ac:dyDescent="0.3">
      <c r="B40" s="403" t="s">
        <v>270</v>
      </c>
      <c r="C40" s="404"/>
      <c r="D40" s="404"/>
      <c r="E40" s="404"/>
      <c r="F40" s="246" t="s">
        <v>271</v>
      </c>
      <c r="G40" s="277">
        <v>35</v>
      </c>
      <c r="H40" s="278">
        <v>3186.9700000000003</v>
      </c>
      <c r="J40" s="403" t="s">
        <v>44</v>
      </c>
      <c r="K40" s="404"/>
      <c r="L40" s="404"/>
      <c r="M40" s="404"/>
      <c r="N40" s="246" t="s">
        <v>272</v>
      </c>
      <c r="O40" s="277">
        <v>37</v>
      </c>
      <c r="P40" s="278">
        <v>4057.63</v>
      </c>
    </row>
    <row r="41" spans="2:16" x14ac:dyDescent="0.3">
      <c r="B41" s="403" t="s">
        <v>273</v>
      </c>
      <c r="C41" s="404"/>
      <c r="D41" s="404"/>
      <c r="E41" s="404"/>
      <c r="F41" s="246" t="s">
        <v>274</v>
      </c>
      <c r="G41" s="277">
        <v>16</v>
      </c>
      <c r="H41" s="278">
        <v>841.65</v>
      </c>
      <c r="J41" s="403" t="s">
        <v>79</v>
      </c>
      <c r="K41" s="404"/>
      <c r="L41" s="404"/>
      <c r="M41" s="404"/>
      <c r="N41" s="246" t="s">
        <v>275</v>
      </c>
      <c r="O41" s="277">
        <v>275</v>
      </c>
      <c r="P41" s="278">
        <v>24600.190000000002</v>
      </c>
    </row>
    <row r="42" spans="2:16" ht="13.5" thickBot="1" x14ac:dyDescent="0.35">
      <c r="B42" s="403" t="s">
        <v>270</v>
      </c>
      <c r="C42" s="404"/>
      <c r="D42" s="404"/>
      <c r="E42" s="404"/>
      <c r="F42" s="246" t="s">
        <v>276</v>
      </c>
      <c r="G42" s="277">
        <v>1</v>
      </c>
      <c r="H42" s="278">
        <v>103</v>
      </c>
      <c r="J42" s="411" t="s">
        <v>277</v>
      </c>
      <c r="K42" s="412"/>
      <c r="L42" s="412"/>
      <c r="M42" s="412"/>
      <c r="N42" s="246" t="s">
        <v>278</v>
      </c>
      <c r="O42" s="277">
        <v>790</v>
      </c>
      <c r="P42" s="278">
        <v>137732.38</v>
      </c>
    </row>
    <row r="43" spans="2:16" ht="15.5" x14ac:dyDescent="0.3">
      <c r="B43" s="403" t="s">
        <v>273</v>
      </c>
      <c r="C43" s="404"/>
      <c r="D43" s="404"/>
      <c r="E43" s="404"/>
      <c r="F43" s="246" t="s">
        <v>279</v>
      </c>
      <c r="G43" s="277">
        <v>1</v>
      </c>
      <c r="H43" s="278">
        <v>103</v>
      </c>
      <c r="J43" s="409" t="s">
        <v>280</v>
      </c>
      <c r="K43" s="410"/>
      <c r="L43" s="410"/>
      <c r="M43" s="410"/>
      <c r="N43" s="410"/>
      <c r="O43" s="280">
        <v>5778</v>
      </c>
      <c r="P43" s="281">
        <v>709010.8400000002</v>
      </c>
    </row>
    <row r="44" spans="2:16" x14ac:dyDescent="0.3">
      <c r="B44" s="403" t="s">
        <v>281</v>
      </c>
      <c r="C44" s="404"/>
      <c r="D44" s="404"/>
      <c r="E44" s="404"/>
      <c r="F44" s="246" t="s">
        <v>282</v>
      </c>
      <c r="G44" s="277">
        <v>148</v>
      </c>
      <c r="H44" s="278">
        <v>12977.009999999998</v>
      </c>
      <c r="J44" s="413" t="s">
        <v>283</v>
      </c>
      <c r="K44" s="414"/>
      <c r="L44" s="414"/>
      <c r="M44" s="414"/>
      <c r="N44" s="414"/>
      <c r="O44" s="282">
        <v>4219</v>
      </c>
      <c r="P44" s="283">
        <v>506868</v>
      </c>
    </row>
    <row r="45" spans="2:16" ht="13.5" thickBot="1" x14ac:dyDescent="0.35">
      <c r="B45" s="403" t="s">
        <v>281</v>
      </c>
      <c r="C45" s="404"/>
      <c r="D45" s="404"/>
      <c r="E45" s="404"/>
      <c r="F45" s="246" t="s">
        <v>284</v>
      </c>
      <c r="G45" s="277">
        <v>12</v>
      </c>
      <c r="H45" s="278">
        <v>362.05</v>
      </c>
      <c r="J45" s="386" t="s">
        <v>185</v>
      </c>
      <c r="K45" s="387"/>
      <c r="L45" s="387"/>
      <c r="M45" s="387"/>
      <c r="N45" s="387"/>
      <c r="O45" s="284">
        <v>1.3695188433278027</v>
      </c>
      <c r="P45" s="285">
        <v>1.3988076580095807</v>
      </c>
    </row>
    <row r="46" spans="2:16" ht="13.5" thickBot="1" x14ac:dyDescent="0.35">
      <c r="B46" s="403" t="s">
        <v>281</v>
      </c>
      <c r="C46" s="404"/>
      <c r="D46" s="404"/>
      <c r="E46" s="404"/>
      <c r="F46" s="246" t="s">
        <v>285</v>
      </c>
      <c r="G46" s="277">
        <v>10</v>
      </c>
      <c r="H46" s="278">
        <v>757.5</v>
      </c>
    </row>
    <row r="47" spans="2:16" ht="19" thickBot="1" x14ac:dyDescent="0.35">
      <c r="B47" s="403" t="s">
        <v>286</v>
      </c>
      <c r="C47" s="404"/>
      <c r="D47" s="404"/>
      <c r="E47" s="404"/>
      <c r="F47" s="246" t="s">
        <v>287</v>
      </c>
      <c r="G47" s="277">
        <v>43</v>
      </c>
      <c r="H47" s="278">
        <v>3834.5299999999997</v>
      </c>
      <c r="J47" s="394" t="s">
        <v>288</v>
      </c>
      <c r="K47" s="395"/>
      <c r="L47" s="395"/>
      <c r="M47" s="395"/>
      <c r="N47" s="395"/>
      <c r="O47" s="395"/>
      <c r="P47" s="396"/>
    </row>
    <row r="48" spans="2:16" ht="13.5" thickBot="1" x14ac:dyDescent="0.35">
      <c r="B48" s="403" t="s">
        <v>289</v>
      </c>
      <c r="C48" s="404"/>
      <c r="D48" s="404"/>
      <c r="E48" s="404"/>
      <c r="F48" s="246" t="s">
        <v>290</v>
      </c>
      <c r="G48" s="277">
        <v>43</v>
      </c>
      <c r="H48" s="278">
        <v>3253.69</v>
      </c>
      <c r="J48" s="405" t="s">
        <v>190</v>
      </c>
      <c r="K48" s="406"/>
      <c r="L48" s="406"/>
      <c r="M48" s="406"/>
      <c r="N48" s="274" t="s">
        <v>191</v>
      </c>
      <c r="O48" s="274" t="s">
        <v>192</v>
      </c>
      <c r="P48" s="275" t="s">
        <v>50</v>
      </c>
    </row>
    <row r="49" spans="2:16" x14ac:dyDescent="0.3">
      <c r="B49" s="403" t="s">
        <v>286</v>
      </c>
      <c r="C49" s="404"/>
      <c r="D49" s="404"/>
      <c r="E49" s="404"/>
      <c r="F49" s="246" t="s">
        <v>291</v>
      </c>
      <c r="G49" s="277">
        <v>1</v>
      </c>
      <c r="H49" s="278">
        <v>25.75</v>
      </c>
      <c r="J49" s="407" t="s">
        <v>4</v>
      </c>
      <c r="K49" s="408"/>
      <c r="L49" s="408" t="s">
        <v>292</v>
      </c>
      <c r="M49" s="408"/>
      <c r="N49" s="246" t="s">
        <v>293</v>
      </c>
      <c r="O49" s="277">
        <v>0</v>
      </c>
      <c r="P49" s="278">
        <v>0</v>
      </c>
    </row>
    <row r="50" spans="2:16" x14ac:dyDescent="0.3">
      <c r="B50" s="403" t="s">
        <v>289</v>
      </c>
      <c r="C50" s="404"/>
      <c r="D50" s="404"/>
      <c r="E50" s="404"/>
      <c r="F50" s="246" t="s">
        <v>294</v>
      </c>
      <c r="G50" s="277">
        <v>5</v>
      </c>
      <c r="H50" s="278">
        <v>166.57</v>
      </c>
      <c r="J50" s="403" t="s">
        <v>4</v>
      </c>
      <c r="K50" s="404"/>
      <c r="L50" s="404" t="s">
        <v>292</v>
      </c>
      <c r="M50" s="404"/>
      <c r="N50" s="246" t="s">
        <v>295</v>
      </c>
      <c r="O50" s="277">
        <v>2</v>
      </c>
      <c r="P50" s="278">
        <v>128.75</v>
      </c>
    </row>
    <row r="51" spans="2:16" x14ac:dyDescent="0.3">
      <c r="B51" s="403" t="s">
        <v>296</v>
      </c>
      <c r="C51" s="404"/>
      <c r="D51" s="404"/>
      <c r="E51" s="404"/>
      <c r="F51" s="246" t="s">
        <v>297</v>
      </c>
      <c r="G51" s="277">
        <v>28</v>
      </c>
      <c r="H51" s="278">
        <v>1870.3700000000001</v>
      </c>
      <c r="J51" s="403" t="s">
        <v>4</v>
      </c>
      <c r="K51" s="404"/>
      <c r="L51" s="404" t="s">
        <v>292</v>
      </c>
      <c r="M51" s="404"/>
      <c r="N51" s="246" t="s">
        <v>298</v>
      </c>
      <c r="O51" s="277">
        <v>2</v>
      </c>
      <c r="P51" s="278">
        <v>70</v>
      </c>
    </row>
    <row r="52" spans="2:16" x14ac:dyDescent="0.3">
      <c r="B52" s="403" t="s">
        <v>299</v>
      </c>
      <c r="C52" s="404"/>
      <c r="D52" s="404"/>
      <c r="E52" s="404"/>
      <c r="F52" s="246" t="s">
        <v>300</v>
      </c>
      <c r="G52" s="277">
        <v>25</v>
      </c>
      <c r="H52" s="278">
        <v>1515.76</v>
      </c>
      <c r="J52" s="403" t="s">
        <v>4</v>
      </c>
      <c r="K52" s="404"/>
      <c r="L52" s="404" t="s">
        <v>223</v>
      </c>
      <c r="M52" s="404"/>
      <c r="N52" s="246" t="s">
        <v>301</v>
      </c>
      <c r="O52" s="277">
        <v>1</v>
      </c>
      <c r="P52" s="278">
        <v>51.5</v>
      </c>
    </row>
    <row r="53" spans="2:16" x14ac:dyDescent="0.3">
      <c r="B53" s="403" t="s">
        <v>296</v>
      </c>
      <c r="C53" s="404"/>
      <c r="D53" s="404"/>
      <c r="E53" s="404"/>
      <c r="F53" s="246" t="s">
        <v>302</v>
      </c>
      <c r="G53" s="277">
        <v>2</v>
      </c>
      <c r="H53" s="278">
        <v>55.15</v>
      </c>
      <c r="J53" s="403" t="s">
        <v>4</v>
      </c>
      <c r="K53" s="404"/>
      <c r="L53" s="404" t="s">
        <v>223</v>
      </c>
      <c r="M53" s="404"/>
      <c r="N53" s="246" t="s">
        <v>303</v>
      </c>
      <c r="O53" s="277">
        <v>0</v>
      </c>
      <c r="P53" s="278">
        <v>0</v>
      </c>
    </row>
    <row r="54" spans="2:16" x14ac:dyDescent="0.3">
      <c r="B54" s="403" t="s">
        <v>299</v>
      </c>
      <c r="C54" s="404"/>
      <c r="D54" s="404"/>
      <c r="E54" s="404"/>
      <c r="F54" s="246" t="s">
        <v>304</v>
      </c>
      <c r="G54" s="277">
        <v>2</v>
      </c>
      <c r="H54" s="278">
        <v>36.049999999999997</v>
      </c>
      <c r="J54" s="403" t="s">
        <v>4</v>
      </c>
      <c r="K54" s="404"/>
      <c r="L54" s="404" t="s">
        <v>223</v>
      </c>
      <c r="M54" s="404"/>
      <c r="N54" s="246" t="s">
        <v>305</v>
      </c>
      <c r="O54" s="277">
        <v>0</v>
      </c>
      <c r="P54" s="278">
        <v>0</v>
      </c>
    </row>
    <row r="55" spans="2:16" x14ac:dyDescent="0.3">
      <c r="B55" s="403" t="s">
        <v>306</v>
      </c>
      <c r="C55" s="404"/>
      <c r="D55" s="404"/>
      <c r="E55" s="404"/>
      <c r="F55" s="246" t="s">
        <v>307</v>
      </c>
      <c r="G55" s="277">
        <v>193</v>
      </c>
      <c r="H55" s="278">
        <v>17075.73</v>
      </c>
      <c r="J55" s="403" t="s">
        <v>308</v>
      </c>
      <c r="K55" s="404"/>
      <c r="L55" s="404" t="s">
        <v>292</v>
      </c>
      <c r="M55" s="404"/>
      <c r="N55" s="246" t="s">
        <v>309</v>
      </c>
      <c r="O55" s="277">
        <v>0</v>
      </c>
      <c r="P55" s="278">
        <v>0</v>
      </c>
    </row>
    <row r="56" spans="2:16" x14ac:dyDescent="0.3">
      <c r="B56" s="403" t="s">
        <v>306</v>
      </c>
      <c r="C56" s="404"/>
      <c r="D56" s="404"/>
      <c r="E56" s="404"/>
      <c r="F56" s="246" t="s">
        <v>310</v>
      </c>
      <c r="G56" s="277">
        <v>4</v>
      </c>
      <c r="H56" s="278">
        <v>80.34</v>
      </c>
      <c r="J56" s="403" t="s">
        <v>308</v>
      </c>
      <c r="K56" s="404"/>
      <c r="L56" s="404" t="s">
        <v>292</v>
      </c>
      <c r="M56" s="404"/>
      <c r="N56" s="246" t="s">
        <v>311</v>
      </c>
      <c r="O56" s="277">
        <v>0</v>
      </c>
      <c r="P56" s="278">
        <v>0</v>
      </c>
    </row>
    <row r="57" spans="2:16" x14ac:dyDescent="0.3">
      <c r="B57" s="403" t="s">
        <v>312</v>
      </c>
      <c r="C57" s="404"/>
      <c r="D57" s="404"/>
      <c r="E57" s="404"/>
      <c r="F57" s="246" t="s">
        <v>313</v>
      </c>
      <c r="G57" s="277">
        <v>135</v>
      </c>
      <c r="H57" s="278">
        <v>13458.36</v>
      </c>
      <c r="J57" s="403" t="s">
        <v>308</v>
      </c>
      <c r="K57" s="404"/>
      <c r="L57" s="404" t="s">
        <v>292</v>
      </c>
      <c r="M57" s="404"/>
      <c r="N57" s="246" t="s">
        <v>314</v>
      </c>
      <c r="O57" s="277">
        <v>0</v>
      </c>
      <c r="P57" s="278">
        <v>0</v>
      </c>
    </row>
    <row r="58" spans="2:16" x14ac:dyDescent="0.3">
      <c r="B58" s="403" t="s">
        <v>312</v>
      </c>
      <c r="C58" s="404"/>
      <c r="D58" s="404"/>
      <c r="E58" s="404"/>
      <c r="F58" s="246" t="s">
        <v>315</v>
      </c>
      <c r="G58" s="277">
        <v>12</v>
      </c>
      <c r="H58" s="278">
        <v>879.6</v>
      </c>
      <c r="J58" s="403" t="s">
        <v>308</v>
      </c>
      <c r="K58" s="404"/>
      <c r="L58" s="404" t="s">
        <v>223</v>
      </c>
      <c r="M58" s="404"/>
      <c r="N58" s="246" t="s">
        <v>316</v>
      </c>
      <c r="O58" s="277">
        <v>0</v>
      </c>
      <c r="P58" s="278">
        <v>0</v>
      </c>
    </row>
    <row r="59" spans="2:16" x14ac:dyDescent="0.3">
      <c r="B59" s="403" t="s">
        <v>312</v>
      </c>
      <c r="C59" s="404"/>
      <c r="D59" s="404"/>
      <c r="E59" s="404"/>
      <c r="F59" s="246" t="s">
        <v>317</v>
      </c>
      <c r="G59" s="277">
        <v>3</v>
      </c>
      <c r="H59" s="278">
        <v>107.25</v>
      </c>
      <c r="J59" s="403" t="s">
        <v>308</v>
      </c>
      <c r="K59" s="404"/>
      <c r="L59" s="404" t="s">
        <v>223</v>
      </c>
      <c r="M59" s="404"/>
      <c r="N59" s="246" t="s">
        <v>318</v>
      </c>
      <c r="O59" s="277">
        <v>0</v>
      </c>
      <c r="P59" s="278">
        <v>0</v>
      </c>
    </row>
    <row r="60" spans="2:16" x14ac:dyDescent="0.3">
      <c r="B60" s="403" t="s">
        <v>319</v>
      </c>
      <c r="C60" s="404"/>
      <c r="D60" s="404"/>
      <c r="E60" s="404"/>
      <c r="F60" s="246" t="s">
        <v>320</v>
      </c>
      <c r="G60" s="277">
        <v>357</v>
      </c>
      <c r="H60" s="278">
        <v>31533.850000000002</v>
      </c>
      <c r="J60" s="403" t="s">
        <v>308</v>
      </c>
      <c r="K60" s="404"/>
      <c r="L60" s="404" t="s">
        <v>223</v>
      </c>
      <c r="M60" s="404"/>
      <c r="N60" s="246" t="s">
        <v>321</v>
      </c>
      <c r="O60" s="277">
        <v>0</v>
      </c>
      <c r="P60" s="278">
        <v>0</v>
      </c>
    </row>
    <row r="61" spans="2:16" x14ac:dyDescent="0.3">
      <c r="B61" s="403" t="s">
        <v>319</v>
      </c>
      <c r="C61" s="404"/>
      <c r="D61" s="404"/>
      <c r="E61" s="404"/>
      <c r="F61" s="246" t="s">
        <v>322</v>
      </c>
      <c r="G61" s="277">
        <v>24</v>
      </c>
      <c r="H61" s="278">
        <v>1255.17</v>
      </c>
      <c r="J61" s="403" t="s">
        <v>323</v>
      </c>
      <c r="K61" s="404"/>
      <c r="L61" s="404" t="s">
        <v>324</v>
      </c>
      <c r="M61" s="404"/>
      <c r="N61" s="246" t="s">
        <v>325</v>
      </c>
      <c r="O61" s="277">
        <v>0</v>
      </c>
      <c r="P61" s="278">
        <v>0</v>
      </c>
    </row>
    <row r="62" spans="2:16" x14ac:dyDescent="0.3">
      <c r="B62" s="403" t="s">
        <v>319</v>
      </c>
      <c r="C62" s="404"/>
      <c r="D62" s="404"/>
      <c r="E62" s="404"/>
      <c r="F62" s="246" t="s">
        <v>326</v>
      </c>
      <c r="G62" s="277">
        <v>13</v>
      </c>
      <c r="H62" s="278">
        <v>1287.0999999999999</v>
      </c>
      <c r="J62" s="403" t="s">
        <v>323</v>
      </c>
      <c r="K62" s="404"/>
      <c r="L62" s="404" t="s">
        <v>324</v>
      </c>
      <c r="M62" s="404"/>
      <c r="N62" s="246" t="s">
        <v>327</v>
      </c>
      <c r="O62" s="277">
        <v>1</v>
      </c>
      <c r="P62" s="278">
        <v>100</v>
      </c>
    </row>
    <row r="63" spans="2:16" x14ac:dyDescent="0.3">
      <c r="B63" s="403" t="s">
        <v>328</v>
      </c>
      <c r="C63" s="404"/>
      <c r="D63" s="404"/>
      <c r="E63" s="404"/>
      <c r="F63" s="246" t="s">
        <v>329</v>
      </c>
      <c r="G63" s="277">
        <v>311</v>
      </c>
      <c r="H63" s="278">
        <v>24497.97</v>
      </c>
      <c r="J63" s="403" t="s">
        <v>323</v>
      </c>
      <c r="K63" s="404"/>
      <c r="L63" s="404" t="s">
        <v>324</v>
      </c>
      <c r="M63" s="404"/>
      <c r="N63" s="246" t="s">
        <v>330</v>
      </c>
      <c r="O63" s="277">
        <v>0</v>
      </c>
      <c r="P63" s="278">
        <v>0</v>
      </c>
    </row>
    <row r="64" spans="2:16" x14ac:dyDescent="0.3">
      <c r="B64" s="403" t="s">
        <v>328</v>
      </c>
      <c r="C64" s="404"/>
      <c r="D64" s="404"/>
      <c r="E64" s="404"/>
      <c r="F64" s="246" t="s">
        <v>331</v>
      </c>
      <c r="G64" s="277">
        <v>12</v>
      </c>
      <c r="H64" s="278">
        <v>420.2</v>
      </c>
      <c r="J64" s="403" t="s">
        <v>332</v>
      </c>
      <c r="K64" s="404"/>
      <c r="L64" s="404" t="s">
        <v>324</v>
      </c>
      <c r="M64" s="404"/>
      <c r="N64" s="246" t="s">
        <v>333</v>
      </c>
      <c r="O64" s="277">
        <v>0</v>
      </c>
      <c r="P64" s="278">
        <v>0</v>
      </c>
    </row>
    <row r="65" spans="2:16" x14ac:dyDescent="0.3">
      <c r="B65" s="403" t="s">
        <v>334</v>
      </c>
      <c r="C65" s="404"/>
      <c r="D65" s="404"/>
      <c r="E65" s="404"/>
      <c r="F65" s="246" t="s">
        <v>335</v>
      </c>
      <c r="G65" s="277">
        <v>143</v>
      </c>
      <c r="H65" s="278">
        <v>11098.319999999998</v>
      </c>
      <c r="J65" s="403" t="s">
        <v>332</v>
      </c>
      <c r="K65" s="404"/>
      <c r="L65" s="404" t="s">
        <v>324</v>
      </c>
      <c r="M65" s="404"/>
      <c r="N65" s="246" t="s">
        <v>336</v>
      </c>
      <c r="O65" s="277">
        <v>0</v>
      </c>
      <c r="P65" s="278">
        <v>0</v>
      </c>
    </row>
    <row r="66" spans="2:16" x14ac:dyDescent="0.3">
      <c r="B66" s="403" t="s">
        <v>334</v>
      </c>
      <c r="C66" s="404"/>
      <c r="D66" s="404"/>
      <c r="E66" s="404"/>
      <c r="F66" s="246" t="s">
        <v>337</v>
      </c>
      <c r="G66" s="277">
        <v>4</v>
      </c>
      <c r="H66" s="278">
        <v>228.75</v>
      </c>
      <c r="J66" s="403" t="s">
        <v>332</v>
      </c>
      <c r="K66" s="404"/>
      <c r="L66" s="404" t="s">
        <v>324</v>
      </c>
      <c r="M66" s="404"/>
      <c r="N66" s="246" t="s">
        <v>338</v>
      </c>
      <c r="O66" s="277">
        <v>0</v>
      </c>
      <c r="P66" s="278">
        <v>0</v>
      </c>
    </row>
    <row r="67" spans="2:16" x14ac:dyDescent="0.3">
      <c r="B67" s="403" t="s">
        <v>339</v>
      </c>
      <c r="C67" s="404"/>
      <c r="D67" s="404"/>
      <c r="E67" s="404"/>
      <c r="F67" s="246" t="s">
        <v>340</v>
      </c>
      <c r="G67" s="277">
        <v>139</v>
      </c>
      <c r="H67" s="278">
        <v>13557.92</v>
      </c>
      <c r="J67" s="403" t="s">
        <v>341</v>
      </c>
      <c r="K67" s="404"/>
      <c r="L67" s="404" t="s">
        <v>342</v>
      </c>
      <c r="M67" s="404"/>
      <c r="N67" s="246" t="s">
        <v>343</v>
      </c>
      <c r="O67" s="277">
        <v>1</v>
      </c>
      <c r="P67" s="278">
        <v>19</v>
      </c>
    </row>
    <row r="68" spans="2:16" x14ac:dyDescent="0.3">
      <c r="B68" s="403" t="s">
        <v>339</v>
      </c>
      <c r="C68" s="404"/>
      <c r="D68" s="404"/>
      <c r="E68" s="404"/>
      <c r="F68" s="246" t="s">
        <v>344</v>
      </c>
      <c r="G68" s="277">
        <v>5</v>
      </c>
      <c r="H68" s="278">
        <v>226.6</v>
      </c>
      <c r="J68" s="403" t="s">
        <v>341</v>
      </c>
      <c r="K68" s="404"/>
      <c r="L68" s="404" t="s">
        <v>342</v>
      </c>
      <c r="M68" s="404"/>
      <c r="N68" s="246" t="s">
        <v>345</v>
      </c>
      <c r="O68" s="277">
        <v>0</v>
      </c>
      <c r="P68" s="278">
        <v>0</v>
      </c>
    </row>
    <row r="69" spans="2:16" ht="13.5" thickBot="1" x14ac:dyDescent="0.35">
      <c r="B69" s="403" t="s">
        <v>346</v>
      </c>
      <c r="C69" s="404"/>
      <c r="D69" s="404"/>
      <c r="E69" s="404"/>
      <c r="F69" s="246" t="s">
        <v>347</v>
      </c>
      <c r="G69" s="277">
        <v>131</v>
      </c>
      <c r="H69" s="278">
        <v>13233.250000000002</v>
      </c>
      <c r="J69" s="403" t="s">
        <v>341</v>
      </c>
      <c r="K69" s="404"/>
      <c r="L69" s="404" t="s">
        <v>342</v>
      </c>
      <c r="M69" s="404"/>
      <c r="N69" s="246" t="s">
        <v>348</v>
      </c>
      <c r="O69" s="277">
        <v>0</v>
      </c>
      <c r="P69" s="278">
        <v>0</v>
      </c>
    </row>
    <row r="70" spans="2:16" ht="16" thickBot="1" x14ac:dyDescent="0.35">
      <c r="B70" s="403" t="s">
        <v>346</v>
      </c>
      <c r="C70" s="404"/>
      <c r="D70" s="404"/>
      <c r="E70" s="404"/>
      <c r="F70" s="246" t="s">
        <v>349</v>
      </c>
      <c r="G70" s="277">
        <v>17</v>
      </c>
      <c r="H70" s="278">
        <v>707.5</v>
      </c>
      <c r="J70" s="415" t="s">
        <v>350</v>
      </c>
      <c r="K70" s="416"/>
      <c r="L70" s="416"/>
      <c r="M70" s="416"/>
      <c r="N70" s="416"/>
      <c r="O70" s="286">
        <v>7</v>
      </c>
      <c r="P70" s="287">
        <v>369.25</v>
      </c>
    </row>
    <row r="71" spans="2:16" x14ac:dyDescent="0.3">
      <c r="B71" s="403" t="s">
        <v>346</v>
      </c>
      <c r="C71" s="404"/>
      <c r="D71" s="404"/>
      <c r="E71" s="404"/>
      <c r="F71" s="246" t="s">
        <v>351</v>
      </c>
      <c r="G71" s="277">
        <v>3</v>
      </c>
      <c r="H71" s="278">
        <v>91.1</v>
      </c>
      <c r="J71" s="413" t="s">
        <v>352</v>
      </c>
      <c r="K71" s="414"/>
      <c r="L71" s="414"/>
      <c r="M71" s="414"/>
      <c r="N71" s="414"/>
      <c r="O71" s="282">
        <v>8</v>
      </c>
      <c r="P71" s="283">
        <v>582</v>
      </c>
    </row>
    <row r="72" spans="2:16" ht="13.5" thickBot="1" x14ac:dyDescent="0.35">
      <c r="B72" s="411" t="s">
        <v>353</v>
      </c>
      <c r="C72" s="412"/>
      <c r="D72" s="412"/>
      <c r="E72" s="412"/>
      <c r="F72" s="246" t="s">
        <v>354</v>
      </c>
      <c r="G72" s="277">
        <v>1</v>
      </c>
      <c r="H72" s="278">
        <v>25.75</v>
      </c>
      <c r="J72" s="386" t="s">
        <v>185</v>
      </c>
      <c r="K72" s="387"/>
      <c r="L72" s="387"/>
      <c r="M72" s="387"/>
      <c r="N72" s="387"/>
      <c r="O72" s="284">
        <v>0.875</v>
      </c>
      <c r="P72" s="285">
        <v>0.63445017182130581</v>
      </c>
    </row>
    <row r="73" spans="2:16" ht="16" thickBot="1" x14ac:dyDescent="0.35">
      <c r="B73" s="415" t="s">
        <v>355</v>
      </c>
      <c r="C73" s="416"/>
      <c r="D73" s="416"/>
      <c r="E73" s="416"/>
      <c r="F73" s="416"/>
      <c r="G73" s="286">
        <v>1981</v>
      </c>
      <c r="H73" s="287">
        <v>166210.89000000004</v>
      </c>
    </row>
    <row r="74" spans="2:16" ht="19" thickBot="1" x14ac:dyDescent="0.35">
      <c r="B74" s="420" t="s">
        <v>356</v>
      </c>
      <c r="C74" s="421"/>
      <c r="D74" s="421"/>
      <c r="E74" s="421"/>
      <c r="F74" s="421"/>
      <c r="G74" s="288">
        <v>1656</v>
      </c>
      <c r="H74" s="289">
        <v>158837</v>
      </c>
      <c r="J74" s="394" t="s">
        <v>372</v>
      </c>
      <c r="K74" s="395"/>
      <c r="L74" s="395"/>
      <c r="M74" s="395"/>
      <c r="N74" s="395"/>
      <c r="O74" s="395"/>
      <c r="P74" s="396"/>
    </row>
    <row r="75" spans="2:16" ht="13.5" thickBot="1" x14ac:dyDescent="0.35">
      <c r="B75" s="422" t="s">
        <v>185</v>
      </c>
      <c r="C75" s="423"/>
      <c r="D75" s="423"/>
      <c r="E75" s="423"/>
      <c r="F75" s="423"/>
      <c r="G75" s="290">
        <v>1.1962560386473431</v>
      </c>
      <c r="H75" s="291">
        <v>1.0464242588313808</v>
      </c>
      <c r="J75" s="405" t="s">
        <v>190</v>
      </c>
      <c r="K75" s="406"/>
      <c r="L75" s="406"/>
      <c r="M75" s="406"/>
      <c r="N75" s="273" t="s">
        <v>191</v>
      </c>
      <c r="O75" s="273" t="s">
        <v>192</v>
      </c>
      <c r="P75" s="292" t="s">
        <v>50</v>
      </c>
    </row>
    <row r="76" spans="2:16" ht="13.5" thickBot="1" x14ac:dyDescent="0.35">
      <c r="B76" s="424" t="s">
        <v>357</v>
      </c>
      <c r="C76" s="425"/>
      <c r="D76" s="425"/>
      <c r="E76" s="425"/>
      <c r="F76" s="425"/>
      <c r="G76" s="425"/>
      <c r="H76" s="426"/>
      <c r="J76" s="407" t="s">
        <v>358</v>
      </c>
      <c r="K76" s="408"/>
      <c r="L76" s="408"/>
      <c r="M76" s="408"/>
      <c r="N76" s="276" t="s">
        <v>359</v>
      </c>
      <c r="O76" s="417">
        <v>19</v>
      </c>
      <c r="P76" s="435">
        <v>1575.75</v>
      </c>
    </row>
    <row r="77" spans="2:16" ht="13.5" thickBot="1" x14ac:dyDescent="0.35">
      <c r="J77" s="403" t="s">
        <v>360</v>
      </c>
      <c r="K77" s="404"/>
      <c r="L77" s="404"/>
      <c r="M77" s="404"/>
      <c r="N77" s="246" t="s">
        <v>361</v>
      </c>
      <c r="O77" s="418"/>
      <c r="P77" s="436"/>
    </row>
    <row r="78" spans="2:16" ht="19" thickBot="1" x14ac:dyDescent="0.35">
      <c r="B78" s="457" t="s">
        <v>362</v>
      </c>
      <c r="C78" s="458"/>
      <c r="D78" s="458"/>
      <c r="E78" s="458"/>
      <c r="F78" s="458"/>
      <c r="G78" s="458"/>
      <c r="H78" s="459"/>
      <c r="J78" s="403" t="s">
        <v>363</v>
      </c>
      <c r="K78" s="404"/>
      <c r="L78" s="404"/>
      <c r="M78" s="404"/>
      <c r="N78" s="246" t="s">
        <v>364</v>
      </c>
      <c r="O78" s="418"/>
      <c r="P78" s="436"/>
    </row>
    <row r="79" spans="2:16" ht="13.5" thickBot="1" x14ac:dyDescent="0.35">
      <c r="B79" s="460" t="s">
        <v>190</v>
      </c>
      <c r="C79" s="461"/>
      <c r="D79" s="461"/>
      <c r="E79" s="461"/>
      <c r="F79" s="293" t="s">
        <v>191</v>
      </c>
      <c r="G79" s="293" t="s">
        <v>192</v>
      </c>
      <c r="H79" s="294" t="s">
        <v>50</v>
      </c>
      <c r="J79" s="403" t="s">
        <v>363</v>
      </c>
      <c r="K79" s="404"/>
      <c r="L79" s="404"/>
      <c r="M79" s="404"/>
      <c r="N79" s="246" t="s">
        <v>365</v>
      </c>
      <c r="O79" s="418"/>
      <c r="P79" s="436"/>
    </row>
    <row r="80" spans="2:16" x14ac:dyDescent="0.3">
      <c r="B80" s="462"/>
      <c r="C80" s="463"/>
      <c r="D80" s="463"/>
      <c r="E80" s="463"/>
      <c r="F80" s="295"/>
      <c r="G80" s="296">
        <v>0</v>
      </c>
      <c r="H80" s="297">
        <v>0</v>
      </c>
      <c r="J80" s="403" t="s">
        <v>363</v>
      </c>
      <c r="K80" s="404"/>
      <c r="L80" s="404"/>
      <c r="M80" s="404"/>
      <c r="N80" s="246" t="s">
        <v>366</v>
      </c>
      <c r="O80" s="418"/>
      <c r="P80" s="436"/>
    </row>
    <row r="81" spans="2:16" ht="13.5" thickBot="1" x14ac:dyDescent="0.35">
      <c r="B81" s="453"/>
      <c r="C81" s="454"/>
      <c r="D81" s="454"/>
      <c r="E81" s="454"/>
      <c r="F81" s="295"/>
      <c r="G81" s="296">
        <v>0</v>
      </c>
      <c r="H81" s="297">
        <v>0</v>
      </c>
      <c r="J81" s="411" t="s">
        <v>363</v>
      </c>
      <c r="K81" s="412"/>
      <c r="L81" s="412"/>
      <c r="M81" s="412"/>
      <c r="N81" s="279" t="s">
        <v>367</v>
      </c>
      <c r="O81" s="419"/>
      <c r="P81" s="437"/>
    </row>
    <row r="82" spans="2:16" ht="16" thickBot="1" x14ac:dyDescent="0.35">
      <c r="B82" s="455" t="s">
        <v>368</v>
      </c>
      <c r="C82" s="456"/>
      <c r="D82" s="456"/>
      <c r="E82" s="456"/>
      <c r="F82" s="456"/>
      <c r="G82" s="298">
        <v>0</v>
      </c>
      <c r="H82" s="299">
        <v>0</v>
      </c>
      <c r="J82" s="427" t="s">
        <v>369</v>
      </c>
      <c r="K82" s="428"/>
      <c r="L82" s="428"/>
      <c r="M82" s="428"/>
      <c r="N82" s="428"/>
      <c r="O82" s="300">
        <v>19</v>
      </c>
      <c r="P82" s="301">
        <v>1575.75</v>
      </c>
    </row>
    <row r="83" spans="2:16" x14ac:dyDescent="0.3">
      <c r="J83" s="413" t="s">
        <v>370</v>
      </c>
      <c r="K83" s="414"/>
      <c r="L83" s="414"/>
      <c r="M83" s="414"/>
      <c r="N83" s="414"/>
      <c r="O83" s="282">
        <v>177</v>
      </c>
      <c r="P83" s="283">
        <v>14312</v>
      </c>
    </row>
    <row r="84" spans="2:16" ht="13.5" thickBot="1" x14ac:dyDescent="0.35">
      <c r="J84" s="386" t="s">
        <v>185</v>
      </c>
      <c r="K84" s="387"/>
      <c r="L84" s="387"/>
      <c r="M84" s="387"/>
      <c r="N84" s="387"/>
      <c r="O84" s="284">
        <v>0.10734463276836158</v>
      </c>
      <c r="P84" s="285">
        <v>0.11009991615427613</v>
      </c>
    </row>
    <row r="85" spans="2:16" x14ac:dyDescent="0.3">
      <c r="J85" s="429" t="s">
        <v>371</v>
      </c>
      <c r="K85" s="430"/>
      <c r="L85" s="430"/>
      <c r="M85" s="430"/>
      <c r="N85" s="430"/>
      <c r="O85" s="430"/>
      <c r="P85" s="431"/>
    </row>
    <row r="86" spans="2:16" ht="13.5" thickBot="1" x14ac:dyDescent="0.35">
      <c r="J86" s="432"/>
      <c r="K86" s="433"/>
      <c r="L86" s="433"/>
      <c r="M86" s="433"/>
      <c r="N86" s="433"/>
      <c r="O86" s="433"/>
      <c r="P86" s="434"/>
    </row>
  </sheetData>
  <mergeCells count="186">
    <mergeCell ref="J84:N84"/>
    <mergeCell ref="J85:P86"/>
    <mergeCell ref="J80:M80"/>
    <mergeCell ref="B81:E81"/>
    <mergeCell ref="J81:M81"/>
    <mergeCell ref="B82:F82"/>
    <mergeCell ref="J82:N82"/>
    <mergeCell ref="J83:N83"/>
    <mergeCell ref="B76:H76"/>
    <mergeCell ref="J76:M76"/>
    <mergeCell ref="O76:O81"/>
    <mergeCell ref="P76:P81"/>
    <mergeCell ref="J77:M77"/>
    <mergeCell ref="B78:H78"/>
    <mergeCell ref="J78:M78"/>
    <mergeCell ref="B79:E79"/>
    <mergeCell ref="J79:M79"/>
    <mergeCell ref="B80:E80"/>
    <mergeCell ref="B72:E72"/>
    <mergeCell ref="J72:N72"/>
    <mergeCell ref="B73:F73"/>
    <mergeCell ref="B74:F74"/>
    <mergeCell ref="J74:P74"/>
    <mergeCell ref="B75:F75"/>
    <mergeCell ref="J75:M75"/>
    <mergeCell ref="B69:E69"/>
    <mergeCell ref="J69:K69"/>
    <mergeCell ref="L69:M69"/>
    <mergeCell ref="B70:E70"/>
    <mergeCell ref="J70:N70"/>
    <mergeCell ref="B71:E71"/>
    <mergeCell ref="J71:N71"/>
    <mergeCell ref="B67:E67"/>
    <mergeCell ref="J67:K67"/>
    <mergeCell ref="L67:M67"/>
    <mergeCell ref="B68:E68"/>
    <mergeCell ref="J68:K68"/>
    <mergeCell ref="L68:M68"/>
    <mergeCell ref="B65:E65"/>
    <mergeCell ref="J65:K65"/>
    <mergeCell ref="L65:M65"/>
    <mergeCell ref="B66:E66"/>
    <mergeCell ref="J66:K66"/>
    <mergeCell ref="L66:M66"/>
    <mergeCell ref="B63:E63"/>
    <mergeCell ref="J63:K63"/>
    <mergeCell ref="L63:M63"/>
    <mergeCell ref="B64:E64"/>
    <mergeCell ref="J64:K64"/>
    <mergeCell ref="L64:M64"/>
    <mergeCell ref="B61:E61"/>
    <mergeCell ref="J61:K61"/>
    <mergeCell ref="L61:M61"/>
    <mergeCell ref="B62:E62"/>
    <mergeCell ref="J62:K62"/>
    <mergeCell ref="L62:M62"/>
    <mergeCell ref="B59:E59"/>
    <mergeCell ref="J59:K59"/>
    <mergeCell ref="L59:M59"/>
    <mergeCell ref="B60:E60"/>
    <mergeCell ref="J60:K60"/>
    <mergeCell ref="L60:M60"/>
    <mergeCell ref="B57:E57"/>
    <mergeCell ref="J57:K57"/>
    <mergeCell ref="L57:M57"/>
    <mergeCell ref="B58:E58"/>
    <mergeCell ref="J58:K58"/>
    <mergeCell ref="L58:M58"/>
    <mergeCell ref="B55:E55"/>
    <mergeCell ref="J55:K55"/>
    <mergeCell ref="L55:M55"/>
    <mergeCell ref="B56:E56"/>
    <mergeCell ref="J56:K56"/>
    <mergeCell ref="L56:M56"/>
    <mergeCell ref="B53:E53"/>
    <mergeCell ref="J53:K53"/>
    <mergeCell ref="L53:M53"/>
    <mergeCell ref="B54:E54"/>
    <mergeCell ref="J54:K54"/>
    <mergeCell ref="L54:M54"/>
    <mergeCell ref="B51:E51"/>
    <mergeCell ref="J51:K51"/>
    <mergeCell ref="L51:M51"/>
    <mergeCell ref="B52:E52"/>
    <mergeCell ref="J52:K52"/>
    <mergeCell ref="L52:M52"/>
    <mergeCell ref="B48:E48"/>
    <mergeCell ref="J48:M48"/>
    <mergeCell ref="B49:E49"/>
    <mergeCell ref="J49:K49"/>
    <mergeCell ref="L49:M49"/>
    <mergeCell ref="B50:E50"/>
    <mergeCell ref="J50:K50"/>
    <mergeCell ref="L50:M50"/>
    <mergeCell ref="B44:E44"/>
    <mergeCell ref="J44:N44"/>
    <mergeCell ref="B45:E45"/>
    <mergeCell ref="J45:N45"/>
    <mergeCell ref="B46:E46"/>
    <mergeCell ref="B47:E47"/>
    <mergeCell ref="J47:P47"/>
    <mergeCell ref="B41:E41"/>
    <mergeCell ref="J41:M41"/>
    <mergeCell ref="B42:E42"/>
    <mergeCell ref="J42:M42"/>
    <mergeCell ref="B43:E43"/>
    <mergeCell ref="J43:N43"/>
    <mergeCell ref="B38:E38"/>
    <mergeCell ref="J38:M38"/>
    <mergeCell ref="B39:E39"/>
    <mergeCell ref="J39:M39"/>
    <mergeCell ref="B40:E40"/>
    <mergeCell ref="J40:M40"/>
    <mergeCell ref="B35:E35"/>
    <mergeCell ref="J35:M35"/>
    <mergeCell ref="B36:E36"/>
    <mergeCell ref="J36:M36"/>
    <mergeCell ref="B37:E37"/>
    <mergeCell ref="J37:M37"/>
    <mergeCell ref="B31:F31"/>
    <mergeCell ref="J31:M31"/>
    <mergeCell ref="J32:M32"/>
    <mergeCell ref="B33:H33"/>
    <mergeCell ref="J33:M33"/>
    <mergeCell ref="B34:E34"/>
    <mergeCell ref="J34:M34"/>
    <mergeCell ref="B28:E28"/>
    <mergeCell ref="J28:M28"/>
    <mergeCell ref="B29:F29"/>
    <mergeCell ref="J29:M29"/>
    <mergeCell ref="B30:F30"/>
    <mergeCell ref="J30:M30"/>
    <mergeCell ref="B24:E24"/>
    <mergeCell ref="J24:N24"/>
    <mergeCell ref="B25:E25"/>
    <mergeCell ref="B26:E26"/>
    <mergeCell ref="J26:P26"/>
    <mergeCell ref="B27:E27"/>
    <mergeCell ref="J27:M27"/>
    <mergeCell ref="B21:E21"/>
    <mergeCell ref="J21:K21"/>
    <mergeCell ref="L21:M21"/>
    <mergeCell ref="B22:E22"/>
    <mergeCell ref="J22:N22"/>
    <mergeCell ref="B23:E23"/>
    <mergeCell ref="J23:N23"/>
    <mergeCell ref="B19:E19"/>
    <mergeCell ref="J19:K19"/>
    <mergeCell ref="L19:M19"/>
    <mergeCell ref="B20:E20"/>
    <mergeCell ref="J20:K20"/>
    <mergeCell ref="L20:M20"/>
    <mergeCell ref="B17:E17"/>
    <mergeCell ref="J17:K17"/>
    <mergeCell ref="L17:M17"/>
    <mergeCell ref="B18:E18"/>
    <mergeCell ref="J18:K18"/>
    <mergeCell ref="L18:M18"/>
    <mergeCell ref="B15:E15"/>
    <mergeCell ref="J15:K15"/>
    <mergeCell ref="L15:M15"/>
    <mergeCell ref="B16:E16"/>
    <mergeCell ref="J16:K16"/>
    <mergeCell ref="L16:M16"/>
    <mergeCell ref="L10:M10"/>
    <mergeCell ref="B12:H12"/>
    <mergeCell ref="J12:P12"/>
    <mergeCell ref="B13:E13"/>
    <mergeCell ref="J13:M13"/>
    <mergeCell ref="B14:E14"/>
    <mergeCell ref="J14:K14"/>
    <mergeCell ref="L14:M14"/>
    <mergeCell ref="B6:E6"/>
    <mergeCell ref="L6:M6"/>
    <mergeCell ref="B7:E7"/>
    <mergeCell ref="L7:M7"/>
    <mergeCell ref="L8:M8"/>
    <mergeCell ref="L9:M9"/>
    <mergeCell ref="C2:F2"/>
    <mergeCell ref="J2:N2"/>
    <mergeCell ref="B3:E5"/>
    <mergeCell ref="L3:M3"/>
    <mergeCell ref="F4:F5"/>
    <mergeCell ref="G4:G5"/>
    <mergeCell ref="L4:M4"/>
    <mergeCell ref="L5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3E10-6922-48A5-AAD4-FFE919796CBB}">
  <dimension ref="A1:H85"/>
  <sheetViews>
    <sheetView workbookViewId="0">
      <selection activeCell="D62" sqref="D62:D73"/>
    </sheetView>
  </sheetViews>
  <sheetFormatPr defaultRowHeight="14.5" x14ac:dyDescent="0.35"/>
  <cols>
    <col min="1" max="1" width="12.81640625" bestFit="1" customWidth="1"/>
    <col min="2" max="2" width="10.453125" bestFit="1" customWidth="1"/>
    <col min="3" max="3" width="22.453125" bestFit="1" customWidth="1"/>
    <col min="4" max="8" width="17.26953125" bestFit="1" customWidth="1"/>
  </cols>
  <sheetData>
    <row r="1" spans="1:8" ht="15" thickBot="1" x14ac:dyDescent="0.4">
      <c r="A1" s="230" t="s">
        <v>165</v>
      </c>
      <c r="B1" s="230" t="s">
        <v>170</v>
      </c>
      <c r="C1" s="230" t="s">
        <v>174</v>
      </c>
      <c r="D1" s="245" t="s">
        <v>171</v>
      </c>
      <c r="E1" s="230" t="s">
        <v>172</v>
      </c>
      <c r="F1" s="230" t="s">
        <v>173</v>
      </c>
      <c r="G1" s="230" t="s">
        <v>24</v>
      </c>
      <c r="H1" s="230" t="s">
        <v>176</v>
      </c>
    </row>
    <row r="2" spans="1:8" x14ac:dyDescent="0.35">
      <c r="A2" s="231" t="s">
        <v>153</v>
      </c>
      <c r="B2" s="231" t="s">
        <v>16</v>
      </c>
      <c r="C2" s="231" t="str">
        <f>A2&amp;B2</f>
        <v>ProgrammaticOctober</v>
      </c>
      <c r="D2" s="232">
        <v>212</v>
      </c>
      <c r="E2" s="232" t="s">
        <v>150</v>
      </c>
      <c r="F2" s="232" t="str">
        <f>A2&amp;E2</f>
        <v>ProgrammaticQ1</v>
      </c>
      <c r="G2" s="232" t="s">
        <v>175</v>
      </c>
      <c r="H2" s="232" t="str">
        <f>A2&amp;G2</f>
        <v>ProgrammaticFY25</v>
      </c>
    </row>
    <row r="3" spans="1:8" x14ac:dyDescent="0.35">
      <c r="A3" s="231" t="s">
        <v>153</v>
      </c>
      <c r="B3" s="231" t="s">
        <v>12</v>
      </c>
      <c r="C3" s="231" t="str">
        <f t="shared" ref="C3:C66" si="0">A3&amp;B3</f>
        <v>ProgrammaticNovember</v>
      </c>
      <c r="D3" s="232">
        <v>974</v>
      </c>
      <c r="E3" s="232" t="s">
        <v>150</v>
      </c>
      <c r="F3" s="232" t="str">
        <f t="shared" ref="F3:F66" si="1">A3&amp;E3</f>
        <v>ProgrammaticQ1</v>
      </c>
      <c r="G3" s="232" t="s">
        <v>175</v>
      </c>
      <c r="H3" s="232" t="str">
        <f t="shared" ref="H3:H66" si="2">A3&amp;G3</f>
        <v>ProgrammaticFY25</v>
      </c>
    </row>
    <row r="4" spans="1:8" x14ac:dyDescent="0.35">
      <c r="A4" s="231" t="s">
        <v>153</v>
      </c>
      <c r="B4" s="231" t="s">
        <v>14</v>
      </c>
      <c r="C4" s="231" t="str">
        <f t="shared" si="0"/>
        <v>ProgrammaticDecember</v>
      </c>
      <c r="D4" s="232">
        <v>1290</v>
      </c>
      <c r="E4" s="232" t="s">
        <v>150</v>
      </c>
      <c r="F4" s="232" t="str">
        <f t="shared" si="1"/>
        <v>ProgrammaticQ1</v>
      </c>
      <c r="G4" s="232" t="s">
        <v>175</v>
      </c>
      <c r="H4" s="232" t="str">
        <f t="shared" si="2"/>
        <v>ProgrammaticFY25</v>
      </c>
    </row>
    <row r="5" spans="1:8" x14ac:dyDescent="0.35">
      <c r="A5" s="231" t="s">
        <v>153</v>
      </c>
      <c r="B5" s="231" t="s">
        <v>25</v>
      </c>
      <c r="C5" s="231" t="str">
        <f t="shared" si="0"/>
        <v>ProgrammaticJanuary</v>
      </c>
      <c r="D5" s="232">
        <v>176</v>
      </c>
      <c r="E5" s="232" t="s">
        <v>159</v>
      </c>
      <c r="F5" s="232" t="str">
        <f t="shared" si="1"/>
        <v>ProgrammaticQ2</v>
      </c>
      <c r="G5" s="232" t="s">
        <v>175</v>
      </c>
      <c r="H5" s="232" t="str">
        <f t="shared" si="2"/>
        <v>ProgrammaticFY25</v>
      </c>
    </row>
    <row r="6" spans="1:8" x14ac:dyDescent="0.35">
      <c r="A6" s="231" t="s">
        <v>153</v>
      </c>
      <c r="B6" s="231" t="s">
        <v>26</v>
      </c>
      <c r="C6" s="231" t="str">
        <f t="shared" si="0"/>
        <v>ProgrammaticFebruary</v>
      </c>
      <c r="D6" s="232">
        <v>86</v>
      </c>
      <c r="E6" s="232" t="s">
        <v>159</v>
      </c>
      <c r="F6" s="232" t="str">
        <f t="shared" si="1"/>
        <v>ProgrammaticQ2</v>
      </c>
      <c r="G6" s="232" t="s">
        <v>175</v>
      </c>
      <c r="H6" s="232" t="str">
        <f t="shared" si="2"/>
        <v>ProgrammaticFY25</v>
      </c>
    </row>
    <row r="7" spans="1:8" x14ac:dyDescent="0.35">
      <c r="A7" s="231" t="s">
        <v>153</v>
      </c>
      <c r="B7" s="231" t="s">
        <v>27</v>
      </c>
      <c r="C7" s="231" t="str">
        <f t="shared" si="0"/>
        <v>ProgrammaticMarch</v>
      </c>
      <c r="D7" s="232">
        <v>80</v>
      </c>
      <c r="E7" s="232" t="s">
        <v>159</v>
      </c>
      <c r="F7" s="232" t="str">
        <f t="shared" si="1"/>
        <v>ProgrammaticQ2</v>
      </c>
      <c r="G7" s="232" t="s">
        <v>175</v>
      </c>
      <c r="H7" s="232" t="str">
        <f t="shared" si="2"/>
        <v>ProgrammaticFY25</v>
      </c>
    </row>
    <row r="8" spans="1:8" x14ac:dyDescent="0.35">
      <c r="A8" s="231" t="s">
        <v>153</v>
      </c>
      <c r="B8" s="231" t="s">
        <v>157</v>
      </c>
      <c r="C8" s="231" t="str">
        <f t="shared" si="0"/>
        <v>ProgrammaticApril</v>
      </c>
      <c r="D8" s="232">
        <v>81</v>
      </c>
      <c r="E8" s="232" t="s">
        <v>160</v>
      </c>
      <c r="F8" s="232" t="str">
        <f t="shared" si="1"/>
        <v>ProgrammaticQ3</v>
      </c>
      <c r="G8" s="232" t="s">
        <v>175</v>
      </c>
      <c r="H8" s="232" t="str">
        <f t="shared" si="2"/>
        <v>ProgrammaticFY25</v>
      </c>
    </row>
    <row r="9" spans="1:8" x14ac:dyDescent="0.35">
      <c r="A9" s="231" t="s">
        <v>153</v>
      </c>
      <c r="B9" s="231" t="s">
        <v>28</v>
      </c>
      <c r="C9" s="231" t="str">
        <f t="shared" si="0"/>
        <v>ProgrammaticMay</v>
      </c>
      <c r="D9" s="232">
        <v>696</v>
      </c>
      <c r="E9" s="232" t="s">
        <v>160</v>
      </c>
      <c r="F9" s="232" t="str">
        <f t="shared" si="1"/>
        <v>ProgrammaticQ3</v>
      </c>
      <c r="G9" s="232" t="s">
        <v>175</v>
      </c>
      <c r="H9" s="232" t="str">
        <f t="shared" si="2"/>
        <v>ProgrammaticFY25</v>
      </c>
    </row>
    <row r="10" spans="1:8" x14ac:dyDescent="0.35">
      <c r="A10" s="231" t="s">
        <v>153</v>
      </c>
      <c r="B10" s="231" t="s">
        <v>29</v>
      </c>
      <c r="C10" s="231" t="str">
        <f t="shared" si="0"/>
        <v>ProgrammaticJune</v>
      </c>
      <c r="D10" s="232">
        <v>185</v>
      </c>
      <c r="E10" s="232" t="s">
        <v>160</v>
      </c>
      <c r="F10" s="232" t="str">
        <f t="shared" si="1"/>
        <v>ProgrammaticQ3</v>
      </c>
      <c r="G10" s="232" t="s">
        <v>175</v>
      </c>
      <c r="H10" s="232" t="str">
        <f t="shared" si="2"/>
        <v>ProgrammaticFY25</v>
      </c>
    </row>
    <row r="11" spans="1:8" x14ac:dyDescent="0.35">
      <c r="A11" s="231" t="s">
        <v>153</v>
      </c>
      <c r="B11" s="231" t="s">
        <v>30</v>
      </c>
      <c r="C11" s="231" t="str">
        <f t="shared" si="0"/>
        <v>ProgrammaticJuly</v>
      </c>
      <c r="D11" s="232">
        <v>557</v>
      </c>
      <c r="E11" s="232" t="s">
        <v>164</v>
      </c>
      <c r="F11" s="232" t="str">
        <f t="shared" si="1"/>
        <v>ProgrammaticQ4</v>
      </c>
      <c r="G11" s="232" t="s">
        <v>175</v>
      </c>
      <c r="H11" s="232" t="str">
        <f t="shared" si="2"/>
        <v>ProgrammaticFY25</v>
      </c>
    </row>
    <row r="12" spans="1:8" x14ac:dyDescent="0.35">
      <c r="A12" s="231" t="s">
        <v>153</v>
      </c>
      <c r="B12" s="231" t="s">
        <v>31</v>
      </c>
      <c r="C12" s="231" t="str">
        <f t="shared" si="0"/>
        <v>ProgrammaticAugust</v>
      </c>
      <c r="D12" s="232">
        <v>94</v>
      </c>
      <c r="E12" s="232" t="s">
        <v>164</v>
      </c>
      <c r="F12" s="232" t="str">
        <f t="shared" si="1"/>
        <v>ProgrammaticQ4</v>
      </c>
      <c r="G12" s="232" t="s">
        <v>175</v>
      </c>
      <c r="H12" s="232" t="str">
        <f t="shared" si="2"/>
        <v>ProgrammaticFY25</v>
      </c>
    </row>
    <row r="13" spans="1:8" x14ac:dyDescent="0.35">
      <c r="A13" s="231" t="s">
        <v>153</v>
      </c>
      <c r="B13" s="231" t="s">
        <v>32</v>
      </c>
      <c r="C13" s="231" t="str">
        <f t="shared" si="0"/>
        <v>ProgrammaticSeptember</v>
      </c>
      <c r="D13" s="232">
        <v>385</v>
      </c>
      <c r="E13" s="232" t="s">
        <v>164</v>
      </c>
      <c r="F13" s="232" t="str">
        <f t="shared" si="1"/>
        <v>ProgrammaticQ4</v>
      </c>
      <c r="G13" s="232" t="s">
        <v>175</v>
      </c>
      <c r="H13" s="232" t="str">
        <f t="shared" si="2"/>
        <v>ProgrammaticFY25</v>
      </c>
    </row>
    <row r="14" spans="1:8" x14ac:dyDescent="0.35">
      <c r="A14" s="233" t="s">
        <v>161</v>
      </c>
      <c r="B14" s="233" t="s">
        <v>16</v>
      </c>
      <c r="C14" s="233" t="str">
        <f t="shared" si="0"/>
        <v>LegacyOctober</v>
      </c>
      <c r="D14" s="234">
        <v>34200</v>
      </c>
      <c r="E14" s="234" t="s">
        <v>150</v>
      </c>
      <c r="F14" s="234" t="str">
        <f t="shared" si="1"/>
        <v>LegacyQ1</v>
      </c>
      <c r="G14" s="234" t="s">
        <v>175</v>
      </c>
      <c r="H14" s="234" t="str">
        <f t="shared" si="2"/>
        <v>LegacyFY25</v>
      </c>
    </row>
    <row r="15" spans="1:8" x14ac:dyDescent="0.35">
      <c r="A15" s="233" t="s">
        <v>161</v>
      </c>
      <c r="B15" s="233" t="s">
        <v>12</v>
      </c>
      <c r="C15" s="233" t="str">
        <f t="shared" si="0"/>
        <v>LegacyNovember</v>
      </c>
      <c r="D15" s="234">
        <v>36200</v>
      </c>
      <c r="E15" s="234" t="s">
        <v>150</v>
      </c>
      <c r="F15" s="234" t="str">
        <f t="shared" si="1"/>
        <v>LegacyQ1</v>
      </c>
      <c r="G15" s="234" t="s">
        <v>175</v>
      </c>
      <c r="H15" s="234" t="str">
        <f t="shared" si="2"/>
        <v>LegacyFY25</v>
      </c>
    </row>
    <row r="16" spans="1:8" x14ac:dyDescent="0.35">
      <c r="A16" s="233" t="s">
        <v>161</v>
      </c>
      <c r="B16" s="233" t="s">
        <v>14</v>
      </c>
      <c r="C16" s="233" t="str">
        <f t="shared" si="0"/>
        <v>LegacyDecember</v>
      </c>
      <c r="D16" s="234">
        <v>36900</v>
      </c>
      <c r="E16" s="234" t="s">
        <v>150</v>
      </c>
      <c r="F16" s="234" t="str">
        <f t="shared" si="1"/>
        <v>LegacyQ1</v>
      </c>
      <c r="G16" s="234" t="s">
        <v>175</v>
      </c>
      <c r="H16" s="234" t="str">
        <f t="shared" si="2"/>
        <v>LegacyFY25</v>
      </c>
    </row>
    <row r="17" spans="1:8" x14ac:dyDescent="0.35">
      <c r="A17" s="233" t="s">
        <v>161</v>
      </c>
      <c r="B17" s="233" t="s">
        <v>25</v>
      </c>
      <c r="C17" s="233" t="str">
        <f t="shared" si="0"/>
        <v>LegacyJanuary</v>
      </c>
      <c r="D17" s="234">
        <v>34375</v>
      </c>
      <c r="E17" s="234" t="s">
        <v>159</v>
      </c>
      <c r="F17" s="234" t="str">
        <f t="shared" si="1"/>
        <v>LegacyQ2</v>
      </c>
      <c r="G17" s="234" t="s">
        <v>175</v>
      </c>
      <c r="H17" s="234" t="str">
        <f t="shared" si="2"/>
        <v>LegacyFY25</v>
      </c>
    </row>
    <row r="18" spans="1:8" x14ac:dyDescent="0.35">
      <c r="A18" s="233" t="s">
        <v>161</v>
      </c>
      <c r="B18" s="233" t="s">
        <v>26</v>
      </c>
      <c r="C18" s="233" t="str">
        <f t="shared" si="0"/>
        <v>LegacyFebruary</v>
      </c>
      <c r="D18" s="234">
        <v>34375</v>
      </c>
      <c r="E18" s="234" t="s">
        <v>159</v>
      </c>
      <c r="F18" s="234" t="str">
        <f t="shared" si="1"/>
        <v>LegacyQ2</v>
      </c>
      <c r="G18" s="234" t="s">
        <v>175</v>
      </c>
      <c r="H18" s="234" t="str">
        <f t="shared" si="2"/>
        <v>LegacyFY25</v>
      </c>
    </row>
    <row r="19" spans="1:8" x14ac:dyDescent="0.35">
      <c r="A19" s="233" t="s">
        <v>161</v>
      </c>
      <c r="B19" s="233" t="s">
        <v>27</v>
      </c>
      <c r="C19" s="233" t="str">
        <f t="shared" si="0"/>
        <v>LegacyMarch</v>
      </c>
      <c r="D19" s="234">
        <v>34400</v>
      </c>
      <c r="E19" s="234" t="s">
        <v>159</v>
      </c>
      <c r="F19" s="234" t="str">
        <f t="shared" si="1"/>
        <v>LegacyQ2</v>
      </c>
      <c r="G19" s="234" t="s">
        <v>175</v>
      </c>
      <c r="H19" s="234" t="str">
        <f t="shared" si="2"/>
        <v>LegacyFY25</v>
      </c>
    </row>
    <row r="20" spans="1:8" x14ac:dyDescent="0.35">
      <c r="A20" s="233" t="s">
        <v>161</v>
      </c>
      <c r="B20" s="233" t="s">
        <v>157</v>
      </c>
      <c r="C20" s="233" t="str">
        <f t="shared" si="0"/>
        <v>LegacyApril</v>
      </c>
      <c r="D20" s="234">
        <v>34400</v>
      </c>
      <c r="E20" s="234" t="s">
        <v>160</v>
      </c>
      <c r="F20" s="234" t="str">
        <f t="shared" si="1"/>
        <v>LegacyQ3</v>
      </c>
      <c r="G20" s="234" t="s">
        <v>175</v>
      </c>
      <c r="H20" s="234" t="str">
        <f t="shared" si="2"/>
        <v>LegacyFY25</v>
      </c>
    </row>
    <row r="21" spans="1:8" x14ac:dyDescent="0.35">
      <c r="A21" s="233" t="s">
        <v>161</v>
      </c>
      <c r="B21" s="233" t="s">
        <v>28</v>
      </c>
      <c r="C21" s="233" t="str">
        <f t="shared" si="0"/>
        <v>LegacyMay</v>
      </c>
      <c r="D21" s="234">
        <v>34500</v>
      </c>
      <c r="E21" s="234" t="s">
        <v>160</v>
      </c>
      <c r="F21" s="234" t="str">
        <f t="shared" si="1"/>
        <v>LegacyQ3</v>
      </c>
      <c r="G21" s="234" t="s">
        <v>175</v>
      </c>
      <c r="H21" s="234" t="str">
        <f t="shared" si="2"/>
        <v>LegacyFY25</v>
      </c>
    </row>
    <row r="22" spans="1:8" x14ac:dyDescent="0.35">
      <c r="A22" s="233" t="s">
        <v>161</v>
      </c>
      <c r="B22" s="233" t="s">
        <v>29</v>
      </c>
      <c r="C22" s="233" t="str">
        <f t="shared" si="0"/>
        <v>LegacyJune</v>
      </c>
      <c r="D22" s="234">
        <v>34500</v>
      </c>
      <c r="E22" s="234" t="s">
        <v>160</v>
      </c>
      <c r="F22" s="234" t="str">
        <f t="shared" si="1"/>
        <v>LegacyQ3</v>
      </c>
      <c r="G22" s="234" t="s">
        <v>175</v>
      </c>
      <c r="H22" s="234" t="str">
        <f t="shared" si="2"/>
        <v>LegacyFY25</v>
      </c>
    </row>
    <row r="23" spans="1:8" x14ac:dyDescent="0.35">
      <c r="A23" s="233" t="s">
        <v>161</v>
      </c>
      <c r="B23" s="233" t="s">
        <v>30</v>
      </c>
      <c r="C23" s="233" t="str">
        <f t="shared" si="0"/>
        <v>LegacyJuly</v>
      </c>
      <c r="D23" s="234">
        <v>34400</v>
      </c>
      <c r="E23" s="234" t="s">
        <v>164</v>
      </c>
      <c r="F23" s="234" t="str">
        <f t="shared" si="1"/>
        <v>LegacyQ4</v>
      </c>
      <c r="G23" s="234" t="s">
        <v>175</v>
      </c>
      <c r="H23" s="234" t="str">
        <f t="shared" si="2"/>
        <v>LegacyFY25</v>
      </c>
    </row>
    <row r="24" spans="1:8" x14ac:dyDescent="0.35">
      <c r="A24" s="233" t="s">
        <v>161</v>
      </c>
      <c r="B24" s="233" t="s">
        <v>31</v>
      </c>
      <c r="C24" s="233" t="str">
        <f t="shared" si="0"/>
        <v>LegacyAugust</v>
      </c>
      <c r="D24" s="234">
        <v>34500</v>
      </c>
      <c r="E24" s="234" t="s">
        <v>164</v>
      </c>
      <c r="F24" s="234" t="str">
        <f t="shared" si="1"/>
        <v>LegacyQ4</v>
      </c>
      <c r="G24" s="234" t="s">
        <v>175</v>
      </c>
      <c r="H24" s="234" t="str">
        <f t="shared" si="2"/>
        <v>LegacyFY25</v>
      </c>
    </row>
    <row r="25" spans="1:8" x14ac:dyDescent="0.35">
      <c r="A25" s="233" t="s">
        <v>161</v>
      </c>
      <c r="B25" s="233" t="s">
        <v>32</v>
      </c>
      <c r="C25" s="233" t="str">
        <f t="shared" si="0"/>
        <v>LegacySeptember</v>
      </c>
      <c r="D25" s="234">
        <v>34600</v>
      </c>
      <c r="E25" s="234" t="s">
        <v>164</v>
      </c>
      <c r="F25" s="234" t="str">
        <f t="shared" si="1"/>
        <v>LegacyQ4</v>
      </c>
      <c r="G25" s="234" t="s">
        <v>175</v>
      </c>
      <c r="H25" s="234" t="str">
        <f t="shared" si="2"/>
        <v>LegacyFY25</v>
      </c>
    </row>
    <row r="26" spans="1:8" x14ac:dyDescent="0.35">
      <c r="A26" s="235" t="s">
        <v>3</v>
      </c>
      <c r="B26" s="235" t="s">
        <v>16</v>
      </c>
      <c r="C26" s="235" t="str">
        <f t="shared" si="0"/>
        <v>SEMOctober</v>
      </c>
      <c r="D26" s="236">
        <v>519114</v>
      </c>
      <c r="E26" s="236" t="s">
        <v>150</v>
      </c>
      <c r="F26" s="236" t="str">
        <f t="shared" si="1"/>
        <v>SEMQ1</v>
      </c>
      <c r="G26" s="236" t="s">
        <v>175</v>
      </c>
      <c r="H26" s="236" t="str">
        <f t="shared" si="2"/>
        <v>SEMFY25</v>
      </c>
    </row>
    <row r="27" spans="1:8" x14ac:dyDescent="0.35">
      <c r="A27" s="235" t="s">
        <v>3</v>
      </c>
      <c r="B27" s="235" t="s">
        <v>12</v>
      </c>
      <c r="C27" s="235" t="str">
        <f t="shared" si="0"/>
        <v>SEMNovember</v>
      </c>
      <c r="D27" s="236">
        <v>1547991</v>
      </c>
      <c r="E27" s="236" t="s">
        <v>150</v>
      </c>
      <c r="F27" s="236" t="str">
        <f t="shared" si="1"/>
        <v>SEMQ1</v>
      </c>
      <c r="G27" s="236" t="s">
        <v>175</v>
      </c>
      <c r="H27" s="236" t="str">
        <f t="shared" si="2"/>
        <v>SEMFY25</v>
      </c>
    </row>
    <row r="28" spans="1:8" x14ac:dyDescent="0.35">
      <c r="A28" s="235" t="s">
        <v>3</v>
      </c>
      <c r="B28" s="235" t="s">
        <v>14</v>
      </c>
      <c r="C28" s="235" t="str">
        <f t="shared" si="0"/>
        <v>SEMDecember</v>
      </c>
      <c r="D28" s="236">
        <v>6589881</v>
      </c>
      <c r="E28" s="236" t="s">
        <v>150</v>
      </c>
      <c r="F28" s="236" t="str">
        <f t="shared" si="1"/>
        <v>SEMQ1</v>
      </c>
      <c r="G28" s="236" t="s">
        <v>175</v>
      </c>
      <c r="H28" s="236" t="str">
        <f t="shared" si="2"/>
        <v>SEMFY25</v>
      </c>
    </row>
    <row r="29" spans="1:8" x14ac:dyDescent="0.35">
      <c r="A29" s="235" t="s">
        <v>3</v>
      </c>
      <c r="B29" s="235" t="s">
        <v>25</v>
      </c>
      <c r="C29" s="235" t="str">
        <f t="shared" si="0"/>
        <v>SEMJanuary</v>
      </c>
      <c r="D29" s="236">
        <v>583346</v>
      </c>
      <c r="E29" s="236" t="s">
        <v>159</v>
      </c>
      <c r="F29" s="236" t="str">
        <f t="shared" si="1"/>
        <v>SEMQ2</v>
      </c>
      <c r="G29" s="236" t="s">
        <v>175</v>
      </c>
      <c r="H29" s="236" t="str">
        <f t="shared" si="2"/>
        <v>SEMFY25</v>
      </c>
    </row>
    <row r="30" spans="1:8" x14ac:dyDescent="0.35">
      <c r="A30" s="235" t="s">
        <v>3</v>
      </c>
      <c r="B30" s="235" t="s">
        <v>26</v>
      </c>
      <c r="C30" s="235" t="str">
        <f t="shared" si="0"/>
        <v>SEMFebruary</v>
      </c>
      <c r="D30" s="236">
        <v>427040</v>
      </c>
      <c r="E30" s="236" t="s">
        <v>159</v>
      </c>
      <c r="F30" s="236" t="str">
        <f t="shared" si="1"/>
        <v>SEMQ2</v>
      </c>
      <c r="G30" s="236" t="s">
        <v>175</v>
      </c>
      <c r="H30" s="236" t="str">
        <f t="shared" si="2"/>
        <v>SEMFY25</v>
      </c>
    </row>
    <row r="31" spans="1:8" x14ac:dyDescent="0.35">
      <c r="A31" s="235" t="s">
        <v>3</v>
      </c>
      <c r="B31" s="235" t="s">
        <v>27</v>
      </c>
      <c r="C31" s="235" t="str">
        <f t="shared" si="0"/>
        <v>SEMMarch</v>
      </c>
      <c r="D31" s="236">
        <v>456651</v>
      </c>
      <c r="E31" s="236" t="s">
        <v>159</v>
      </c>
      <c r="F31" s="236" t="str">
        <f t="shared" si="1"/>
        <v>SEMQ2</v>
      </c>
      <c r="G31" s="236" t="s">
        <v>175</v>
      </c>
      <c r="H31" s="236" t="str">
        <f t="shared" si="2"/>
        <v>SEMFY25</v>
      </c>
    </row>
    <row r="32" spans="1:8" x14ac:dyDescent="0.35">
      <c r="A32" s="235" t="s">
        <v>3</v>
      </c>
      <c r="B32" s="235" t="s">
        <v>157</v>
      </c>
      <c r="C32" s="235" t="str">
        <f t="shared" si="0"/>
        <v>SEMApril</v>
      </c>
      <c r="D32" s="236">
        <v>582710</v>
      </c>
      <c r="E32" s="236" t="s">
        <v>160</v>
      </c>
      <c r="F32" s="236" t="str">
        <f t="shared" si="1"/>
        <v>SEMQ3</v>
      </c>
      <c r="G32" s="236" t="s">
        <v>175</v>
      </c>
      <c r="H32" s="236" t="str">
        <f t="shared" si="2"/>
        <v>SEMFY25</v>
      </c>
    </row>
    <row r="33" spans="1:8" x14ac:dyDescent="0.35">
      <c r="A33" s="235" t="s">
        <v>3</v>
      </c>
      <c r="B33" s="235" t="s">
        <v>28</v>
      </c>
      <c r="C33" s="235" t="str">
        <f t="shared" si="0"/>
        <v>SEMMay</v>
      </c>
      <c r="D33" s="236">
        <v>781193</v>
      </c>
      <c r="E33" s="236" t="s">
        <v>160</v>
      </c>
      <c r="F33" s="236" t="str">
        <f t="shared" si="1"/>
        <v>SEMQ3</v>
      </c>
      <c r="G33" s="236" t="s">
        <v>175</v>
      </c>
      <c r="H33" s="236" t="str">
        <f t="shared" si="2"/>
        <v>SEMFY25</v>
      </c>
    </row>
    <row r="34" spans="1:8" x14ac:dyDescent="0.35">
      <c r="A34" s="235" t="s">
        <v>3</v>
      </c>
      <c r="B34" s="235" t="s">
        <v>29</v>
      </c>
      <c r="C34" s="235" t="str">
        <f t="shared" si="0"/>
        <v>SEMJune</v>
      </c>
      <c r="D34" s="236">
        <v>543201</v>
      </c>
      <c r="E34" s="236" t="s">
        <v>160</v>
      </c>
      <c r="F34" s="236" t="str">
        <f t="shared" si="1"/>
        <v>SEMQ3</v>
      </c>
      <c r="G34" s="236" t="s">
        <v>175</v>
      </c>
      <c r="H34" s="236" t="str">
        <f t="shared" si="2"/>
        <v>SEMFY25</v>
      </c>
    </row>
    <row r="35" spans="1:8" x14ac:dyDescent="0.35">
      <c r="A35" s="235" t="s">
        <v>3</v>
      </c>
      <c r="B35" s="235" t="s">
        <v>30</v>
      </c>
      <c r="C35" s="235" t="str">
        <f t="shared" si="0"/>
        <v>SEMJuly</v>
      </c>
      <c r="D35" s="236">
        <v>663921</v>
      </c>
      <c r="E35" s="236" t="s">
        <v>164</v>
      </c>
      <c r="F35" s="236" t="str">
        <f t="shared" si="1"/>
        <v>SEMQ4</v>
      </c>
      <c r="G35" s="236" t="s">
        <v>175</v>
      </c>
      <c r="H35" s="236" t="str">
        <f t="shared" si="2"/>
        <v>SEMFY25</v>
      </c>
    </row>
    <row r="36" spans="1:8" x14ac:dyDescent="0.35">
      <c r="A36" s="235" t="s">
        <v>3</v>
      </c>
      <c r="B36" s="235" t="s">
        <v>31</v>
      </c>
      <c r="C36" s="235" t="str">
        <f t="shared" si="0"/>
        <v>SEMAugust</v>
      </c>
      <c r="D36" s="236">
        <v>514747</v>
      </c>
      <c r="E36" s="236" t="s">
        <v>164</v>
      </c>
      <c r="F36" s="236" t="str">
        <f t="shared" si="1"/>
        <v>SEMQ4</v>
      </c>
      <c r="G36" s="236" t="s">
        <v>175</v>
      </c>
      <c r="H36" s="236" t="str">
        <f t="shared" si="2"/>
        <v>SEMFY25</v>
      </c>
    </row>
    <row r="37" spans="1:8" x14ac:dyDescent="0.35">
      <c r="A37" s="235" t="s">
        <v>3</v>
      </c>
      <c r="B37" s="235" t="s">
        <v>32</v>
      </c>
      <c r="C37" s="235" t="str">
        <f t="shared" si="0"/>
        <v>SEMSeptember</v>
      </c>
      <c r="D37" s="236">
        <v>654218</v>
      </c>
      <c r="E37" s="236" t="s">
        <v>164</v>
      </c>
      <c r="F37" s="236" t="str">
        <f t="shared" si="1"/>
        <v>SEMQ4</v>
      </c>
      <c r="G37" s="236" t="s">
        <v>175</v>
      </c>
      <c r="H37" s="236" t="str">
        <f t="shared" si="2"/>
        <v>SEMFY25</v>
      </c>
    </row>
    <row r="38" spans="1:8" x14ac:dyDescent="0.35">
      <c r="A38" s="237" t="s">
        <v>15</v>
      </c>
      <c r="B38" s="237" t="s">
        <v>16</v>
      </c>
      <c r="C38" s="237" t="str">
        <f t="shared" si="0"/>
        <v>BF CodesOctober</v>
      </c>
      <c r="D38" s="238">
        <v>4617</v>
      </c>
      <c r="E38" s="238" t="s">
        <v>150</v>
      </c>
      <c r="F38" s="238" t="str">
        <f t="shared" si="1"/>
        <v>BF CodesQ1</v>
      </c>
      <c r="G38" s="238" t="s">
        <v>175</v>
      </c>
      <c r="H38" s="238" t="str">
        <f t="shared" si="2"/>
        <v>BF CodesFY25</v>
      </c>
    </row>
    <row r="39" spans="1:8" x14ac:dyDescent="0.35">
      <c r="A39" s="237" t="s">
        <v>15</v>
      </c>
      <c r="B39" s="237" t="s">
        <v>12</v>
      </c>
      <c r="C39" s="237" t="str">
        <f t="shared" si="0"/>
        <v>BF CodesNovember</v>
      </c>
      <c r="D39" s="238">
        <v>13000</v>
      </c>
      <c r="E39" s="238" t="s">
        <v>150</v>
      </c>
      <c r="F39" s="238" t="str">
        <f t="shared" si="1"/>
        <v>BF CodesQ1</v>
      </c>
      <c r="G39" s="238" t="s">
        <v>175</v>
      </c>
      <c r="H39" s="238" t="str">
        <f t="shared" si="2"/>
        <v>BF CodesFY25</v>
      </c>
    </row>
    <row r="40" spans="1:8" x14ac:dyDescent="0.35">
      <c r="A40" s="237" t="s">
        <v>15</v>
      </c>
      <c r="B40" s="237" t="s">
        <v>14</v>
      </c>
      <c r="C40" s="237" t="str">
        <f t="shared" si="0"/>
        <v>BF CodesDecember</v>
      </c>
      <c r="D40" s="238">
        <v>100000</v>
      </c>
      <c r="E40" s="238" t="s">
        <v>150</v>
      </c>
      <c r="F40" s="238" t="str">
        <f t="shared" si="1"/>
        <v>BF CodesQ1</v>
      </c>
      <c r="G40" s="238" t="s">
        <v>175</v>
      </c>
      <c r="H40" s="238" t="str">
        <f t="shared" si="2"/>
        <v>BF CodesFY25</v>
      </c>
    </row>
    <row r="41" spans="1:8" x14ac:dyDescent="0.35">
      <c r="A41" s="237" t="s">
        <v>15</v>
      </c>
      <c r="B41" s="237" t="s">
        <v>25</v>
      </c>
      <c r="C41" s="237" t="str">
        <f t="shared" si="0"/>
        <v>BF CodesJanuary</v>
      </c>
      <c r="D41" s="238">
        <v>6438</v>
      </c>
      <c r="E41" s="238" t="s">
        <v>159</v>
      </c>
      <c r="F41" s="238" t="str">
        <f t="shared" si="1"/>
        <v>BF CodesQ2</v>
      </c>
      <c r="G41" s="238" t="s">
        <v>175</v>
      </c>
      <c r="H41" s="238" t="str">
        <f t="shared" si="2"/>
        <v>BF CodesFY25</v>
      </c>
    </row>
    <row r="42" spans="1:8" x14ac:dyDescent="0.35">
      <c r="A42" s="237" t="s">
        <v>15</v>
      </c>
      <c r="B42" s="237" t="s">
        <v>26</v>
      </c>
      <c r="C42" s="237" t="str">
        <f t="shared" si="0"/>
        <v>BF CodesFebruary</v>
      </c>
      <c r="D42" s="238">
        <v>2715</v>
      </c>
      <c r="E42" s="238" t="s">
        <v>159</v>
      </c>
      <c r="F42" s="238" t="str">
        <f t="shared" si="1"/>
        <v>BF CodesQ2</v>
      </c>
      <c r="G42" s="238" t="s">
        <v>175</v>
      </c>
      <c r="H42" s="238" t="str">
        <f t="shared" si="2"/>
        <v>BF CodesFY25</v>
      </c>
    </row>
    <row r="43" spans="1:8" x14ac:dyDescent="0.35">
      <c r="A43" s="237" t="s">
        <v>15</v>
      </c>
      <c r="B43" s="237" t="s">
        <v>27</v>
      </c>
      <c r="C43" s="237" t="str">
        <f t="shared" si="0"/>
        <v>BF CodesMarch</v>
      </c>
      <c r="D43" s="238">
        <v>6615</v>
      </c>
      <c r="E43" s="238" t="s">
        <v>159</v>
      </c>
      <c r="F43" s="238" t="str">
        <f t="shared" si="1"/>
        <v>BF CodesQ2</v>
      </c>
      <c r="G43" s="238" t="s">
        <v>175</v>
      </c>
      <c r="H43" s="238" t="str">
        <f t="shared" si="2"/>
        <v>BF CodesFY25</v>
      </c>
    </row>
    <row r="44" spans="1:8" x14ac:dyDescent="0.35">
      <c r="A44" s="237" t="s">
        <v>15</v>
      </c>
      <c r="B44" s="237" t="s">
        <v>157</v>
      </c>
      <c r="C44" s="237" t="str">
        <f t="shared" si="0"/>
        <v>BF CodesApril</v>
      </c>
      <c r="D44" s="238">
        <v>6615</v>
      </c>
      <c r="E44" s="238" t="s">
        <v>160</v>
      </c>
      <c r="F44" s="238" t="str">
        <f t="shared" si="1"/>
        <v>BF CodesQ3</v>
      </c>
      <c r="G44" s="238" t="s">
        <v>175</v>
      </c>
      <c r="H44" s="238" t="str">
        <f t="shared" si="2"/>
        <v>BF CodesFY25</v>
      </c>
    </row>
    <row r="45" spans="1:8" x14ac:dyDescent="0.35">
      <c r="A45" s="237" t="s">
        <v>15</v>
      </c>
      <c r="B45" s="237" t="s">
        <v>28</v>
      </c>
      <c r="C45" s="237" t="str">
        <f t="shared" si="0"/>
        <v>BF CodesMay</v>
      </c>
      <c r="D45" s="238">
        <v>6000</v>
      </c>
      <c r="E45" s="238" t="s">
        <v>160</v>
      </c>
      <c r="F45" s="238" t="str">
        <f t="shared" si="1"/>
        <v>BF CodesQ3</v>
      </c>
      <c r="G45" s="238" t="s">
        <v>175</v>
      </c>
      <c r="H45" s="238" t="str">
        <f t="shared" si="2"/>
        <v>BF CodesFY25</v>
      </c>
    </row>
    <row r="46" spans="1:8" x14ac:dyDescent="0.35">
      <c r="A46" s="237" t="s">
        <v>15</v>
      </c>
      <c r="B46" s="237" t="s">
        <v>29</v>
      </c>
      <c r="C46" s="237" t="str">
        <f t="shared" si="0"/>
        <v>BF CodesJune</v>
      </c>
      <c r="D46" s="238">
        <v>10000</v>
      </c>
      <c r="E46" s="238" t="s">
        <v>160</v>
      </c>
      <c r="F46" s="238" t="str">
        <f t="shared" si="1"/>
        <v>BF CodesQ3</v>
      </c>
      <c r="G46" s="238" t="s">
        <v>175</v>
      </c>
      <c r="H46" s="238" t="str">
        <f t="shared" si="2"/>
        <v>BF CodesFY25</v>
      </c>
    </row>
    <row r="47" spans="1:8" x14ac:dyDescent="0.35">
      <c r="A47" s="237" t="s">
        <v>15</v>
      </c>
      <c r="B47" s="237" t="s">
        <v>30</v>
      </c>
      <c r="C47" s="237" t="str">
        <f t="shared" si="0"/>
        <v>BF CodesJuly</v>
      </c>
      <c r="D47" s="238">
        <v>8000</v>
      </c>
      <c r="E47" s="238" t="s">
        <v>164</v>
      </c>
      <c r="F47" s="238" t="str">
        <f t="shared" si="1"/>
        <v>BF CodesQ4</v>
      </c>
      <c r="G47" s="238" t="s">
        <v>175</v>
      </c>
      <c r="H47" s="238" t="str">
        <f t="shared" si="2"/>
        <v>BF CodesFY25</v>
      </c>
    </row>
    <row r="48" spans="1:8" x14ac:dyDescent="0.35">
      <c r="A48" s="237" t="s">
        <v>15</v>
      </c>
      <c r="B48" s="237" t="s">
        <v>31</v>
      </c>
      <c r="C48" s="237" t="str">
        <f t="shared" si="0"/>
        <v>BF CodesAugust</v>
      </c>
      <c r="D48" s="238">
        <v>8000</v>
      </c>
      <c r="E48" s="238" t="s">
        <v>164</v>
      </c>
      <c r="F48" s="238" t="str">
        <f t="shared" si="1"/>
        <v>BF CodesQ4</v>
      </c>
      <c r="G48" s="238" t="s">
        <v>175</v>
      </c>
      <c r="H48" s="238" t="str">
        <f t="shared" si="2"/>
        <v>BF CodesFY25</v>
      </c>
    </row>
    <row r="49" spans="1:8" x14ac:dyDescent="0.35">
      <c r="A49" s="237" t="s">
        <v>15</v>
      </c>
      <c r="B49" s="237" t="s">
        <v>32</v>
      </c>
      <c r="C49" s="237" t="str">
        <f t="shared" si="0"/>
        <v>BF CodesSeptember</v>
      </c>
      <c r="D49" s="238">
        <v>8000</v>
      </c>
      <c r="E49" s="238" t="s">
        <v>164</v>
      </c>
      <c r="F49" s="238" t="str">
        <f t="shared" si="1"/>
        <v>BF CodesQ4</v>
      </c>
      <c r="G49" s="238" t="s">
        <v>175</v>
      </c>
      <c r="H49" s="238" t="str">
        <f t="shared" si="2"/>
        <v>BF CodesFY25</v>
      </c>
    </row>
    <row r="50" spans="1:8" x14ac:dyDescent="0.35">
      <c r="A50" s="239" t="s">
        <v>1</v>
      </c>
      <c r="B50" s="239" t="s">
        <v>16</v>
      </c>
      <c r="C50" s="239" t="str">
        <f t="shared" si="0"/>
        <v>EmailOctober</v>
      </c>
      <c r="D50" s="240">
        <v>67533</v>
      </c>
      <c r="E50" s="240" t="s">
        <v>150</v>
      </c>
      <c r="F50" s="240" t="str">
        <f t="shared" si="1"/>
        <v>EmailQ1</v>
      </c>
      <c r="G50" s="240" t="s">
        <v>175</v>
      </c>
      <c r="H50" s="240" t="str">
        <f t="shared" si="2"/>
        <v>EmailFY25</v>
      </c>
    </row>
    <row r="51" spans="1:8" x14ac:dyDescent="0.35">
      <c r="A51" s="239" t="s">
        <v>1</v>
      </c>
      <c r="B51" s="239" t="s">
        <v>12</v>
      </c>
      <c r="C51" s="239" t="str">
        <f t="shared" si="0"/>
        <v>EmailNovember</v>
      </c>
      <c r="D51" s="240">
        <v>212501</v>
      </c>
      <c r="E51" s="240" t="s">
        <v>150</v>
      </c>
      <c r="F51" s="240" t="str">
        <f t="shared" si="1"/>
        <v>EmailQ1</v>
      </c>
      <c r="G51" s="240" t="s">
        <v>175</v>
      </c>
      <c r="H51" s="240" t="str">
        <f t="shared" si="2"/>
        <v>EmailFY25</v>
      </c>
    </row>
    <row r="52" spans="1:8" x14ac:dyDescent="0.35">
      <c r="A52" s="239" t="s">
        <v>1</v>
      </c>
      <c r="B52" s="239" t="s">
        <v>14</v>
      </c>
      <c r="C52" s="239" t="str">
        <f t="shared" si="0"/>
        <v>EmailDecember</v>
      </c>
      <c r="D52" s="240">
        <v>714929</v>
      </c>
      <c r="E52" s="240" t="s">
        <v>150</v>
      </c>
      <c r="F52" s="240" t="str">
        <f t="shared" si="1"/>
        <v>EmailQ1</v>
      </c>
      <c r="G52" s="240" t="s">
        <v>175</v>
      </c>
      <c r="H52" s="240" t="str">
        <f t="shared" si="2"/>
        <v>EmailFY25</v>
      </c>
    </row>
    <row r="53" spans="1:8" x14ac:dyDescent="0.35">
      <c r="A53" s="239" t="s">
        <v>1</v>
      </c>
      <c r="B53" s="239" t="s">
        <v>25</v>
      </c>
      <c r="C53" s="239" t="str">
        <f t="shared" si="0"/>
        <v>EmailJanuary</v>
      </c>
      <c r="D53" s="240">
        <v>24466</v>
      </c>
      <c r="E53" s="240" t="s">
        <v>159</v>
      </c>
      <c r="F53" s="240" t="str">
        <f t="shared" si="1"/>
        <v>EmailQ2</v>
      </c>
      <c r="G53" s="240" t="s">
        <v>175</v>
      </c>
      <c r="H53" s="240" t="str">
        <f t="shared" si="2"/>
        <v>EmailFY25</v>
      </c>
    </row>
    <row r="54" spans="1:8" x14ac:dyDescent="0.35">
      <c r="A54" s="239" t="s">
        <v>1</v>
      </c>
      <c r="B54" s="239" t="s">
        <v>26</v>
      </c>
      <c r="C54" s="239" t="str">
        <f t="shared" si="0"/>
        <v>EmailFebruary</v>
      </c>
      <c r="D54" s="240">
        <v>47545</v>
      </c>
      <c r="E54" s="240" t="s">
        <v>159</v>
      </c>
      <c r="F54" s="240" t="str">
        <f t="shared" si="1"/>
        <v>EmailQ2</v>
      </c>
      <c r="G54" s="240" t="s">
        <v>175</v>
      </c>
      <c r="H54" s="240" t="str">
        <f t="shared" si="2"/>
        <v>EmailFY25</v>
      </c>
    </row>
    <row r="55" spans="1:8" x14ac:dyDescent="0.35">
      <c r="A55" s="239" t="s">
        <v>1</v>
      </c>
      <c r="B55" s="239" t="s">
        <v>27</v>
      </c>
      <c r="C55" s="239" t="str">
        <f t="shared" si="0"/>
        <v>EmailMarch</v>
      </c>
      <c r="D55" s="240">
        <v>52201</v>
      </c>
      <c r="E55" s="240" t="s">
        <v>159</v>
      </c>
      <c r="F55" s="240" t="str">
        <f t="shared" si="1"/>
        <v>EmailQ2</v>
      </c>
      <c r="G55" s="240" t="s">
        <v>175</v>
      </c>
      <c r="H55" s="240" t="str">
        <f t="shared" si="2"/>
        <v>EmailFY25</v>
      </c>
    </row>
    <row r="56" spans="1:8" x14ac:dyDescent="0.35">
      <c r="A56" s="239" t="s">
        <v>1</v>
      </c>
      <c r="B56" s="239" t="s">
        <v>157</v>
      </c>
      <c r="C56" s="239" t="str">
        <f t="shared" si="0"/>
        <v>EmailApril</v>
      </c>
      <c r="D56" s="240">
        <v>35807</v>
      </c>
      <c r="E56" s="240" t="s">
        <v>160</v>
      </c>
      <c r="F56" s="240" t="str">
        <f t="shared" si="1"/>
        <v>EmailQ3</v>
      </c>
      <c r="G56" s="240" t="s">
        <v>175</v>
      </c>
      <c r="H56" s="240" t="str">
        <f t="shared" si="2"/>
        <v>EmailFY25</v>
      </c>
    </row>
    <row r="57" spans="1:8" x14ac:dyDescent="0.35">
      <c r="A57" s="239" t="s">
        <v>1</v>
      </c>
      <c r="B57" s="239" t="s">
        <v>28</v>
      </c>
      <c r="C57" s="239" t="str">
        <f t="shared" si="0"/>
        <v>EmailMay</v>
      </c>
      <c r="D57" s="240">
        <v>160950</v>
      </c>
      <c r="E57" s="240" t="s">
        <v>160</v>
      </c>
      <c r="F57" s="240" t="str">
        <f t="shared" si="1"/>
        <v>EmailQ3</v>
      </c>
      <c r="G57" s="240" t="s">
        <v>175</v>
      </c>
      <c r="H57" s="240" t="str">
        <f t="shared" si="2"/>
        <v>EmailFY25</v>
      </c>
    </row>
    <row r="58" spans="1:8" x14ac:dyDescent="0.35">
      <c r="A58" s="239" t="s">
        <v>1</v>
      </c>
      <c r="B58" s="239" t="s">
        <v>29</v>
      </c>
      <c r="C58" s="239" t="str">
        <f t="shared" si="0"/>
        <v>EmailJune</v>
      </c>
      <c r="D58" s="240">
        <v>62349</v>
      </c>
      <c r="E58" s="240" t="s">
        <v>160</v>
      </c>
      <c r="F58" s="240" t="str">
        <f t="shared" si="1"/>
        <v>EmailQ3</v>
      </c>
      <c r="G58" s="240" t="s">
        <v>175</v>
      </c>
      <c r="H58" s="240" t="str">
        <f t="shared" si="2"/>
        <v>EmailFY25</v>
      </c>
    </row>
    <row r="59" spans="1:8" x14ac:dyDescent="0.35">
      <c r="A59" s="239" t="s">
        <v>1</v>
      </c>
      <c r="B59" s="239" t="s">
        <v>30</v>
      </c>
      <c r="C59" s="239" t="str">
        <f t="shared" si="0"/>
        <v>EmailJuly</v>
      </c>
      <c r="D59" s="240">
        <v>115413</v>
      </c>
      <c r="E59" s="240" t="s">
        <v>164</v>
      </c>
      <c r="F59" s="240" t="str">
        <f t="shared" si="1"/>
        <v>EmailQ4</v>
      </c>
      <c r="G59" s="240" t="s">
        <v>175</v>
      </c>
      <c r="H59" s="240" t="str">
        <f t="shared" si="2"/>
        <v>EmailFY25</v>
      </c>
    </row>
    <row r="60" spans="1:8" x14ac:dyDescent="0.35">
      <c r="A60" s="239" t="s">
        <v>1</v>
      </c>
      <c r="B60" s="239" t="s">
        <v>31</v>
      </c>
      <c r="C60" s="239" t="str">
        <f t="shared" si="0"/>
        <v>EmailAugust</v>
      </c>
      <c r="D60" s="240">
        <v>40661</v>
      </c>
      <c r="E60" s="240" t="s">
        <v>164</v>
      </c>
      <c r="F60" s="240" t="str">
        <f t="shared" si="1"/>
        <v>EmailQ4</v>
      </c>
      <c r="G60" s="240" t="s">
        <v>175</v>
      </c>
      <c r="H60" s="240" t="str">
        <f t="shared" si="2"/>
        <v>EmailFY25</v>
      </c>
    </row>
    <row r="61" spans="1:8" x14ac:dyDescent="0.35">
      <c r="A61" s="239" t="s">
        <v>1</v>
      </c>
      <c r="B61" s="239" t="s">
        <v>32</v>
      </c>
      <c r="C61" s="239" t="str">
        <f t="shared" si="0"/>
        <v>EmailSeptember</v>
      </c>
      <c r="D61" s="240">
        <v>161353</v>
      </c>
      <c r="E61" s="240" t="s">
        <v>164</v>
      </c>
      <c r="F61" s="240" t="str">
        <f t="shared" si="1"/>
        <v>EmailQ4</v>
      </c>
      <c r="G61" s="240" t="s">
        <v>175</v>
      </c>
      <c r="H61" s="240" t="str">
        <f t="shared" si="2"/>
        <v>EmailFY25</v>
      </c>
    </row>
    <row r="62" spans="1:8" x14ac:dyDescent="0.35">
      <c r="A62" s="241" t="s">
        <v>2</v>
      </c>
      <c r="B62" s="241" t="s">
        <v>16</v>
      </c>
      <c r="C62" s="241" t="str">
        <f t="shared" si="0"/>
        <v>SocialOctober</v>
      </c>
      <c r="D62" s="242">
        <v>13928</v>
      </c>
      <c r="E62" s="242" t="s">
        <v>150</v>
      </c>
      <c r="F62" s="242" t="str">
        <f t="shared" si="1"/>
        <v>SocialQ1</v>
      </c>
      <c r="G62" s="242" t="s">
        <v>175</v>
      </c>
      <c r="H62" s="242" t="str">
        <f t="shared" si="2"/>
        <v>SocialFY25</v>
      </c>
    </row>
    <row r="63" spans="1:8" x14ac:dyDescent="0.35">
      <c r="A63" s="241" t="s">
        <v>2</v>
      </c>
      <c r="B63" s="241" t="s">
        <v>12</v>
      </c>
      <c r="C63" s="241" t="str">
        <f t="shared" si="0"/>
        <v>SocialNovember</v>
      </c>
      <c r="D63" s="242">
        <v>63648</v>
      </c>
      <c r="E63" s="242" t="s">
        <v>150</v>
      </c>
      <c r="F63" s="242" t="str">
        <f t="shared" si="1"/>
        <v>SocialQ1</v>
      </c>
      <c r="G63" s="242" t="s">
        <v>175</v>
      </c>
      <c r="H63" s="242" t="str">
        <f t="shared" si="2"/>
        <v>SocialFY25</v>
      </c>
    </row>
    <row r="64" spans="1:8" x14ac:dyDescent="0.35">
      <c r="A64" s="241" t="s">
        <v>2</v>
      </c>
      <c r="B64" s="241" t="s">
        <v>14</v>
      </c>
      <c r="C64" s="241" t="str">
        <f t="shared" si="0"/>
        <v>SocialDecember</v>
      </c>
      <c r="D64" s="242">
        <v>115538</v>
      </c>
      <c r="E64" s="242" t="s">
        <v>150</v>
      </c>
      <c r="F64" s="242" t="str">
        <f t="shared" si="1"/>
        <v>SocialQ1</v>
      </c>
      <c r="G64" s="242" t="s">
        <v>175</v>
      </c>
      <c r="H64" s="242" t="str">
        <f t="shared" si="2"/>
        <v>SocialFY25</v>
      </c>
    </row>
    <row r="65" spans="1:8" x14ac:dyDescent="0.35">
      <c r="A65" s="241" t="s">
        <v>2</v>
      </c>
      <c r="B65" s="241" t="s">
        <v>25</v>
      </c>
      <c r="C65" s="241" t="str">
        <f t="shared" si="0"/>
        <v>SocialJanuary</v>
      </c>
      <c r="D65" s="242">
        <v>15394</v>
      </c>
      <c r="E65" s="242" t="s">
        <v>159</v>
      </c>
      <c r="F65" s="242" t="str">
        <f t="shared" si="1"/>
        <v>SocialQ2</v>
      </c>
      <c r="G65" s="242" t="s">
        <v>175</v>
      </c>
      <c r="H65" s="242" t="str">
        <f t="shared" si="2"/>
        <v>SocialFY25</v>
      </c>
    </row>
    <row r="66" spans="1:8" x14ac:dyDescent="0.35">
      <c r="A66" s="241" t="s">
        <v>2</v>
      </c>
      <c r="B66" s="241" t="s">
        <v>26</v>
      </c>
      <c r="C66" s="241" t="str">
        <f t="shared" si="0"/>
        <v>SocialFebruary</v>
      </c>
      <c r="D66" s="242">
        <v>11415</v>
      </c>
      <c r="E66" s="242" t="s">
        <v>159</v>
      </c>
      <c r="F66" s="242" t="str">
        <f t="shared" si="1"/>
        <v>SocialQ2</v>
      </c>
      <c r="G66" s="242" t="s">
        <v>175</v>
      </c>
      <c r="H66" s="242" t="str">
        <f t="shared" si="2"/>
        <v>SocialFY25</v>
      </c>
    </row>
    <row r="67" spans="1:8" x14ac:dyDescent="0.35">
      <c r="A67" s="241" t="s">
        <v>2</v>
      </c>
      <c r="B67" s="241" t="s">
        <v>27</v>
      </c>
      <c r="C67" s="241" t="str">
        <f t="shared" ref="C67:C85" si="3">A67&amp;B67</f>
        <v>SocialMarch</v>
      </c>
      <c r="D67" s="242">
        <v>17666</v>
      </c>
      <c r="E67" s="242" t="s">
        <v>159</v>
      </c>
      <c r="F67" s="242" t="str">
        <f t="shared" ref="F67:F85" si="4">A67&amp;E67</f>
        <v>SocialQ2</v>
      </c>
      <c r="G67" s="242" t="s">
        <v>175</v>
      </c>
      <c r="H67" s="242" t="str">
        <f t="shared" ref="H67:H85" si="5">A67&amp;G67</f>
        <v>SocialFY25</v>
      </c>
    </row>
    <row r="68" spans="1:8" x14ac:dyDescent="0.35">
      <c r="A68" s="241" t="s">
        <v>2</v>
      </c>
      <c r="B68" s="241" t="s">
        <v>157</v>
      </c>
      <c r="C68" s="241" t="str">
        <f t="shared" si="3"/>
        <v>SocialApril</v>
      </c>
      <c r="D68" s="242">
        <v>9710</v>
      </c>
      <c r="E68" s="242" t="s">
        <v>160</v>
      </c>
      <c r="F68" s="242" t="str">
        <f t="shared" si="4"/>
        <v>SocialQ3</v>
      </c>
      <c r="G68" s="242" t="s">
        <v>175</v>
      </c>
      <c r="H68" s="242" t="str">
        <f t="shared" si="5"/>
        <v>SocialFY25</v>
      </c>
    </row>
    <row r="69" spans="1:8" x14ac:dyDescent="0.35">
      <c r="A69" s="241" t="s">
        <v>2</v>
      </c>
      <c r="B69" s="241" t="s">
        <v>28</v>
      </c>
      <c r="C69" s="241" t="str">
        <f t="shared" si="3"/>
        <v>SocialMay</v>
      </c>
      <c r="D69" s="242">
        <v>45384</v>
      </c>
      <c r="E69" s="242" t="s">
        <v>160</v>
      </c>
      <c r="F69" s="242" t="str">
        <f t="shared" si="4"/>
        <v>SocialQ3</v>
      </c>
      <c r="G69" s="242" t="s">
        <v>175</v>
      </c>
      <c r="H69" s="242" t="str">
        <f t="shared" si="5"/>
        <v>SocialFY25</v>
      </c>
    </row>
    <row r="70" spans="1:8" x14ac:dyDescent="0.35">
      <c r="A70" s="241" t="s">
        <v>2</v>
      </c>
      <c r="B70" s="241" t="s">
        <v>29</v>
      </c>
      <c r="C70" s="241" t="str">
        <f t="shared" si="3"/>
        <v>SocialJune</v>
      </c>
      <c r="D70" s="242">
        <v>16865</v>
      </c>
      <c r="E70" s="242" t="s">
        <v>160</v>
      </c>
      <c r="F70" s="242" t="str">
        <f t="shared" si="4"/>
        <v>SocialQ3</v>
      </c>
      <c r="G70" s="242" t="s">
        <v>175</v>
      </c>
      <c r="H70" s="242" t="str">
        <f t="shared" si="5"/>
        <v>SocialFY25</v>
      </c>
    </row>
    <row r="71" spans="1:8" x14ac:dyDescent="0.35">
      <c r="A71" s="241" t="s">
        <v>2</v>
      </c>
      <c r="B71" s="241" t="s">
        <v>30</v>
      </c>
      <c r="C71" s="241" t="str">
        <f t="shared" si="3"/>
        <v>SocialJuly</v>
      </c>
      <c r="D71" s="242">
        <v>41693</v>
      </c>
      <c r="E71" s="242" t="s">
        <v>164</v>
      </c>
      <c r="F71" s="242" t="str">
        <f t="shared" si="4"/>
        <v>SocialQ4</v>
      </c>
      <c r="G71" s="242" t="s">
        <v>175</v>
      </c>
      <c r="H71" s="242" t="str">
        <f t="shared" si="5"/>
        <v>SocialFY25</v>
      </c>
    </row>
    <row r="72" spans="1:8" x14ac:dyDescent="0.35">
      <c r="A72" s="241" t="s">
        <v>2</v>
      </c>
      <c r="B72" s="241" t="s">
        <v>31</v>
      </c>
      <c r="C72" s="241" t="str">
        <f t="shared" si="3"/>
        <v>SocialAugust</v>
      </c>
      <c r="D72" s="242">
        <v>12343</v>
      </c>
      <c r="E72" s="242" t="s">
        <v>164</v>
      </c>
      <c r="F72" s="242" t="str">
        <f t="shared" si="4"/>
        <v>SocialQ4</v>
      </c>
      <c r="G72" s="242" t="s">
        <v>175</v>
      </c>
      <c r="H72" s="242" t="str">
        <f t="shared" si="5"/>
        <v>SocialFY25</v>
      </c>
    </row>
    <row r="73" spans="1:8" x14ac:dyDescent="0.35">
      <c r="A73" s="241" t="s">
        <v>2</v>
      </c>
      <c r="B73" s="241" t="s">
        <v>32</v>
      </c>
      <c r="C73" s="241" t="str">
        <f t="shared" si="3"/>
        <v>SocialSeptember</v>
      </c>
      <c r="D73" s="242">
        <v>33250</v>
      </c>
      <c r="E73" s="242" t="s">
        <v>164</v>
      </c>
      <c r="F73" s="242" t="str">
        <f t="shared" si="4"/>
        <v>SocialQ4</v>
      </c>
      <c r="G73" s="242" t="s">
        <v>175</v>
      </c>
      <c r="H73" s="242" t="str">
        <f t="shared" si="5"/>
        <v>SocialFY25</v>
      </c>
    </row>
    <row r="74" spans="1:8" x14ac:dyDescent="0.35">
      <c r="A74" s="243" t="s">
        <v>5</v>
      </c>
      <c r="B74" s="243" t="s">
        <v>16</v>
      </c>
      <c r="C74" s="243" t="str">
        <f t="shared" si="3"/>
        <v>LightboxOctober</v>
      </c>
      <c r="D74" s="244">
        <v>13000</v>
      </c>
      <c r="E74" s="244" t="s">
        <v>150</v>
      </c>
      <c r="F74" s="244" t="str">
        <f t="shared" si="4"/>
        <v>LightboxQ1</v>
      </c>
      <c r="G74" s="244" t="s">
        <v>175</v>
      </c>
      <c r="H74" s="244" t="str">
        <f t="shared" si="5"/>
        <v>LightboxFY25</v>
      </c>
    </row>
    <row r="75" spans="1:8" x14ac:dyDescent="0.35">
      <c r="A75" s="243" t="s">
        <v>5</v>
      </c>
      <c r="B75" s="243" t="s">
        <v>12</v>
      </c>
      <c r="C75" s="243" t="str">
        <f t="shared" si="3"/>
        <v>LightboxNovember</v>
      </c>
      <c r="D75" s="244">
        <v>255000</v>
      </c>
      <c r="E75" s="244" t="s">
        <v>150</v>
      </c>
      <c r="F75" s="244" t="str">
        <f t="shared" si="4"/>
        <v>LightboxQ1</v>
      </c>
      <c r="G75" s="244" t="s">
        <v>175</v>
      </c>
      <c r="H75" s="244" t="str">
        <f t="shared" si="5"/>
        <v>LightboxFY25</v>
      </c>
    </row>
    <row r="76" spans="1:8" x14ac:dyDescent="0.35">
      <c r="A76" s="243" t="s">
        <v>5</v>
      </c>
      <c r="B76" s="243" t="s">
        <v>14</v>
      </c>
      <c r="C76" s="243" t="str">
        <f t="shared" si="3"/>
        <v>LightboxDecember</v>
      </c>
      <c r="D76" s="244">
        <v>1350000</v>
      </c>
      <c r="E76" s="244" t="s">
        <v>150</v>
      </c>
      <c r="F76" s="244" t="str">
        <f t="shared" si="4"/>
        <v>LightboxQ1</v>
      </c>
      <c r="G76" s="244" t="s">
        <v>175</v>
      </c>
      <c r="H76" s="244" t="str">
        <f t="shared" si="5"/>
        <v>LightboxFY25</v>
      </c>
    </row>
    <row r="77" spans="1:8" x14ac:dyDescent="0.35">
      <c r="A77" s="243" t="s">
        <v>5</v>
      </c>
      <c r="B77" s="243" t="s">
        <v>25</v>
      </c>
      <c r="C77" s="243" t="str">
        <f t="shared" si="3"/>
        <v>LightboxJanuary</v>
      </c>
      <c r="D77" s="244">
        <v>49000</v>
      </c>
      <c r="E77" s="244" t="s">
        <v>159</v>
      </c>
      <c r="F77" s="244" t="str">
        <f t="shared" si="4"/>
        <v>LightboxQ2</v>
      </c>
      <c r="G77" s="244" t="s">
        <v>175</v>
      </c>
      <c r="H77" s="244" t="str">
        <f t="shared" si="5"/>
        <v>LightboxFY25</v>
      </c>
    </row>
    <row r="78" spans="1:8" x14ac:dyDescent="0.35">
      <c r="A78" s="243" t="s">
        <v>5</v>
      </c>
      <c r="B78" s="243" t="s">
        <v>26</v>
      </c>
      <c r="C78" s="243" t="str">
        <f t="shared" si="3"/>
        <v>LightboxFebruary</v>
      </c>
      <c r="D78" s="244">
        <v>23000</v>
      </c>
      <c r="E78" s="244" t="s">
        <v>159</v>
      </c>
      <c r="F78" s="244" t="str">
        <f t="shared" si="4"/>
        <v>LightboxQ2</v>
      </c>
      <c r="G78" s="244" t="s">
        <v>175</v>
      </c>
      <c r="H78" s="244" t="str">
        <f t="shared" si="5"/>
        <v>LightboxFY25</v>
      </c>
    </row>
    <row r="79" spans="1:8" x14ac:dyDescent="0.35">
      <c r="A79" s="243" t="s">
        <v>5</v>
      </c>
      <c r="B79" s="243" t="s">
        <v>27</v>
      </c>
      <c r="C79" s="243" t="str">
        <f t="shared" si="3"/>
        <v>LightboxMarch</v>
      </c>
      <c r="D79" s="244">
        <v>34000</v>
      </c>
      <c r="E79" s="244" t="s">
        <v>159</v>
      </c>
      <c r="F79" s="244" t="str">
        <f t="shared" si="4"/>
        <v>LightboxQ2</v>
      </c>
      <c r="G79" s="244" t="s">
        <v>175</v>
      </c>
      <c r="H79" s="244" t="str">
        <f t="shared" si="5"/>
        <v>LightboxFY25</v>
      </c>
    </row>
    <row r="80" spans="1:8" x14ac:dyDescent="0.35">
      <c r="A80" s="243" t="s">
        <v>5</v>
      </c>
      <c r="B80" s="243" t="s">
        <v>157</v>
      </c>
      <c r="C80" s="243" t="str">
        <f t="shared" si="3"/>
        <v>LightboxApril</v>
      </c>
      <c r="D80" s="244">
        <v>16000</v>
      </c>
      <c r="E80" s="244" t="s">
        <v>160</v>
      </c>
      <c r="F80" s="244" t="str">
        <f t="shared" si="4"/>
        <v>LightboxQ3</v>
      </c>
      <c r="G80" s="244" t="s">
        <v>175</v>
      </c>
      <c r="H80" s="244" t="str">
        <f t="shared" si="5"/>
        <v>LightboxFY25</v>
      </c>
    </row>
    <row r="81" spans="1:8" x14ac:dyDescent="0.35">
      <c r="A81" s="243" t="s">
        <v>5</v>
      </c>
      <c r="B81" s="243" t="s">
        <v>28</v>
      </c>
      <c r="C81" s="243" t="str">
        <f t="shared" si="3"/>
        <v>LightboxMay</v>
      </c>
      <c r="D81" s="244">
        <v>57000</v>
      </c>
      <c r="E81" s="244" t="s">
        <v>160</v>
      </c>
      <c r="F81" s="244" t="str">
        <f t="shared" si="4"/>
        <v>LightboxQ3</v>
      </c>
      <c r="G81" s="244" t="s">
        <v>175</v>
      </c>
      <c r="H81" s="244" t="str">
        <f t="shared" si="5"/>
        <v>LightboxFY25</v>
      </c>
    </row>
    <row r="82" spans="1:8" x14ac:dyDescent="0.35">
      <c r="A82" s="243" t="s">
        <v>5</v>
      </c>
      <c r="B82" s="243" t="s">
        <v>29</v>
      </c>
      <c r="C82" s="243" t="str">
        <f t="shared" si="3"/>
        <v>LightboxJune</v>
      </c>
      <c r="D82" s="244">
        <v>34000</v>
      </c>
      <c r="E82" s="244" t="s">
        <v>160</v>
      </c>
      <c r="F82" s="244" t="str">
        <f t="shared" si="4"/>
        <v>LightboxQ3</v>
      </c>
      <c r="G82" s="244" t="s">
        <v>175</v>
      </c>
      <c r="H82" s="244" t="str">
        <f t="shared" si="5"/>
        <v>LightboxFY25</v>
      </c>
    </row>
    <row r="83" spans="1:8" x14ac:dyDescent="0.35">
      <c r="A83" s="243" t="s">
        <v>5</v>
      </c>
      <c r="B83" s="243" t="s">
        <v>30</v>
      </c>
      <c r="C83" s="243" t="str">
        <f t="shared" si="3"/>
        <v>LightboxJuly</v>
      </c>
      <c r="D83" s="244">
        <v>18500</v>
      </c>
      <c r="E83" s="244" t="s">
        <v>164</v>
      </c>
      <c r="F83" s="244" t="str">
        <f t="shared" si="4"/>
        <v>LightboxQ4</v>
      </c>
      <c r="G83" s="244" t="s">
        <v>175</v>
      </c>
      <c r="H83" s="244" t="str">
        <f t="shared" si="5"/>
        <v>LightboxFY25</v>
      </c>
    </row>
    <row r="84" spans="1:8" x14ac:dyDescent="0.35">
      <c r="A84" s="243" t="s">
        <v>5</v>
      </c>
      <c r="B84" s="243" t="s">
        <v>31</v>
      </c>
      <c r="C84" s="243" t="str">
        <f t="shared" si="3"/>
        <v>LightboxAugust</v>
      </c>
      <c r="D84" s="244">
        <v>22500</v>
      </c>
      <c r="E84" s="244" t="s">
        <v>164</v>
      </c>
      <c r="F84" s="244" t="str">
        <f t="shared" si="4"/>
        <v>LightboxQ4</v>
      </c>
      <c r="G84" s="244" t="s">
        <v>175</v>
      </c>
      <c r="H84" s="244" t="str">
        <f t="shared" si="5"/>
        <v>LightboxFY25</v>
      </c>
    </row>
    <row r="85" spans="1:8" x14ac:dyDescent="0.35">
      <c r="A85" s="243" t="s">
        <v>5</v>
      </c>
      <c r="B85" s="243" t="s">
        <v>32</v>
      </c>
      <c r="C85" s="243" t="str">
        <f t="shared" si="3"/>
        <v>LightboxSeptember</v>
      </c>
      <c r="D85" s="244">
        <v>53000</v>
      </c>
      <c r="E85" s="244" t="s">
        <v>164</v>
      </c>
      <c r="F85" s="244" t="str">
        <f t="shared" si="4"/>
        <v>LightboxQ4</v>
      </c>
      <c r="G85" s="244" t="s">
        <v>175</v>
      </c>
      <c r="H85" s="244" t="str">
        <f t="shared" si="5"/>
        <v>LightboxFY25</v>
      </c>
    </row>
  </sheetData>
  <autoFilter ref="A1:H85" xr:uid="{578D3E10-6922-48A5-AAD4-FFE919796CB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17BB-FAC4-42D5-9A7D-B76CCE28A075}">
  <dimension ref="A1:K76"/>
  <sheetViews>
    <sheetView zoomScale="90" zoomScaleNormal="90" workbookViewId="0">
      <selection activeCell="B2" sqref="B2:G76"/>
    </sheetView>
  </sheetViews>
  <sheetFormatPr defaultRowHeight="14.5" x14ac:dyDescent="0.35"/>
  <cols>
    <col min="1" max="1" width="5.453125" bestFit="1" customWidth="1"/>
    <col min="2" max="2" width="62.453125" bestFit="1" customWidth="1"/>
    <col min="3" max="3" width="18.453125" bestFit="1" customWidth="1"/>
    <col min="4" max="4" width="13.453125" style="83" bestFit="1" customWidth="1"/>
    <col min="5" max="5" width="12.453125" style="118" bestFit="1" customWidth="1"/>
    <col min="6" max="6" width="13.1796875" style="135" bestFit="1" customWidth="1"/>
    <col min="7" max="7" width="11.26953125" style="118" bestFit="1" customWidth="1"/>
  </cols>
  <sheetData>
    <row r="1" spans="1:7" x14ac:dyDescent="0.35">
      <c r="A1" s="9"/>
      <c r="C1" s="6"/>
      <c r="E1" s="126"/>
    </row>
    <row r="2" spans="1:7" ht="15.5" x14ac:dyDescent="0.35">
      <c r="A2" s="9"/>
      <c r="B2" s="109" t="s">
        <v>59</v>
      </c>
      <c r="C2" s="6"/>
      <c r="E2" s="126"/>
    </row>
    <row r="3" spans="1:7" x14ac:dyDescent="0.35">
      <c r="A3" s="9"/>
      <c r="B3" s="107" t="s">
        <v>33</v>
      </c>
      <c r="C3" s="127" t="s">
        <v>49</v>
      </c>
      <c r="D3" s="133" t="s">
        <v>50</v>
      </c>
      <c r="E3" s="127" t="s">
        <v>51</v>
      </c>
      <c r="F3" s="133" t="s">
        <v>54</v>
      </c>
      <c r="G3" s="119" t="s">
        <v>55</v>
      </c>
    </row>
    <row r="4" spans="1:7" x14ac:dyDescent="0.35">
      <c r="A4" s="9"/>
      <c r="B4" t="s">
        <v>121</v>
      </c>
      <c r="C4" s="6" t="s">
        <v>60</v>
      </c>
      <c r="D4" s="1">
        <v>6776</v>
      </c>
      <c r="E4" s="126">
        <v>114</v>
      </c>
      <c r="F4" s="137"/>
      <c r="G4" s="11"/>
    </row>
    <row r="5" spans="1:7" x14ac:dyDescent="0.35">
      <c r="A5" s="9"/>
      <c r="B5" t="s">
        <v>122</v>
      </c>
      <c r="C5" s="6" t="s">
        <v>61</v>
      </c>
      <c r="D5" s="1">
        <v>1345</v>
      </c>
      <c r="E5" s="126">
        <v>16</v>
      </c>
      <c r="F5" s="137"/>
      <c r="G5" s="11"/>
    </row>
    <row r="6" spans="1:7" x14ac:dyDescent="0.35">
      <c r="A6" s="9"/>
      <c r="B6" s="101" t="s">
        <v>13</v>
      </c>
      <c r="C6" s="102"/>
      <c r="D6" s="114">
        <f>SUM(D4:D5)</f>
        <v>8121</v>
      </c>
      <c r="E6" s="128">
        <f>SUM(E4:E5)</f>
        <v>130</v>
      </c>
      <c r="F6" s="138"/>
      <c r="G6" s="120"/>
    </row>
    <row r="7" spans="1:7" x14ac:dyDescent="0.35">
      <c r="A7" s="9"/>
      <c r="B7" t="s">
        <v>123</v>
      </c>
      <c r="C7" s="6" t="s">
        <v>62</v>
      </c>
      <c r="D7" s="1">
        <v>11202</v>
      </c>
      <c r="E7" s="126">
        <v>150</v>
      </c>
      <c r="F7" s="137"/>
      <c r="G7" s="11"/>
    </row>
    <row r="8" spans="1:7" x14ac:dyDescent="0.35">
      <c r="A8" s="9"/>
      <c r="B8" t="s">
        <v>124</v>
      </c>
      <c r="C8" s="6" t="s">
        <v>63</v>
      </c>
      <c r="D8" s="1">
        <v>840</v>
      </c>
      <c r="E8" s="126">
        <v>16</v>
      </c>
      <c r="F8" s="137"/>
      <c r="G8" s="11"/>
    </row>
    <row r="9" spans="1:7" x14ac:dyDescent="0.35">
      <c r="A9" s="9"/>
      <c r="B9" t="s">
        <v>125</v>
      </c>
      <c r="C9" s="6" t="s">
        <v>64</v>
      </c>
      <c r="D9" s="1">
        <v>1860</v>
      </c>
      <c r="E9" s="126">
        <v>15</v>
      </c>
      <c r="F9" s="137"/>
      <c r="G9" s="11"/>
    </row>
    <row r="10" spans="1:7" x14ac:dyDescent="0.35">
      <c r="A10" s="9"/>
      <c r="B10" t="s">
        <v>126</v>
      </c>
      <c r="C10" s="6" t="s">
        <v>65</v>
      </c>
      <c r="D10" s="1">
        <v>10176</v>
      </c>
      <c r="E10" s="126">
        <v>118</v>
      </c>
      <c r="F10" s="137"/>
      <c r="G10" s="11"/>
    </row>
    <row r="11" spans="1:7" x14ac:dyDescent="0.35">
      <c r="A11" s="9"/>
      <c r="B11" s="103" t="s">
        <v>127</v>
      </c>
      <c r="C11" s="104"/>
      <c r="D11" s="115">
        <f>SUM(D7:D10)</f>
        <v>24078</v>
      </c>
      <c r="E11" s="129">
        <f>SUM(E7:E10)</f>
        <v>299</v>
      </c>
      <c r="F11" s="139"/>
      <c r="G11" s="121"/>
    </row>
    <row r="12" spans="1:7" x14ac:dyDescent="0.35">
      <c r="A12" s="9"/>
      <c r="B12" s="101" t="s">
        <v>128</v>
      </c>
      <c r="C12" s="102"/>
      <c r="D12" s="114">
        <f>SUM(D7:D9)</f>
        <v>13902</v>
      </c>
      <c r="E12" s="128">
        <f>SUM(E7:E9)</f>
        <v>181</v>
      </c>
      <c r="F12" s="138"/>
      <c r="G12" s="120"/>
    </row>
    <row r="13" spans="1:7" x14ac:dyDescent="0.35">
      <c r="A13" s="9"/>
      <c r="B13" t="s">
        <v>129</v>
      </c>
      <c r="C13" s="6" t="s">
        <v>66</v>
      </c>
      <c r="D13" s="1">
        <v>3644</v>
      </c>
      <c r="E13" s="126">
        <v>52</v>
      </c>
      <c r="F13" s="137"/>
      <c r="G13" s="11"/>
    </row>
    <row r="14" spans="1:7" x14ac:dyDescent="0.35">
      <c r="A14" s="9"/>
      <c r="B14" t="s">
        <v>130</v>
      </c>
      <c r="C14" s="6" t="s">
        <v>67</v>
      </c>
      <c r="D14" s="1">
        <v>1291</v>
      </c>
      <c r="E14" s="126">
        <v>8</v>
      </c>
      <c r="F14" s="137"/>
      <c r="G14" s="11"/>
    </row>
    <row r="15" spans="1:7" x14ac:dyDescent="0.35">
      <c r="A15" s="9"/>
      <c r="B15" s="103" t="s">
        <v>57</v>
      </c>
      <c r="C15" s="104"/>
      <c r="D15" s="115">
        <f>SUM(D13:D14)</f>
        <v>4935</v>
      </c>
      <c r="E15" s="129">
        <f>SUM(E13:E14)</f>
        <v>60</v>
      </c>
      <c r="F15" s="139"/>
      <c r="G15" s="121"/>
    </row>
    <row r="16" spans="1:7" x14ac:dyDescent="0.35">
      <c r="A16" s="9"/>
      <c r="B16" t="s">
        <v>131</v>
      </c>
      <c r="C16" s="6" t="s">
        <v>68</v>
      </c>
      <c r="D16" s="1">
        <v>2430.16</v>
      </c>
      <c r="E16" s="126">
        <v>53</v>
      </c>
      <c r="F16" s="137"/>
      <c r="G16" s="11"/>
    </row>
    <row r="17" spans="1:7" x14ac:dyDescent="0.35">
      <c r="A17" s="9"/>
      <c r="B17" t="s">
        <v>132</v>
      </c>
      <c r="C17" s="6" t="s">
        <v>69</v>
      </c>
      <c r="D17" s="1">
        <v>1175</v>
      </c>
      <c r="E17" s="126">
        <v>11</v>
      </c>
      <c r="F17" s="137"/>
      <c r="G17" s="11"/>
    </row>
    <row r="18" spans="1:7" x14ac:dyDescent="0.35">
      <c r="A18" s="9"/>
      <c r="B18" s="103" t="s">
        <v>58</v>
      </c>
      <c r="C18" s="104"/>
      <c r="D18" s="115">
        <f>SUM(D16:D17)</f>
        <v>3605.16</v>
      </c>
      <c r="E18" s="129">
        <f>SUM(E16:E17)</f>
        <v>64</v>
      </c>
      <c r="F18" s="139"/>
      <c r="G18" s="121"/>
    </row>
    <row r="19" spans="1:7" x14ac:dyDescent="0.35">
      <c r="A19" s="9"/>
      <c r="B19" s="101" t="s">
        <v>13</v>
      </c>
      <c r="C19" s="102"/>
      <c r="D19" s="114">
        <f>SUM(D15+D18)</f>
        <v>8540.16</v>
      </c>
      <c r="E19" s="128">
        <f>SUM(E15+E18)</f>
        <v>124</v>
      </c>
      <c r="F19" s="138"/>
      <c r="G19" s="120"/>
    </row>
    <row r="20" spans="1:7" x14ac:dyDescent="0.35">
      <c r="A20" s="9"/>
      <c r="B20" t="s">
        <v>133</v>
      </c>
      <c r="C20" s="6" t="s">
        <v>70</v>
      </c>
      <c r="D20" s="1">
        <v>22580</v>
      </c>
      <c r="E20" s="126">
        <v>117</v>
      </c>
      <c r="F20" s="137"/>
      <c r="G20" s="11"/>
    </row>
    <row r="21" spans="1:7" x14ac:dyDescent="0.35">
      <c r="A21" s="9"/>
      <c r="B21" t="s">
        <v>134</v>
      </c>
      <c r="C21" s="6" t="s">
        <v>71</v>
      </c>
      <c r="D21" s="1">
        <v>2617</v>
      </c>
      <c r="E21" s="126">
        <v>25</v>
      </c>
      <c r="F21" s="137"/>
      <c r="G21" s="11"/>
    </row>
    <row r="22" spans="1:7" x14ac:dyDescent="0.35">
      <c r="A22" s="9"/>
      <c r="B22" s="101" t="s">
        <v>13</v>
      </c>
      <c r="C22" s="102"/>
      <c r="D22" s="114">
        <f>SUM(D20:D21)</f>
        <v>25197</v>
      </c>
      <c r="E22" s="128">
        <f>SUM(E20:E21)</f>
        <v>142</v>
      </c>
      <c r="F22" s="138"/>
      <c r="G22" s="120"/>
    </row>
    <row r="23" spans="1:7" x14ac:dyDescent="0.35">
      <c r="A23" s="9"/>
      <c r="B23" t="s">
        <v>135</v>
      </c>
      <c r="C23" s="6" t="s">
        <v>72</v>
      </c>
      <c r="D23" s="1"/>
      <c r="E23" s="126"/>
      <c r="F23" s="137"/>
      <c r="G23" s="11"/>
    </row>
    <row r="24" spans="1:7" x14ac:dyDescent="0.35">
      <c r="A24" s="9"/>
      <c r="B24" s="99" t="s">
        <v>136</v>
      </c>
      <c r="C24" s="98"/>
      <c r="D24" s="116">
        <f>SUM(D6+D12+D22+D19)</f>
        <v>55760.160000000003</v>
      </c>
      <c r="E24" s="130">
        <f>SUM(E6+E12+E22+E19)</f>
        <v>577</v>
      </c>
      <c r="F24" s="140">
        <v>41869</v>
      </c>
      <c r="G24" s="122">
        <f>D24/F24</f>
        <v>1.3317767321884928</v>
      </c>
    </row>
    <row r="25" spans="1:7" x14ac:dyDescent="0.35">
      <c r="A25" s="9"/>
      <c r="B25" t="s">
        <v>137</v>
      </c>
      <c r="C25" s="6"/>
      <c r="D25" s="1">
        <f>SUM(D6+D11+D22+D19)</f>
        <v>65936.160000000003</v>
      </c>
      <c r="E25" s="126">
        <f>SUM(E6+E11+E22+E19)</f>
        <v>695</v>
      </c>
      <c r="F25" s="137"/>
      <c r="G25" s="11"/>
    </row>
    <row r="26" spans="1:7" x14ac:dyDescent="0.35">
      <c r="A26" s="9"/>
      <c r="C26" s="6"/>
      <c r="D26" s="1"/>
      <c r="E26" s="126"/>
      <c r="F26" s="137"/>
      <c r="G26" s="11"/>
    </row>
    <row r="27" spans="1:7" x14ac:dyDescent="0.35">
      <c r="A27" s="9"/>
      <c r="B27" s="107" t="s">
        <v>34</v>
      </c>
      <c r="C27" s="127" t="s">
        <v>49</v>
      </c>
      <c r="D27" s="133" t="s">
        <v>117</v>
      </c>
      <c r="E27" s="127" t="s">
        <v>51</v>
      </c>
      <c r="F27" s="133" t="s">
        <v>54</v>
      </c>
      <c r="G27" s="119" t="s">
        <v>55</v>
      </c>
    </row>
    <row r="28" spans="1:7" x14ac:dyDescent="0.35">
      <c r="A28" s="9"/>
      <c r="B28" t="s">
        <v>94</v>
      </c>
      <c r="C28" s="6" t="s">
        <v>102</v>
      </c>
      <c r="D28" s="1">
        <v>2020</v>
      </c>
      <c r="E28" s="126">
        <v>13</v>
      </c>
      <c r="F28" s="137"/>
      <c r="G28" s="11"/>
    </row>
    <row r="29" spans="1:7" x14ac:dyDescent="0.35">
      <c r="A29" s="9"/>
      <c r="B29" t="s">
        <v>95</v>
      </c>
      <c r="C29" s="6" t="s">
        <v>103</v>
      </c>
      <c r="D29" s="1">
        <v>1109</v>
      </c>
      <c r="E29" s="126">
        <v>23</v>
      </c>
      <c r="F29" s="137"/>
      <c r="G29" s="11"/>
    </row>
    <row r="30" spans="1:7" x14ac:dyDescent="0.35">
      <c r="A30" s="9"/>
      <c r="B30" s="103" t="s">
        <v>13</v>
      </c>
      <c r="C30" s="104"/>
      <c r="D30" s="115">
        <f>SUM(D28:D29)</f>
        <v>3129</v>
      </c>
      <c r="E30" s="129">
        <f>SUM(E28:E29)</f>
        <v>36</v>
      </c>
      <c r="F30" s="139"/>
      <c r="G30" s="121"/>
    </row>
    <row r="31" spans="1:7" x14ac:dyDescent="0.35">
      <c r="A31" s="9"/>
      <c r="B31" t="s">
        <v>96</v>
      </c>
      <c r="C31" s="6" t="s">
        <v>104</v>
      </c>
      <c r="D31" s="1">
        <v>2990</v>
      </c>
      <c r="E31" s="126">
        <v>73</v>
      </c>
      <c r="F31" s="137"/>
      <c r="G31" s="11"/>
    </row>
    <row r="32" spans="1:7" x14ac:dyDescent="0.35">
      <c r="A32" s="9"/>
      <c r="B32" t="s">
        <v>97</v>
      </c>
      <c r="C32" s="6" t="s">
        <v>105</v>
      </c>
      <c r="D32" s="1">
        <v>3051</v>
      </c>
      <c r="E32" s="126">
        <v>72</v>
      </c>
      <c r="F32" s="137"/>
      <c r="G32" s="11"/>
    </row>
    <row r="33" spans="1:7" x14ac:dyDescent="0.35">
      <c r="A33" s="9"/>
      <c r="B33" s="103" t="s">
        <v>13</v>
      </c>
      <c r="C33" s="104"/>
      <c r="D33" s="115">
        <f>SUM(D31:D32)</f>
        <v>6041</v>
      </c>
      <c r="E33" s="129">
        <f>SUM(E31:E32)</f>
        <v>145</v>
      </c>
      <c r="F33" s="139"/>
      <c r="G33" s="121"/>
    </row>
    <row r="34" spans="1:7" x14ac:dyDescent="0.35">
      <c r="A34" s="9"/>
      <c r="B34" t="s">
        <v>98</v>
      </c>
      <c r="C34" s="6" t="s">
        <v>106</v>
      </c>
      <c r="D34" s="1">
        <v>14606</v>
      </c>
      <c r="E34" s="126">
        <v>292</v>
      </c>
      <c r="F34" s="137"/>
      <c r="G34" s="11"/>
    </row>
    <row r="35" spans="1:7" x14ac:dyDescent="0.35">
      <c r="A35" s="9"/>
      <c r="B35" t="s">
        <v>99</v>
      </c>
      <c r="C35" s="6" t="s">
        <v>107</v>
      </c>
      <c r="D35" s="1">
        <v>5216</v>
      </c>
      <c r="E35" s="126">
        <v>117</v>
      </c>
      <c r="F35" s="137"/>
      <c r="G35" s="11"/>
    </row>
    <row r="36" spans="1:7" x14ac:dyDescent="0.35">
      <c r="A36" s="9"/>
      <c r="B36" s="103" t="s">
        <v>13</v>
      </c>
      <c r="C36" s="104"/>
      <c r="D36" s="115">
        <f>SUM(D34:D35)</f>
        <v>19822</v>
      </c>
      <c r="E36" s="129">
        <f>SUM(E34:E35)</f>
        <v>409</v>
      </c>
      <c r="F36" s="139"/>
      <c r="G36" s="121"/>
    </row>
    <row r="37" spans="1:7" x14ac:dyDescent="0.35">
      <c r="A37" s="9"/>
      <c r="B37" s="105" t="s">
        <v>101</v>
      </c>
      <c r="C37" s="6" t="s">
        <v>118</v>
      </c>
      <c r="D37" s="82">
        <v>455</v>
      </c>
      <c r="E37" s="126">
        <v>5</v>
      </c>
      <c r="F37" s="141"/>
      <c r="G37" s="123"/>
    </row>
    <row r="38" spans="1:7" x14ac:dyDescent="0.35">
      <c r="A38" s="9"/>
      <c r="B38" s="105" t="s">
        <v>100</v>
      </c>
      <c r="C38" s="6" t="s">
        <v>119</v>
      </c>
      <c r="D38" s="82">
        <v>80</v>
      </c>
      <c r="E38" s="126">
        <v>2</v>
      </c>
      <c r="F38" s="141"/>
      <c r="G38" s="123"/>
    </row>
    <row r="39" spans="1:7" x14ac:dyDescent="0.35">
      <c r="A39" s="9"/>
      <c r="B39" s="103"/>
      <c r="C39" s="104"/>
      <c r="D39" s="115">
        <f>SUM(D37:D38)</f>
        <v>535</v>
      </c>
      <c r="E39" s="129">
        <f>SUM(E37:E38)</f>
        <v>7</v>
      </c>
      <c r="F39" s="139"/>
      <c r="G39" s="121"/>
    </row>
    <row r="40" spans="1:7" x14ac:dyDescent="0.35">
      <c r="A40" s="9"/>
      <c r="B40" s="99" t="s">
        <v>13</v>
      </c>
      <c r="C40" s="98"/>
      <c r="D40" s="116">
        <f>D30+D33+D36+D39</f>
        <v>29527</v>
      </c>
      <c r="E40" s="130">
        <f>E30+E33+E36+E39</f>
        <v>597</v>
      </c>
      <c r="F40" s="140">
        <v>7270</v>
      </c>
      <c r="G40" s="122">
        <f>D40/F40</f>
        <v>4.0614855570839064</v>
      </c>
    </row>
    <row r="41" spans="1:7" x14ac:dyDescent="0.35">
      <c r="A41" s="9"/>
      <c r="C41" s="6"/>
      <c r="D41" s="1"/>
      <c r="E41" s="126"/>
      <c r="F41" s="137"/>
      <c r="G41" s="11"/>
    </row>
    <row r="42" spans="1:7" x14ac:dyDescent="0.35">
      <c r="A42" s="9"/>
      <c r="B42" s="107" t="s">
        <v>111</v>
      </c>
      <c r="C42" s="108" t="s">
        <v>108</v>
      </c>
      <c r="D42" s="113"/>
      <c r="E42" s="127" t="s">
        <v>120</v>
      </c>
      <c r="F42" s="136"/>
      <c r="G42" s="119"/>
    </row>
    <row r="43" spans="1:7" x14ac:dyDescent="0.35">
      <c r="A43" s="9"/>
      <c r="C43" s="6"/>
      <c r="D43" s="1"/>
      <c r="E43" s="126"/>
      <c r="F43" s="137"/>
      <c r="G43" s="11"/>
    </row>
    <row r="44" spans="1:7" x14ac:dyDescent="0.35">
      <c r="A44" s="9"/>
      <c r="B44" s="107" t="s">
        <v>35</v>
      </c>
      <c r="C44" s="127" t="s">
        <v>49</v>
      </c>
      <c r="D44" s="133" t="s">
        <v>117</v>
      </c>
      <c r="E44" s="127" t="s">
        <v>51</v>
      </c>
      <c r="F44" s="133" t="s">
        <v>54</v>
      </c>
      <c r="G44" s="119" t="s">
        <v>55</v>
      </c>
    </row>
    <row r="45" spans="1:7" x14ac:dyDescent="0.35">
      <c r="A45" s="9"/>
      <c r="B45" t="s">
        <v>110</v>
      </c>
      <c r="C45" s="6" t="s">
        <v>112</v>
      </c>
      <c r="D45" s="1">
        <v>0</v>
      </c>
      <c r="E45" s="126">
        <v>0</v>
      </c>
      <c r="F45" s="137"/>
      <c r="G45" s="11"/>
    </row>
    <row r="46" spans="1:7" x14ac:dyDescent="0.35">
      <c r="A46" s="9"/>
      <c r="B46" t="s">
        <v>109</v>
      </c>
      <c r="C46" s="6" t="s">
        <v>113</v>
      </c>
      <c r="D46" s="1">
        <v>45</v>
      </c>
      <c r="E46" s="126">
        <v>1</v>
      </c>
      <c r="F46" s="137"/>
      <c r="G46" s="11"/>
    </row>
    <row r="47" spans="1:7" x14ac:dyDescent="0.35">
      <c r="A47" s="9"/>
      <c r="B47" s="103" t="s">
        <v>13</v>
      </c>
      <c r="C47" s="104"/>
      <c r="D47" s="115">
        <f>SUM(D45:D46)</f>
        <v>45</v>
      </c>
      <c r="E47" s="129">
        <f>SUM(E45:E46)</f>
        <v>1</v>
      </c>
      <c r="F47" s="139"/>
      <c r="G47" s="121"/>
    </row>
    <row r="48" spans="1:7" x14ac:dyDescent="0.35">
      <c r="A48" s="9"/>
      <c r="B48" t="s">
        <v>73</v>
      </c>
      <c r="C48" s="6" t="s">
        <v>45</v>
      </c>
      <c r="D48" s="1">
        <v>7347.34</v>
      </c>
      <c r="E48" s="126">
        <v>101</v>
      </c>
      <c r="F48" s="137"/>
      <c r="G48" s="11"/>
    </row>
    <row r="49" spans="1:7" x14ac:dyDescent="0.35">
      <c r="A49" s="9"/>
      <c r="B49" t="s">
        <v>73</v>
      </c>
      <c r="C49" s="6" t="s">
        <v>46</v>
      </c>
      <c r="D49" s="1">
        <v>680</v>
      </c>
      <c r="E49" s="126">
        <v>13</v>
      </c>
      <c r="F49" s="137"/>
      <c r="G49" s="11"/>
    </row>
    <row r="50" spans="1:7" x14ac:dyDescent="0.35">
      <c r="A50" s="9"/>
      <c r="B50" t="s">
        <v>73</v>
      </c>
      <c r="C50" s="6" t="s">
        <v>47</v>
      </c>
      <c r="D50" s="1">
        <v>700</v>
      </c>
      <c r="E50" s="126">
        <v>9</v>
      </c>
      <c r="F50" s="137"/>
      <c r="G50" s="11"/>
    </row>
    <row r="51" spans="1:7" x14ac:dyDescent="0.35">
      <c r="A51" s="9"/>
      <c r="B51" s="103" t="s">
        <v>13</v>
      </c>
      <c r="C51" s="104"/>
      <c r="D51" s="115">
        <f>SUM(D48:D50)</f>
        <v>8727.34</v>
      </c>
      <c r="E51" s="129">
        <f>SUM(E48:E50)</f>
        <v>123</v>
      </c>
      <c r="F51" s="139"/>
      <c r="G51" s="121"/>
    </row>
    <row r="52" spans="1:7" x14ac:dyDescent="0.35">
      <c r="A52" s="9"/>
      <c r="B52" s="97" t="s">
        <v>13</v>
      </c>
      <c r="C52" s="98"/>
      <c r="D52" s="116">
        <f>D47+D51</f>
        <v>8772.34</v>
      </c>
      <c r="E52" s="130">
        <f>E47+E51</f>
        <v>124</v>
      </c>
      <c r="F52" s="140">
        <v>10161</v>
      </c>
      <c r="G52" s="122">
        <f>D52/F52</f>
        <v>0.86333431748843614</v>
      </c>
    </row>
    <row r="53" spans="1:7" x14ac:dyDescent="0.35">
      <c r="A53" s="9"/>
      <c r="C53" s="6"/>
      <c r="D53" s="1"/>
      <c r="E53" s="126"/>
      <c r="F53" s="137"/>
      <c r="G53" s="11"/>
    </row>
    <row r="54" spans="1:7" s="118" customFormat="1" x14ac:dyDescent="0.35">
      <c r="A54" s="143"/>
      <c r="B54" s="144" t="s">
        <v>36</v>
      </c>
      <c r="C54" s="127" t="s">
        <v>49</v>
      </c>
      <c r="D54" s="133" t="s">
        <v>50</v>
      </c>
      <c r="E54" s="127" t="s">
        <v>51</v>
      </c>
      <c r="F54" s="133" t="s">
        <v>54</v>
      </c>
      <c r="G54" s="119" t="s">
        <v>55</v>
      </c>
    </row>
    <row r="55" spans="1:7" x14ac:dyDescent="0.35">
      <c r="A55" s="106">
        <v>1</v>
      </c>
      <c r="B55" t="s">
        <v>39</v>
      </c>
      <c r="C55" s="6" t="s">
        <v>82</v>
      </c>
      <c r="D55" s="1">
        <v>76069.05</v>
      </c>
      <c r="E55" s="126">
        <v>813</v>
      </c>
      <c r="F55" s="137"/>
      <c r="G55" s="11"/>
    </row>
    <row r="56" spans="1:7" x14ac:dyDescent="0.35">
      <c r="A56" s="106">
        <v>2</v>
      </c>
      <c r="B56" t="s">
        <v>74</v>
      </c>
      <c r="C56" s="6" t="s">
        <v>83</v>
      </c>
      <c r="D56" s="1">
        <v>4022</v>
      </c>
      <c r="E56" s="126">
        <v>41</v>
      </c>
      <c r="F56" s="137"/>
      <c r="G56" s="11"/>
    </row>
    <row r="57" spans="1:7" x14ac:dyDescent="0.35">
      <c r="A57" s="106">
        <v>3</v>
      </c>
      <c r="B57" t="s">
        <v>37</v>
      </c>
      <c r="C57" s="6" t="s">
        <v>80</v>
      </c>
      <c r="D57" s="1">
        <v>6231</v>
      </c>
      <c r="E57" s="126">
        <v>57</v>
      </c>
      <c r="F57" s="137"/>
      <c r="G57" s="11"/>
    </row>
    <row r="58" spans="1:7" x14ac:dyDescent="0.35">
      <c r="A58" s="106">
        <v>4</v>
      </c>
      <c r="B58" t="s">
        <v>40</v>
      </c>
      <c r="C58" s="6" t="s">
        <v>84</v>
      </c>
      <c r="D58" s="1">
        <v>1386.5</v>
      </c>
      <c r="E58" s="126">
        <v>25</v>
      </c>
      <c r="F58" s="137"/>
      <c r="G58" s="11"/>
    </row>
    <row r="59" spans="1:7" x14ac:dyDescent="0.35">
      <c r="A59" s="106">
        <v>5</v>
      </c>
      <c r="B59" t="s">
        <v>75</v>
      </c>
      <c r="C59" s="6" t="s">
        <v>85</v>
      </c>
      <c r="D59" s="1">
        <v>1279</v>
      </c>
      <c r="E59" s="126">
        <v>25</v>
      </c>
      <c r="F59" s="137"/>
      <c r="G59" s="11"/>
    </row>
    <row r="60" spans="1:7" x14ac:dyDescent="0.35">
      <c r="A60" s="106">
        <v>6</v>
      </c>
      <c r="B60" t="s">
        <v>43</v>
      </c>
      <c r="C60" s="6" t="s">
        <v>90</v>
      </c>
      <c r="D60" s="1">
        <v>52135.43</v>
      </c>
      <c r="E60" s="126">
        <v>448</v>
      </c>
      <c r="F60" s="137"/>
      <c r="G60" s="11"/>
    </row>
    <row r="61" spans="1:7" x14ac:dyDescent="0.35">
      <c r="A61" s="106">
        <v>7</v>
      </c>
      <c r="B61" t="s">
        <v>78</v>
      </c>
      <c r="C61" s="6" t="s">
        <v>91</v>
      </c>
      <c r="D61" s="1">
        <v>3305</v>
      </c>
      <c r="E61" s="126">
        <v>13</v>
      </c>
      <c r="F61" s="137"/>
      <c r="G61" s="11"/>
    </row>
    <row r="62" spans="1:7" x14ac:dyDescent="0.35">
      <c r="A62" s="106">
        <v>8</v>
      </c>
      <c r="B62" t="s">
        <v>38</v>
      </c>
      <c r="C62" s="6" t="s">
        <v>81</v>
      </c>
      <c r="D62" s="1">
        <v>800</v>
      </c>
      <c r="E62" s="126">
        <v>3</v>
      </c>
      <c r="F62" s="137"/>
      <c r="G62" s="11"/>
    </row>
    <row r="63" spans="1:7" x14ac:dyDescent="0.35">
      <c r="A63" s="106">
        <v>9</v>
      </c>
      <c r="B63" t="s">
        <v>79</v>
      </c>
      <c r="C63" s="6" t="s">
        <v>93</v>
      </c>
      <c r="D63" s="1">
        <v>1359</v>
      </c>
      <c r="E63" s="126">
        <v>15</v>
      </c>
      <c r="F63" s="137"/>
      <c r="G63" s="11"/>
    </row>
    <row r="64" spans="1:7" x14ac:dyDescent="0.35">
      <c r="A64" s="106">
        <v>10</v>
      </c>
      <c r="B64" t="s">
        <v>44</v>
      </c>
      <c r="C64" s="6" t="s">
        <v>92</v>
      </c>
      <c r="D64" s="1">
        <v>175</v>
      </c>
      <c r="E64" s="126">
        <v>3</v>
      </c>
      <c r="F64" s="137"/>
      <c r="G64" s="11"/>
    </row>
    <row r="65" spans="1:11" x14ac:dyDescent="0.35">
      <c r="A65" s="106"/>
      <c r="B65" t="s">
        <v>41</v>
      </c>
      <c r="C65" s="6" t="s">
        <v>86</v>
      </c>
      <c r="D65" s="1">
        <v>0</v>
      </c>
      <c r="E65" s="126">
        <v>0</v>
      </c>
      <c r="F65" s="137"/>
      <c r="G65" s="11"/>
    </row>
    <row r="66" spans="1:11" x14ac:dyDescent="0.35">
      <c r="A66" s="106"/>
      <c r="B66" t="s">
        <v>76</v>
      </c>
      <c r="C66" s="6" t="s">
        <v>87</v>
      </c>
      <c r="D66" s="1">
        <v>0</v>
      </c>
      <c r="E66" s="126">
        <v>0</v>
      </c>
      <c r="F66" s="137"/>
      <c r="G66" s="11"/>
    </row>
    <row r="67" spans="1:11" x14ac:dyDescent="0.35">
      <c r="A67" s="106"/>
      <c r="B67" t="s">
        <v>42</v>
      </c>
      <c r="C67" s="6" t="s">
        <v>88</v>
      </c>
      <c r="D67" s="1">
        <v>0</v>
      </c>
      <c r="E67" s="126">
        <v>0</v>
      </c>
      <c r="F67" s="137"/>
      <c r="G67" s="11"/>
    </row>
    <row r="68" spans="1:11" x14ac:dyDescent="0.35">
      <c r="A68" s="106"/>
      <c r="B68" t="s">
        <v>77</v>
      </c>
      <c r="C68" s="6" t="s">
        <v>89</v>
      </c>
      <c r="D68" s="1">
        <v>0</v>
      </c>
      <c r="E68" s="126">
        <v>0</v>
      </c>
      <c r="F68" s="137"/>
      <c r="G68" s="11"/>
    </row>
    <row r="69" spans="1:11" x14ac:dyDescent="0.35">
      <c r="A69" s="9"/>
      <c r="B69" s="97" t="s">
        <v>13</v>
      </c>
      <c r="C69" s="98"/>
      <c r="D69" s="116">
        <f>SUM(D55:D68)</f>
        <v>146761.98000000001</v>
      </c>
      <c r="E69" s="130">
        <f>SUM(E55:E68)</f>
        <v>1443</v>
      </c>
      <c r="F69" s="140">
        <v>135572</v>
      </c>
      <c r="G69" s="122">
        <f>D69/F69</f>
        <v>1.0825390198566076</v>
      </c>
    </row>
    <row r="70" spans="1:11" x14ac:dyDescent="0.35">
      <c r="A70" s="9"/>
      <c r="C70" s="6"/>
      <c r="D70" s="1"/>
      <c r="E70" s="126"/>
      <c r="F70" s="137"/>
      <c r="G70" s="11"/>
    </row>
    <row r="71" spans="1:11" x14ac:dyDescent="0.35">
      <c r="A71" s="9"/>
      <c r="B71" s="107" t="s">
        <v>48</v>
      </c>
      <c r="C71" s="127" t="s">
        <v>49</v>
      </c>
      <c r="D71" s="133" t="s">
        <v>50</v>
      </c>
      <c r="E71" s="127" t="s">
        <v>51</v>
      </c>
      <c r="F71" s="133" t="s">
        <v>54</v>
      </c>
      <c r="G71" s="119" t="s">
        <v>55</v>
      </c>
    </row>
    <row r="72" spans="1:11" x14ac:dyDescent="0.35">
      <c r="A72" s="9"/>
      <c r="B72" s="99" t="s">
        <v>114</v>
      </c>
      <c r="C72" s="98" t="s">
        <v>115</v>
      </c>
      <c r="D72" s="116">
        <v>30445</v>
      </c>
      <c r="E72" s="130">
        <v>258</v>
      </c>
      <c r="F72" s="140">
        <v>26500</v>
      </c>
      <c r="G72" s="122">
        <f>D72/F72</f>
        <v>1.1488679245283018</v>
      </c>
    </row>
    <row r="73" spans="1:11" x14ac:dyDescent="0.35">
      <c r="A73" s="9"/>
      <c r="C73" s="6"/>
      <c r="D73" s="1"/>
      <c r="E73" s="126"/>
      <c r="F73" s="137"/>
      <c r="G73" s="11"/>
    </row>
    <row r="74" spans="1:11" ht="18.5" x14ac:dyDescent="0.45">
      <c r="A74" s="9"/>
      <c r="B74" s="100" t="s">
        <v>116</v>
      </c>
      <c r="C74" s="131"/>
      <c r="D74" s="134" t="s">
        <v>52</v>
      </c>
      <c r="E74" s="131" t="s">
        <v>53</v>
      </c>
      <c r="F74" s="134" t="s">
        <v>54</v>
      </c>
      <c r="G74" s="124" t="s">
        <v>55</v>
      </c>
    </row>
    <row r="75" spans="1:11" ht="18.5" x14ac:dyDescent="0.45">
      <c r="A75" s="9"/>
      <c r="B75" s="111" t="s">
        <v>138</v>
      </c>
      <c r="C75" s="112"/>
      <c r="D75" s="117">
        <f>SUM(D24+D40+D52+D69+D72)</f>
        <v>271266.48</v>
      </c>
      <c r="E75" s="132">
        <f>SUM(E24+E40+E52+E69+E72)</f>
        <v>2999</v>
      </c>
      <c r="F75" s="142">
        <f>SUM(F24+F40+F52+F69+F72)</f>
        <v>221372</v>
      </c>
      <c r="G75" s="125">
        <f>D75/F75</f>
        <v>1.2253874925464827</v>
      </c>
    </row>
    <row r="76" spans="1:11" x14ac:dyDescent="0.35">
      <c r="A76" s="9"/>
      <c r="B76" t="s">
        <v>56</v>
      </c>
      <c r="C76" s="6"/>
      <c r="D76" s="1">
        <f>SUM(D25+D40+D52+D69+D72)</f>
        <v>281442.48</v>
      </c>
      <c r="E76" s="126">
        <f>SUM(E25+E40+E52+E69+E72)</f>
        <v>3117</v>
      </c>
      <c r="F76" s="137"/>
      <c r="G76" s="11"/>
      <c r="K76" s="110"/>
    </row>
  </sheetData>
  <sortState xmlns:xlrd2="http://schemas.microsoft.com/office/spreadsheetml/2017/richdata2" ref="A55:K68">
    <sortCondition ref="A55:A68"/>
  </sortState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DF86-5C34-43E6-A5B0-140A029C1667}">
  <dimension ref="B1:N13"/>
  <sheetViews>
    <sheetView workbookViewId="0">
      <selection activeCell="I16" sqref="I16"/>
    </sheetView>
  </sheetViews>
  <sheetFormatPr defaultRowHeight="14.5" x14ac:dyDescent="0.35"/>
  <cols>
    <col min="2" max="2" width="25.453125" customWidth="1"/>
    <col min="3" max="3" width="16" style="1" bestFit="1" customWidth="1"/>
    <col min="4" max="4" width="14.26953125" style="1" bestFit="1" customWidth="1"/>
    <col min="5" max="5" width="8.7265625" style="10"/>
    <col min="6" max="6" width="13.453125" bestFit="1" customWidth="1"/>
    <col min="9" max="9" width="21.81640625" bestFit="1" customWidth="1"/>
    <col min="10" max="10" width="18.1796875" bestFit="1" customWidth="1"/>
    <col min="11" max="11" width="15.26953125" bestFit="1" customWidth="1"/>
    <col min="13" max="13" width="13.453125" bestFit="1" customWidth="1"/>
  </cols>
  <sheetData>
    <row r="1" spans="2:14" ht="15.5" x14ac:dyDescent="0.35">
      <c r="B1" s="145" t="s">
        <v>144</v>
      </c>
      <c r="C1" s="146" t="s">
        <v>143</v>
      </c>
      <c r="D1" s="146" t="s">
        <v>142</v>
      </c>
      <c r="E1" s="147" t="s">
        <v>139</v>
      </c>
      <c r="F1" s="158" t="s">
        <v>148</v>
      </c>
      <c r="G1" s="158" t="s">
        <v>149</v>
      </c>
      <c r="I1" s="145" t="s">
        <v>144</v>
      </c>
      <c r="J1" s="146" t="s">
        <v>143</v>
      </c>
      <c r="K1" s="146" t="s">
        <v>142</v>
      </c>
      <c r="L1" s="147" t="s">
        <v>139</v>
      </c>
      <c r="M1" s="158" t="s">
        <v>148</v>
      </c>
      <c r="N1" s="158" t="s">
        <v>149</v>
      </c>
    </row>
    <row r="2" spans="2:14" ht="15.5" x14ac:dyDescent="0.35">
      <c r="B2" s="148" t="s">
        <v>146</v>
      </c>
      <c r="C2" s="149">
        <v>157103</v>
      </c>
      <c r="D2" s="149">
        <v>132782</v>
      </c>
      <c r="E2" s="150">
        <f>C2/D2</f>
        <v>1.1831648868069466</v>
      </c>
      <c r="F2" s="159">
        <v>137521.59</v>
      </c>
      <c r="G2" s="150">
        <f>(C2-F2)/F2</f>
        <v>0.14238789705674582</v>
      </c>
      <c r="I2" s="148" t="s">
        <v>147</v>
      </c>
      <c r="J2" s="149">
        <v>188351.39</v>
      </c>
      <c r="K2" s="149">
        <v>132782</v>
      </c>
      <c r="L2" s="150">
        <f>J2/K2</f>
        <v>1.4185009263303763</v>
      </c>
      <c r="M2" s="159">
        <v>168959.59</v>
      </c>
      <c r="N2" s="150">
        <f>(J2-M2)/M2</f>
        <v>0.11477182206703992</v>
      </c>
    </row>
    <row r="3" spans="2:14" ht="15.5" x14ac:dyDescent="0.35">
      <c r="B3" s="148" t="s">
        <v>34</v>
      </c>
      <c r="C3" s="149">
        <v>19130</v>
      </c>
      <c r="D3" s="149">
        <v>8912</v>
      </c>
      <c r="E3" s="150">
        <f t="shared" ref="E3:E6" si="0">C3/D3</f>
        <v>2.1465439856373427</v>
      </c>
      <c r="F3" s="159">
        <v>17160</v>
      </c>
      <c r="G3" s="150">
        <f t="shared" ref="G3:G6" si="1">(C3-F3)/F3</f>
        <v>0.1148018648018648</v>
      </c>
      <c r="I3" s="148" t="s">
        <v>34</v>
      </c>
      <c r="J3" s="149">
        <v>19130</v>
      </c>
      <c r="K3" s="149">
        <v>8912</v>
      </c>
      <c r="L3" s="150">
        <f t="shared" ref="L3:L6" si="2">J3/K3</f>
        <v>2.1465439856373427</v>
      </c>
      <c r="M3" s="159">
        <v>17160</v>
      </c>
      <c r="N3" s="150">
        <f t="shared" ref="N3:N6" si="3">(J3-M3)/M3</f>
        <v>0.1148018648018648</v>
      </c>
    </row>
    <row r="4" spans="2:14" ht="15.5" x14ac:dyDescent="0.35">
      <c r="B4" s="148" t="s">
        <v>35</v>
      </c>
      <c r="C4" s="149">
        <f>C13</f>
        <v>8556.82</v>
      </c>
      <c r="D4" s="149">
        <v>8508</v>
      </c>
      <c r="E4" s="150">
        <f t="shared" si="0"/>
        <v>1.0057381288199341</v>
      </c>
      <c r="F4" s="159">
        <v>14131</v>
      </c>
      <c r="G4" s="150">
        <f t="shared" si="1"/>
        <v>-0.39446465218314347</v>
      </c>
      <c r="I4" s="148" t="s">
        <v>35</v>
      </c>
      <c r="J4" s="149">
        <f>C13</f>
        <v>8556.82</v>
      </c>
      <c r="K4" s="149">
        <v>8508</v>
      </c>
      <c r="L4" s="150">
        <f t="shared" si="2"/>
        <v>1.0057381288199341</v>
      </c>
      <c r="M4" s="159">
        <v>14131</v>
      </c>
      <c r="N4" s="150">
        <f t="shared" si="3"/>
        <v>-0.39446465218314347</v>
      </c>
    </row>
    <row r="5" spans="2:14" ht="15.5" x14ac:dyDescent="0.35">
      <c r="B5" s="148" t="s">
        <v>36</v>
      </c>
      <c r="C5" s="149">
        <v>297426.78000000003</v>
      </c>
      <c r="D5" s="149">
        <v>85799</v>
      </c>
      <c r="E5" s="150">
        <f t="shared" si="0"/>
        <v>3.4665529901280903</v>
      </c>
      <c r="F5" s="159">
        <v>108202.54</v>
      </c>
      <c r="G5" s="150">
        <f t="shared" si="1"/>
        <v>1.7487966548659584</v>
      </c>
      <c r="I5" s="148" t="s">
        <v>36</v>
      </c>
      <c r="J5" s="149">
        <v>297426.78000000003</v>
      </c>
      <c r="K5" s="149">
        <v>85799</v>
      </c>
      <c r="L5" s="150">
        <f t="shared" si="2"/>
        <v>3.4665529901280903</v>
      </c>
      <c r="M5" s="159">
        <v>108202.54</v>
      </c>
      <c r="N5" s="150">
        <f t="shared" si="3"/>
        <v>1.7487966548659584</v>
      </c>
    </row>
    <row r="6" spans="2:14" ht="16" thickBot="1" x14ac:dyDescent="0.4">
      <c r="B6" s="151" t="s">
        <v>48</v>
      </c>
      <c r="C6" s="157">
        <v>47180.15</v>
      </c>
      <c r="D6" s="152">
        <v>37402</v>
      </c>
      <c r="E6" s="153">
        <f t="shared" si="0"/>
        <v>1.2614338805411476</v>
      </c>
      <c r="F6" s="160">
        <v>46804</v>
      </c>
      <c r="G6" s="153">
        <f t="shared" si="1"/>
        <v>8.0367062644218761E-3</v>
      </c>
      <c r="I6" s="151" t="s">
        <v>48</v>
      </c>
      <c r="J6" s="157">
        <v>47180.15</v>
      </c>
      <c r="K6" s="152">
        <v>37402</v>
      </c>
      <c r="L6" s="153">
        <f t="shared" si="2"/>
        <v>1.2614338805411476</v>
      </c>
      <c r="M6" s="160">
        <v>46804</v>
      </c>
      <c r="N6" s="153">
        <f t="shared" si="3"/>
        <v>8.0367062644218761E-3</v>
      </c>
    </row>
    <row r="7" spans="2:14" ht="16" thickTop="1" x14ac:dyDescent="0.35">
      <c r="B7" s="154" t="s">
        <v>13</v>
      </c>
      <c r="C7" s="155">
        <f>SUM(C2:C6)</f>
        <v>529396.75</v>
      </c>
      <c r="D7" s="155">
        <f>SUM(D2:D6)</f>
        <v>273403</v>
      </c>
      <c r="E7" s="156">
        <f>C7/D7</f>
        <v>1.9363238516036767</v>
      </c>
      <c r="F7" s="161">
        <f>SUM(F2:F6)</f>
        <v>323819.13</v>
      </c>
      <c r="G7" s="156">
        <f>(C7-F7)/F7</f>
        <v>0.63485322809680822</v>
      </c>
      <c r="I7" s="154" t="s">
        <v>13</v>
      </c>
      <c r="J7" s="155">
        <f>SUM(J2:J6)</f>
        <v>560645.14</v>
      </c>
      <c r="K7" s="155">
        <f>SUM(K2:K6)</f>
        <v>273403</v>
      </c>
      <c r="L7" s="156">
        <f>J7/K7</f>
        <v>2.0506180985578069</v>
      </c>
      <c r="M7" s="161">
        <f>SUM(M2:M6)</f>
        <v>355257.13</v>
      </c>
      <c r="N7" s="156">
        <f>(J7-M7)/M7</f>
        <v>0.57813902285367225</v>
      </c>
    </row>
    <row r="11" spans="2:14" x14ac:dyDescent="0.35">
      <c r="B11" t="s">
        <v>140</v>
      </c>
      <c r="C11" s="1">
        <v>31.82</v>
      </c>
    </row>
    <row r="12" spans="2:14" x14ac:dyDescent="0.35">
      <c r="B12" t="s">
        <v>145</v>
      </c>
      <c r="C12" s="1">
        <v>8525</v>
      </c>
    </row>
    <row r="13" spans="2:14" x14ac:dyDescent="0.35">
      <c r="B13" t="s">
        <v>141</v>
      </c>
      <c r="C13" s="1">
        <f>SUM(C11:C12)</f>
        <v>8556.82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1F668FFA91FA4698F0A0FF7D50FF6C" ma:contentTypeVersion="18" ma:contentTypeDescription="Create a new document." ma:contentTypeScope="" ma:versionID="3fb8e80910e09212ec056a270e8f22bf">
  <xsd:schema xmlns:xsd="http://www.w3.org/2001/XMLSchema" xmlns:xs="http://www.w3.org/2001/XMLSchema" xmlns:p="http://schemas.microsoft.com/office/2006/metadata/properties" xmlns:ns3="6af551ff-651f-4dee-a6e9-5234d271b826" xmlns:ns4="b2a9e31d-0855-4aa1-94b6-88196e008ab9" targetNamespace="http://schemas.microsoft.com/office/2006/metadata/properties" ma:root="true" ma:fieldsID="2cfbe019aa5b3c87f6777d00dac9ac21" ns3:_="" ns4:_="">
    <xsd:import namespace="6af551ff-651f-4dee-a6e9-5234d271b826"/>
    <xsd:import namespace="b2a9e31d-0855-4aa1-94b6-88196e008ab9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551ff-651f-4dee-a6e9-5234d271b826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_activity" ma:index="11" nillable="true" ma:displayName="_activity" ma:hidden="true" ma:internalName="_activity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9e31d-0855-4aa1-94b6-88196e008ab9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6af551ff-651f-4dee-a6e9-5234d271b826" xsi:nil="true"/>
    <MigrationWizIdVersion xmlns="6af551ff-651f-4dee-a6e9-5234d271b826" xsi:nil="true"/>
    <_activity xmlns="6af551ff-651f-4dee-a6e9-5234d271b826" xsi:nil="true"/>
    <MigrationWizIdPermissions xmlns="6af551ff-651f-4dee-a6e9-5234d271b8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EA8239-864A-4E98-BB28-D74FC3090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f551ff-651f-4dee-a6e9-5234d271b826"/>
    <ds:schemaRef ds:uri="b2a9e31d-0855-4aa1-94b6-88196e008a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7D15B0-5B53-458D-B8EB-1262FAC5E5B3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purl.org/dc/dcmitype/"/>
    <ds:schemaRef ds:uri="b2a9e31d-0855-4aa1-94b6-88196e008ab9"/>
    <ds:schemaRef ds:uri="http://schemas.microsoft.com/office/2006/documentManagement/types"/>
    <ds:schemaRef ds:uri="6af551ff-651f-4dee-a6e9-5234d271b826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A5280E1-5061-4191-9A60-69E7BAE4D4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FY and Quarterly</vt:lpstr>
      <vt:lpstr>By Month</vt:lpstr>
      <vt:lpstr>Special - EOY</vt:lpstr>
      <vt:lpstr>Special - Giving Tuesday</vt:lpstr>
      <vt:lpstr>Special - Vets Day</vt:lpstr>
      <vt:lpstr>Projected Rev Values</vt:lpstr>
      <vt:lpstr>July 4</vt:lpstr>
      <vt:lpstr>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Small</dc:creator>
  <cp:lastModifiedBy>Adam Glantz</cp:lastModifiedBy>
  <dcterms:created xsi:type="dcterms:W3CDTF">2020-11-10T15:00:54Z</dcterms:created>
  <dcterms:modified xsi:type="dcterms:W3CDTF">2025-02-19T17:31:05Z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0x0101004B1F668FFA91FA4698F0A0FF7D50FF6C</vt:lpwstr>
  </property>
</Properties>
</file>