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defaultThemeVersion="124226"/>
  <mc:AlternateContent xmlns:mc="http://schemas.openxmlformats.org/markup-compatibility/2006">
    <mc:Choice Requires="x15">
      <x15ac:absPath xmlns:x15ac="http://schemas.microsoft.com/office/spreadsheetml/2010/11/ac" url="E:\PhD\AgMIP\development\python_translator\SiriusCode-FilipeSept19-Code-PythonTranslatorExcelAgMIP\Code\PythonTranslatorExcelAgMIP\test_data\input\"/>
    </mc:Choice>
  </mc:AlternateContent>
  <xr:revisionPtr revIDLastSave="0" documentId="13_ncr:1_{2F130A01-17D8-4D86-8B39-0E46804FC489}" xr6:coauthVersionLast="45" xr6:coauthVersionMax="45" xr10:uidLastSave="{00000000-0000-0000-0000-000000000000}"/>
  <bookViews>
    <workbookView xWindow="-108" yWindow="-108" windowWidth="23256" windowHeight="12576" tabRatio="865" firstSheet="7" activeTab="15" xr2:uid="{00000000-000D-0000-FFFF-FFFF00000000}"/>
  </bookViews>
  <sheets>
    <sheet name="ReadMe_format" sheetId="16" r:id="rId1"/>
    <sheet name="ReadMe_content" sheetId="15" r:id="rId2"/>
    <sheet name="Definitions" sheetId="17" r:id="rId3"/>
    <sheet name="Comments" sheetId="10" r:id="rId4"/>
    <sheet name="Metadata" sheetId="18" r:id="rId5"/>
    <sheet name="Init_conditions" sheetId="19" r:id="rId6"/>
    <sheet name="Init_conditions_Soil_layers" sheetId="33" r:id="rId7"/>
    <sheet name="Plantings" sheetId="21" r:id="rId8"/>
    <sheet name="Irrigations" sheetId="22" r:id="rId9"/>
    <sheet name="Fertilizers" sheetId="23" r:id="rId10"/>
    <sheet name="Soils_meta" sheetId="24" r:id="rId11"/>
    <sheet name="Soil_layers" sheetId="4" r:id="rId12"/>
    <sheet name="Weather_meta" sheetId="25" r:id="rId13"/>
    <sheet name="Weather_daily" sheetId="5" r:id="rId14"/>
    <sheet name="Summary_crop" sheetId="28" r:id="rId15"/>
    <sheet name="Obs_crop" sheetId="34" r:id="rId16"/>
    <sheet name="Obs_soil_water_N" sheetId="29" r:id="rId17"/>
  </sheets>
  <externalReferences>
    <externalReference r:id="rId18"/>
  </externalReferences>
  <definedNames>
    <definedName name="_xlnm._FilterDatabase" localSheetId="4" hidden="1">Metadata!$A$2:$M$5</definedName>
    <definedName name="_xlnm._FilterDatabase" localSheetId="11" hidden="1">Soil_layers!$A$2:$O$5</definedName>
    <definedName name="_xlnm._FilterDatabase" localSheetId="13" hidden="1">Weather_daily!$A$1:$J$2195</definedName>
  </definedName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4" i="5" l="1"/>
  <c r="H5" i="5"/>
  <c r="H6" i="5"/>
  <c r="H7" i="5"/>
  <c r="H8" i="5"/>
  <c r="H9" i="5"/>
  <c r="H10" i="5"/>
  <c r="H11" i="5"/>
  <c r="H12" i="5"/>
  <c r="H13" i="5"/>
  <c r="H14" i="5"/>
  <c r="H15" i="5"/>
  <c r="H16" i="5"/>
  <c r="H17" i="5"/>
  <c r="H18" i="5"/>
  <c r="H19" i="5"/>
  <c r="H20" i="5"/>
  <c r="H21" i="5"/>
  <c r="H22" i="5"/>
  <c r="H23" i="5"/>
  <c r="H24" i="5"/>
  <c r="H25" i="5"/>
  <c r="H26" i="5"/>
  <c r="H27" i="5"/>
  <c r="H28" i="5"/>
  <c r="H29" i="5"/>
  <c r="H30" i="5"/>
  <c r="H31" i="5"/>
  <c r="H32" i="5"/>
  <c r="H33" i="5"/>
  <c r="H34" i="5"/>
  <c r="H35" i="5"/>
  <c r="H36" i="5"/>
  <c r="H37" i="5"/>
  <c r="H38" i="5"/>
  <c r="H39" i="5"/>
  <c r="H40" i="5"/>
  <c r="H41" i="5"/>
  <c r="H42" i="5"/>
  <c r="H43" i="5"/>
  <c r="H44" i="5"/>
  <c r="H45" i="5"/>
  <c r="H46" i="5"/>
  <c r="H47" i="5"/>
  <c r="H48" i="5"/>
  <c r="H49" i="5"/>
  <c r="H50" i="5"/>
  <c r="H51" i="5"/>
  <c r="H52" i="5"/>
  <c r="H53" i="5"/>
  <c r="H54" i="5"/>
  <c r="H55" i="5"/>
  <c r="H56" i="5"/>
  <c r="H57" i="5"/>
  <c r="H58" i="5"/>
  <c r="H59" i="5"/>
  <c r="H60" i="5"/>
  <c r="H61" i="5"/>
  <c r="H62" i="5"/>
  <c r="H63" i="5"/>
  <c r="H64" i="5"/>
  <c r="H65" i="5"/>
  <c r="H66" i="5"/>
  <c r="H67" i="5"/>
  <c r="H68" i="5"/>
  <c r="H69" i="5"/>
  <c r="H70" i="5"/>
  <c r="H71" i="5"/>
  <c r="H72" i="5"/>
  <c r="H73" i="5"/>
  <c r="H74" i="5"/>
  <c r="H75" i="5"/>
  <c r="H76" i="5"/>
  <c r="H77" i="5"/>
  <c r="H78" i="5"/>
  <c r="H79" i="5"/>
  <c r="H80" i="5"/>
  <c r="H81" i="5"/>
  <c r="H82" i="5"/>
  <c r="H83" i="5"/>
  <c r="H84" i="5"/>
  <c r="H85" i="5"/>
  <c r="H86" i="5"/>
  <c r="H87" i="5"/>
  <c r="H88" i="5"/>
  <c r="H89" i="5"/>
  <c r="H90" i="5"/>
  <c r="H91" i="5"/>
  <c r="H92" i="5"/>
  <c r="H93" i="5"/>
  <c r="H94" i="5"/>
  <c r="H95" i="5"/>
  <c r="H96" i="5"/>
  <c r="H97" i="5"/>
  <c r="H98" i="5"/>
  <c r="H99" i="5"/>
  <c r="H100" i="5"/>
  <c r="H101" i="5"/>
  <c r="H102" i="5"/>
  <c r="H103" i="5"/>
  <c r="H104" i="5"/>
  <c r="H105" i="5"/>
  <c r="H106" i="5"/>
  <c r="H107" i="5"/>
  <c r="H108" i="5"/>
  <c r="H109" i="5"/>
  <c r="H110" i="5"/>
  <c r="H111" i="5"/>
  <c r="H112" i="5"/>
  <c r="H113" i="5"/>
  <c r="H114" i="5"/>
  <c r="H115" i="5"/>
  <c r="H116" i="5"/>
  <c r="H117" i="5"/>
  <c r="H118" i="5"/>
  <c r="H119" i="5"/>
  <c r="H120" i="5"/>
  <c r="H121" i="5"/>
  <c r="H122" i="5"/>
  <c r="H123" i="5"/>
  <c r="H124" i="5"/>
  <c r="H125" i="5"/>
  <c r="H126" i="5"/>
  <c r="H127" i="5"/>
  <c r="H128" i="5"/>
  <c r="H129" i="5"/>
  <c r="H130" i="5"/>
  <c r="H131" i="5"/>
  <c r="H132" i="5"/>
  <c r="H133" i="5"/>
  <c r="H134" i="5"/>
  <c r="H135" i="5"/>
  <c r="H136" i="5"/>
  <c r="H137" i="5"/>
  <c r="H138" i="5"/>
  <c r="H139" i="5"/>
  <c r="H140" i="5"/>
  <c r="H141" i="5"/>
  <c r="H142" i="5"/>
  <c r="H143" i="5"/>
  <c r="H144" i="5"/>
  <c r="H145" i="5"/>
  <c r="H146" i="5"/>
  <c r="H147" i="5"/>
  <c r="H148" i="5"/>
  <c r="H149" i="5"/>
  <c r="H150" i="5"/>
  <c r="H151" i="5"/>
  <c r="H152" i="5"/>
  <c r="H153" i="5"/>
  <c r="H154" i="5"/>
  <c r="H155" i="5"/>
  <c r="H156" i="5"/>
  <c r="H157" i="5"/>
  <c r="H158" i="5"/>
  <c r="H159" i="5"/>
  <c r="H160" i="5"/>
  <c r="H161" i="5"/>
  <c r="H162" i="5"/>
  <c r="H163" i="5"/>
  <c r="H164" i="5"/>
  <c r="H165" i="5"/>
  <c r="H166" i="5"/>
  <c r="H167" i="5"/>
  <c r="H168" i="5"/>
  <c r="H169" i="5"/>
  <c r="H170" i="5"/>
  <c r="H171" i="5"/>
  <c r="H172" i="5"/>
  <c r="H173" i="5"/>
  <c r="H174" i="5"/>
  <c r="H175" i="5"/>
  <c r="H176" i="5"/>
  <c r="H177" i="5"/>
  <c r="H178" i="5"/>
  <c r="H179" i="5"/>
  <c r="H180" i="5"/>
  <c r="H181" i="5"/>
  <c r="H182" i="5"/>
  <c r="H183" i="5"/>
  <c r="H184" i="5"/>
  <c r="H185" i="5"/>
  <c r="H186" i="5"/>
  <c r="H187" i="5"/>
  <c r="H188" i="5"/>
  <c r="H189" i="5"/>
  <c r="H190" i="5"/>
  <c r="H191" i="5"/>
  <c r="H192" i="5"/>
  <c r="H193" i="5"/>
  <c r="H194" i="5"/>
  <c r="H195" i="5"/>
  <c r="H196" i="5"/>
  <c r="H197" i="5"/>
  <c r="H198" i="5"/>
  <c r="H199" i="5"/>
  <c r="H200" i="5"/>
  <c r="H201" i="5"/>
  <c r="H202" i="5"/>
  <c r="H203" i="5"/>
  <c r="H204" i="5"/>
  <c r="H205" i="5"/>
  <c r="H206" i="5"/>
  <c r="H207" i="5"/>
  <c r="H208" i="5"/>
  <c r="H209" i="5"/>
  <c r="H210" i="5"/>
  <c r="H211" i="5"/>
  <c r="H212" i="5"/>
  <c r="H213" i="5"/>
  <c r="H214" i="5"/>
  <c r="H215" i="5"/>
  <c r="H216" i="5"/>
  <c r="H217" i="5"/>
  <c r="H218" i="5"/>
  <c r="H219" i="5"/>
  <c r="H220" i="5"/>
  <c r="H221" i="5"/>
  <c r="H222" i="5"/>
  <c r="H223" i="5"/>
  <c r="H224" i="5"/>
  <c r="H225" i="5"/>
  <c r="H226" i="5"/>
  <c r="H227" i="5"/>
  <c r="H228" i="5"/>
  <c r="H229" i="5"/>
  <c r="H230" i="5"/>
  <c r="H231" i="5"/>
  <c r="H232" i="5"/>
  <c r="H233" i="5"/>
  <c r="H234" i="5"/>
  <c r="H235" i="5"/>
  <c r="H236" i="5"/>
  <c r="H237" i="5"/>
  <c r="H238" i="5"/>
  <c r="H239" i="5"/>
  <c r="H240" i="5"/>
  <c r="H241" i="5"/>
  <c r="H242" i="5"/>
  <c r="H243" i="5"/>
  <c r="H244" i="5"/>
  <c r="H245" i="5"/>
  <c r="H246" i="5"/>
  <c r="H247" i="5"/>
  <c r="H248" i="5"/>
  <c r="H249" i="5"/>
  <c r="H250" i="5"/>
  <c r="H251" i="5"/>
  <c r="H252" i="5"/>
  <c r="H253" i="5"/>
  <c r="H254" i="5"/>
  <c r="H255" i="5"/>
  <c r="H256" i="5"/>
  <c r="H257" i="5"/>
  <c r="H258" i="5"/>
  <c r="H259" i="5"/>
  <c r="H260" i="5"/>
  <c r="H261" i="5"/>
  <c r="H262" i="5"/>
  <c r="H263" i="5"/>
  <c r="H264" i="5"/>
  <c r="H265" i="5"/>
  <c r="H266" i="5"/>
  <c r="H267" i="5"/>
  <c r="H268" i="5"/>
  <c r="H269" i="5"/>
  <c r="H270" i="5"/>
  <c r="H271" i="5"/>
  <c r="H272" i="5"/>
  <c r="H273" i="5"/>
  <c r="H274" i="5"/>
  <c r="H275" i="5"/>
  <c r="H276" i="5"/>
  <c r="H277" i="5"/>
  <c r="H278" i="5"/>
  <c r="H279" i="5"/>
  <c r="H280" i="5"/>
  <c r="H281" i="5"/>
  <c r="H282" i="5"/>
  <c r="H283" i="5"/>
  <c r="H284" i="5"/>
  <c r="H285" i="5"/>
  <c r="H286" i="5"/>
  <c r="H287" i="5"/>
  <c r="H288" i="5"/>
  <c r="H289" i="5"/>
  <c r="H290" i="5"/>
  <c r="H291" i="5"/>
  <c r="H292" i="5"/>
  <c r="H293" i="5"/>
  <c r="H294" i="5"/>
  <c r="H295" i="5"/>
  <c r="H296" i="5"/>
  <c r="H297" i="5"/>
  <c r="H298" i="5"/>
  <c r="H299" i="5"/>
  <c r="H300" i="5"/>
  <c r="H301" i="5"/>
  <c r="H302" i="5"/>
  <c r="H303" i="5"/>
  <c r="H304" i="5"/>
  <c r="H305" i="5"/>
  <c r="H306" i="5"/>
  <c r="H307" i="5"/>
  <c r="H308" i="5"/>
  <c r="H309" i="5"/>
  <c r="H310" i="5"/>
  <c r="H311" i="5"/>
  <c r="H312" i="5"/>
  <c r="H313" i="5"/>
  <c r="H314" i="5"/>
  <c r="H315" i="5"/>
  <c r="H316" i="5"/>
  <c r="H317" i="5"/>
  <c r="H318" i="5"/>
  <c r="H319" i="5"/>
  <c r="H320" i="5"/>
  <c r="H321" i="5"/>
  <c r="H322" i="5"/>
  <c r="H323" i="5"/>
  <c r="H324" i="5"/>
  <c r="H325" i="5"/>
  <c r="H326" i="5"/>
  <c r="H327" i="5"/>
  <c r="H328" i="5"/>
  <c r="H329" i="5"/>
  <c r="H330" i="5"/>
  <c r="H331" i="5"/>
  <c r="H332" i="5"/>
  <c r="H333" i="5"/>
  <c r="H334" i="5"/>
  <c r="H335" i="5"/>
  <c r="H336" i="5"/>
  <c r="H337" i="5"/>
  <c r="H338" i="5"/>
  <c r="H339" i="5"/>
  <c r="H340" i="5"/>
  <c r="H341" i="5"/>
  <c r="H342" i="5"/>
  <c r="H343" i="5"/>
  <c r="H344" i="5"/>
  <c r="H345" i="5"/>
  <c r="H346" i="5"/>
  <c r="H347" i="5"/>
  <c r="H348" i="5"/>
  <c r="H349" i="5"/>
  <c r="H350" i="5"/>
  <c r="H351" i="5"/>
  <c r="H352" i="5"/>
  <c r="H353" i="5"/>
  <c r="H354" i="5"/>
  <c r="H355" i="5"/>
  <c r="H356" i="5"/>
  <c r="H357" i="5"/>
  <c r="H358" i="5"/>
  <c r="H359" i="5"/>
  <c r="H360" i="5"/>
  <c r="H361" i="5"/>
  <c r="H362" i="5"/>
  <c r="H363" i="5"/>
  <c r="H364" i="5"/>
  <c r="H365" i="5"/>
  <c r="H366" i="5"/>
  <c r="H367" i="5"/>
  <c r="H368" i="5"/>
  <c r="H369" i="5"/>
  <c r="H370" i="5"/>
  <c r="H371" i="5"/>
  <c r="H372" i="5"/>
  <c r="H373" i="5"/>
  <c r="H374" i="5"/>
  <c r="H375" i="5"/>
  <c r="H376" i="5"/>
  <c r="H377" i="5"/>
  <c r="H378" i="5"/>
  <c r="H379" i="5"/>
  <c r="H380" i="5"/>
  <c r="H381" i="5"/>
  <c r="H382" i="5"/>
  <c r="H383" i="5"/>
  <c r="H384" i="5"/>
  <c r="H385" i="5"/>
  <c r="H386" i="5"/>
  <c r="H387" i="5"/>
  <c r="H388" i="5"/>
  <c r="H389" i="5"/>
  <c r="H390" i="5"/>
  <c r="H391" i="5"/>
  <c r="H392" i="5"/>
  <c r="H393" i="5"/>
  <c r="H394" i="5"/>
  <c r="H395" i="5"/>
  <c r="H396" i="5"/>
  <c r="H397" i="5"/>
  <c r="H398" i="5"/>
  <c r="H399" i="5"/>
  <c r="H400" i="5"/>
  <c r="H401" i="5"/>
  <c r="H402" i="5"/>
  <c r="H403" i="5"/>
  <c r="H404" i="5"/>
  <c r="H405" i="5"/>
  <c r="H406" i="5"/>
  <c r="H407" i="5"/>
  <c r="H408" i="5"/>
  <c r="H409" i="5"/>
  <c r="H410" i="5"/>
  <c r="H411" i="5"/>
  <c r="H412" i="5"/>
  <c r="H413" i="5"/>
  <c r="H414" i="5"/>
  <c r="H415" i="5"/>
  <c r="H416" i="5"/>
  <c r="H417" i="5"/>
  <c r="H418" i="5"/>
  <c r="H419" i="5"/>
  <c r="H420" i="5"/>
  <c r="H421" i="5"/>
  <c r="H422" i="5"/>
  <c r="H423" i="5"/>
  <c r="H424" i="5"/>
  <c r="H425" i="5"/>
  <c r="H426" i="5"/>
  <c r="H427" i="5"/>
  <c r="H428" i="5"/>
  <c r="H429" i="5"/>
  <c r="H430" i="5"/>
  <c r="H431" i="5"/>
  <c r="H432" i="5"/>
  <c r="H433" i="5"/>
  <c r="H434" i="5"/>
  <c r="H435" i="5"/>
  <c r="H436" i="5"/>
  <c r="H437" i="5"/>
  <c r="H438" i="5"/>
  <c r="H439" i="5"/>
  <c r="H440" i="5"/>
  <c r="H441" i="5"/>
  <c r="H442" i="5"/>
  <c r="H443" i="5"/>
  <c r="H444" i="5"/>
  <c r="H445" i="5"/>
  <c r="H446" i="5"/>
  <c r="H447" i="5"/>
  <c r="H448" i="5"/>
  <c r="H449" i="5"/>
  <c r="H450" i="5"/>
  <c r="H451" i="5"/>
  <c r="H452" i="5"/>
  <c r="H453" i="5"/>
  <c r="H454" i="5"/>
  <c r="H455" i="5"/>
  <c r="H456" i="5"/>
  <c r="H457" i="5"/>
  <c r="H458" i="5"/>
  <c r="H459" i="5"/>
  <c r="H460" i="5"/>
  <c r="H461" i="5"/>
  <c r="H462" i="5"/>
  <c r="H463" i="5"/>
  <c r="H464" i="5"/>
  <c r="H465" i="5"/>
  <c r="H466" i="5"/>
  <c r="H467" i="5"/>
  <c r="H468" i="5"/>
  <c r="H469" i="5"/>
  <c r="H470" i="5"/>
  <c r="H471" i="5"/>
  <c r="H472" i="5"/>
  <c r="H473" i="5"/>
  <c r="H474" i="5"/>
  <c r="H475" i="5"/>
  <c r="H476" i="5"/>
  <c r="H477" i="5"/>
  <c r="H478" i="5"/>
  <c r="H479" i="5"/>
  <c r="H480" i="5"/>
  <c r="H481" i="5"/>
  <c r="H482" i="5"/>
  <c r="H483" i="5"/>
  <c r="H484" i="5"/>
  <c r="H485" i="5"/>
  <c r="H486" i="5"/>
  <c r="H487" i="5"/>
  <c r="H488" i="5"/>
  <c r="H489" i="5"/>
  <c r="H490" i="5"/>
  <c r="H491" i="5"/>
  <c r="H492" i="5"/>
  <c r="H493" i="5"/>
  <c r="H494" i="5"/>
  <c r="H495" i="5"/>
  <c r="H496" i="5"/>
  <c r="H497" i="5"/>
  <c r="H498" i="5"/>
  <c r="H499" i="5"/>
  <c r="H500" i="5"/>
  <c r="H501" i="5"/>
  <c r="H502" i="5"/>
  <c r="H503" i="5"/>
  <c r="H504" i="5"/>
  <c r="H505" i="5"/>
  <c r="H506" i="5"/>
  <c r="H507" i="5"/>
  <c r="H508" i="5"/>
  <c r="H509" i="5"/>
  <c r="H510" i="5"/>
  <c r="H511" i="5"/>
  <c r="H512" i="5"/>
  <c r="H513" i="5"/>
  <c r="H514" i="5"/>
  <c r="H515" i="5"/>
  <c r="H516" i="5"/>
  <c r="H517" i="5"/>
  <c r="H518" i="5"/>
  <c r="H519" i="5"/>
  <c r="H520" i="5"/>
  <c r="H521" i="5"/>
  <c r="H522" i="5"/>
  <c r="H523" i="5"/>
  <c r="H524" i="5"/>
  <c r="H525" i="5"/>
  <c r="H526" i="5"/>
  <c r="H527" i="5"/>
  <c r="H528" i="5"/>
  <c r="H529" i="5"/>
  <c r="H530" i="5"/>
  <c r="H531" i="5"/>
  <c r="H532" i="5"/>
  <c r="H533" i="5"/>
  <c r="H534" i="5"/>
  <c r="H535" i="5"/>
  <c r="H536" i="5"/>
  <c r="H537" i="5"/>
  <c r="H538" i="5"/>
  <c r="H539" i="5"/>
  <c r="H540" i="5"/>
  <c r="H541" i="5"/>
  <c r="H542" i="5"/>
  <c r="H543" i="5"/>
  <c r="H544" i="5"/>
  <c r="H545" i="5"/>
  <c r="H546" i="5"/>
  <c r="H547" i="5"/>
  <c r="H548" i="5"/>
  <c r="H549" i="5"/>
  <c r="H550" i="5"/>
  <c r="H551" i="5"/>
  <c r="H552" i="5"/>
  <c r="H553" i="5"/>
  <c r="H554" i="5"/>
  <c r="H555" i="5"/>
  <c r="H556" i="5"/>
  <c r="H557" i="5"/>
  <c r="H558" i="5"/>
  <c r="H559" i="5"/>
  <c r="H560" i="5"/>
  <c r="H561" i="5"/>
  <c r="H562" i="5"/>
  <c r="H563" i="5"/>
  <c r="H564" i="5"/>
  <c r="H565" i="5"/>
  <c r="H566" i="5"/>
  <c r="H567" i="5"/>
  <c r="H568" i="5"/>
  <c r="H569" i="5"/>
  <c r="H570" i="5"/>
  <c r="H571" i="5"/>
  <c r="H572" i="5"/>
  <c r="H573" i="5"/>
  <c r="H574" i="5"/>
  <c r="H575" i="5"/>
  <c r="H576" i="5"/>
  <c r="H577" i="5"/>
  <c r="H578" i="5"/>
  <c r="H579" i="5"/>
  <c r="H580" i="5"/>
  <c r="H581" i="5"/>
  <c r="H582" i="5"/>
  <c r="H583" i="5"/>
  <c r="H584" i="5"/>
  <c r="H585" i="5"/>
  <c r="H586" i="5"/>
  <c r="H587" i="5"/>
  <c r="H588" i="5"/>
  <c r="H589" i="5"/>
  <c r="H590" i="5"/>
  <c r="H591" i="5"/>
  <c r="H592" i="5"/>
  <c r="H593" i="5"/>
  <c r="H594" i="5"/>
  <c r="H595" i="5"/>
  <c r="H596" i="5"/>
  <c r="H597" i="5"/>
  <c r="H598" i="5"/>
  <c r="H599" i="5"/>
  <c r="H600" i="5"/>
  <c r="H601" i="5"/>
  <c r="H602" i="5"/>
  <c r="H603" i="5"/>
  <c r="H604" i="5"/>
  <c r="H605" i="5"/>
  <c r="H606" i="5"/>
  <c r="H607" i="5"/>
  <c r="H608" i="5"/>
  <c r="H609" i="5"/>
  <c r="H610" i="5"/>
  <c r="H611" i="5"/>
  <c r="H612" i="5"/>
  <c r="H613" i="5"/>
  <c r="H614" i="5"/>
  <c r="H615" i="5"/>
  <c r="H616" i="5"/>
  <c r="H617" i="5"/>
  <c r="H618" i="5"/>
  <c r="H619" i="5"/>
  <c r="H620" i="5"/>
  <c r="H621" i="5"/>
  <c r="H622" i="5"/>
  <c r="H623" i="5"/>
  <c r="H624" i="5"/>
  <c r="H625" i="5"/>
  <c r="H626" i="5"/>
  <c r="H627" i="5"/>
  <c r="H628" i="5"/>
  <c r="H629" i="5"/>
  <c r="H630" i="5"/>
  <c r="H631" i="5"/>
  <c r="H632" i="5"/>
  <c r="H633" i="5"/>
  <c r="H634" i="5"/>
  <c r="H635" i="5"/>
  <c r="H636" i="5"/>
  <c r="H637" i="5"/>
  <c r="H638" i="5"/>
  <c r="H639" i="5"/>
  <c r="H640" i="5"/>
  <c r="H641" i="5"/>
  <c r="H642" i="5"/>
  <c r="H643" i="5"/>
  <c r="H644" i="5"/>
  <c r="H645" i="5"/>
  <c r="H646" i="5"/>
  <c r="H647" i="5"/>
  <c r="H648" i="5"/>
  <c r="H649" i="5"/>
  <c r="H650" i="5"/>
  <c r="H651" i="5"/>
  <c r="H652" i="5"/>
  <c r="H653" i="5"/>
  <c r="H654" i="5"/>
  <c r="H655" i="5"/>
  <c r="H656" i="5"/>
  <c r="H657" i="5"/>
  <c r="H658" i="5"/>
  <c r="H659" i="5"/>
  <c r="H660" i="5"/>
  <c r="H661" i="5"/>
  <c r="H662" i="5"/>
  <c r="H663" i="5"/>
  <c r="H664" i="5"/>
  <c r="H665" i="5"/>
  <c r="H666" i="5"/>
  <c r="H667" i="5"/>
  <c r="H668" i="5"/>
  <c r="H669" i="5"/>
  <c r="H670" i="5"/>
  <c r="H671" i="5"/>
  <c r="H672" i="5"/>
  <c r="H673" i="5"/>
  <c r="H674" i="5"/>
  <c r="H675" i="5"/>
  <c r="H676" i="5"/>
  <c r="H677" i="5"/>
  <c r="H678" i="5"/>
  <c r="H679" i="5"/>
  <c r="H680" i="5"/>
  <c r="H681" i="5"/>
  <c r="H682" i="5"/>
  <c r="H683" i="5"/>
  <c r="H684" i="5"/>
  <c r="H685" i="5"/>
  <c r="H686" i="5"/>
  <c r="H687" i="5"/>
  <c r="H688" i="5"/>
  <c r="H689" i="5"/>
  <c r="H690" i="5"/>
  <c r="H691" i="5"/>
  <c r="H692" i="5"/>
  <c r="H693" i="5"/>
  <c r="H694" i="5"/>
  <c r="H695" i="5"/>
  <c r="H696" i="5"/>
  <c r="H697" i="5"/>
  <c r="H698" i="5"/>
  <c r="H699" i="5"/>
  <c r="H700" i="5"/>
  <c r="H701" i="5"/>
  <c r="H702" i="5"/>
  <c r="H703" i="5"/>
  <c r="H704" i="5"/>
  <c r="H705" i="5"/>
  <c r="H706" i="5"/>
  <c r="H707" i="5"/>
  <c r="H708" i="5"/>
  <c r="H709" i="5"/>
  <c r="H710" i="5"/>
  <c r="H711" i="5"/>
  <c r="H712" i="5"/>
  <c r="H713" i="5"/>
  <c r="H714" i="5"/>
  <c r="H715" i="5"/>
  <c r="H716" i="5"/>
  <c r="H717" i="5"/>
  <c r="H718" i="5"/>
  <c r="H719" i="5"/>
  <c r="H720" i="5"/>
  <c r="H721" i="5"/>
  <c r="H722" i="5"/>
  <c r="H723" i="5"/>
  <c r="H724" i="5"/>
  <c r="H725" i="5"/>
  <c r="H726" i="5"/>
  <c r="H727" i="5"/>
  <c r="H728" i="5"/>
  <c r="H729" i="5"/>
  <c r="H730" i="5"/>
  <c r="H731" i="5"/>
  <c r="H732" i="5"/>
  <c r="H733" i="5"/>
  <c r="H734" i="5"/>
  <c r="H735" i="5"/>
  <c r="H736" i="5"/>
  <c r="H737" i="5"/>
  <c r="H738" i="5"/>
  <c r="H739" i="5"/>
  <c r="H740" i="5"/>
  <c r="H741" i="5"/>
  <c r="H742" i="5"/>
  <c r="H743" i="5"/>
  <c r="H744" i="5"/>
  <c r="H745" i="5"/>
  <c r="H746" i="5"/>
  <c r="H747" i="5"/>
  <c r="H748" i="5"/>
  <c r="H749" i="5"/>
  <c r="H750" i="5"/>
  <c r="H751" i="5"/>
  <c r="H752" i="5"/>
  <c r="H753" i="5"/>
  <c r="H754" i="5"/>
  <c r="H755" i="5"/>
  <c r="H756" i="5"/>
  <c r="H757" i="5"/>
  <c r="H758" i="5"/>
  <c r="H759" i="5"/>
  <c r="H760" i="5"/>
  <c r="H761" i="5"/>
  <c r="H762" i="5"/>
  <c r="H763" i="5"/>
  <c r="H764" i="5"/>
  <c r="H765" i="5"/>
  <c r="H766" i="5"/>
  <c r="H767" i="5"/>
  <c r="H768" i="5"/>
  <c r="H769" i="5"/>
  <c r="H770" i="5"/>
  <c r="H771" i="5"/>
  <c r="H772" i="5"/>
  <c r="H773" i="5"/>
  <c r="H774" i="5"/>
  <c r="H775" i="5"/>
  <c r="H776" i="5"/>
  <c r="H777" i="5"/>
  <c r="H778" i="5"/>
  <c r="H779" i="5"/>
  <c r="H780" i="5"/>
  <c r="H781" i="5"/>
  <c r="H782" i="5"/>
  <c r="H783" i="5"/>
  <c r="H784" i="5"/>
  <c r="H785" i="5"/>
  <c r="H786" i="5"/>
  <c r="H787" i="5"/>
  <c r="H788" i="5"/>
  <c r="H789" i="5"/>
  <c r="H790" i="5"/>
  <c r="H791" i="5"/>
  <c r="H792" i="5"/>
  <c r="H793" i="5"/>
  <c r="H794" i="5"/>
  <c r="H795" i="5"/>
  <c r="H796" i="5"/>
  <c r="H797" i="5"/>
  <c r="H798" i="5"/>
  <c r="H799" i="5"/>
  <c r="H800" i="5"/>
  <c r="H801" i="5"/>
  <c r="H802" i="5"/>
  <c r="H803" i="5"/>
  <c r="H804" i="5"/>
  <c r="H805" i="5"/>
  <c r="H806" i="5"/>
  <c r="H807" i="5"/>
  <c r="H808" i="5"/>
  <c r="H809" i="5"/>
  <c r="H810" i="5"/>
  <c r="H811" i="5"/>
  <c r="H812" i="5"/>
  <c r="H813" i="5"/>
  <c r="H814" i="5"/>
  <c r="H815" i="5"/>
  <c r="H816" i="5"/>
  <c r="H817" i="5"/>
  <c r="H818" i="5"/>
  <c r="H819" i="5"/>
  <c r="H820" i="5"/>
  <c r="H821" i="5"/>
  <c r="H822" i="5"/>
  <c r="H823" i="5"/>
  <c r="H824" i="5"/>
  <c r="H825" i="5"/>
  <c r="H826" i="5"/>
  <c r="H827" i="5"/>
  <c r="H828" i="5"/>
  <c r="H829" i="5"/>
  <c r="H830" i="5"/>
  <c r="H831" i="5"/>
  <c r="H832" i="5"/>
  <c r="H833" i="5"/>
  <c r="H834" i="5"/>
  <c r="H835" i="5"/>
  <c r="H836" i="5"/>
  <c r="H837" i="5"/>
  <c r="H838" i="5"/>
  <c r="H839" i="5"/>
  <c r="H840" i="5"/>
  <c r="H841" i="5"/>
  <c r="H842" i="5"/>
  <c r="H843" i="5"/>
  <c r="H844" i="5"/>
  <c r="H845" i="5"/>
  <c r="H846" i="5"/>
  <c r="H847" i="5"/>
  <c r="H848" i="5"/>
  <c r="H849" i="5"/>
  <c r="H850" i="5"/>
  <c r="H851" i="5"/>
  <c r="H852" i="5"/>
  <c r="H853" i="5"/>
  <c r="H854" i="5"/>
  <c r="H855" i="5"/>
  <c r="H856" i="5"/>
  <c r="H857" i="5"/>
  <c r="H858" i="5"/>
  <c r="H859" i="5"/>
  <c r="H860" i="5"/>
  <c r="H861" i="5"/>
  <c r="H862" i="5"/>
  <c r="H863" i="5"/>
  <c r="H864" i="5"/>
  <c r="H865" i="5"/>
  <c r="H866" i="5"/>
  <c r="H867" i="5"/>
  <c r="H868" i="5"/>
  <c r="H869" i="5"/>
  <c r="H870" i="5"/>
  <c r="H871" i="5"/>
  <c r="H872" i="5"/>
  <c r="H873" i="5"/>
  <c r="H874" i="5"/>
  <c r="H875" i="5"/>
  <c r="H876" i="5"/>
  <c r="H877" i="5"/>
  <c r="H878" i="5"/>
  <c r="H879" i="5"/>
  <c r="H880" i="5"/>
  <c r="H881" i="5"/>
  <c r="H882" i="5"/>
  <c r="H883" i="5"/>
  <c r="H884" i="5"/>
  <c r="H885" i="5"/>
  <c r="H886" i="5"/>
  <c r="H887" i="5"/>
  <c r="H888" i="5"/>
  <c r="H889" i="5"/>
  <c r="H890" i="5"/>
  <c r="H891" i="5"/>
  <c r="H892" i="5"/>
  <c r="H893" i="5"/>
  <c r="H894" i="5"/>
  <c r="H895" i="5"/>
  <c r="H896" i="5"/>
  <c r="H897" i="5"/>
  <c r="H898" i="5"/>
  <c r="H899" i="5"/>
  <c r="H900" i="5"/>
  <c r="H901" i="5"/>
  <c r="H902" i="5"/>
  <c r="H903" i="5"/>
  <c r="H904" i="5"/>
  <c r="H905" i="5"/>
  <c r="H906" i="5"/>
  <c r="H907" i="5"/>
  <c r="H908" i="5"/>
  <c r="H909" i="5"/>
  <c r="H910" i="5"/>
  <c r="H911" i="5"/>
  <c r="H912" i="5"/>
  <c r="H913" i="5"/>
  <c r="H914" i="5"/>
  <c r="H915" i="5"/>
  <c r="H916" i="5"/>
  <c r="H917" i="5"/>
  <c r="H918" i="5"/>
  <c r="H919" i="5"/>
  <c r="H920" i="5"/>
  <c r="H921" i="5"/>
  <c r="H922" i="5"/>
  <c r="H923" i="5"/>
  <c r="H924" i="5"/>
  <c r="H925" i="5"/>
  <c r="H926" i="5"/>
  <c r="H927" i="5"/>
  <c r="H928" i="5"/>
  <c r="H929" i="5"/>
  <c r="H930" i="5"/>
  <c r="H931" i="5"/>
  <c r="H932" i="5"/>
  <c r="H933" i="5"/>
  <c r="H934" i="5"/>
  <c r="H935" i="5"/>
  <c r="H936" i="5"/>
  <c r="H937" i="5"/>
  <c r="H938" i="5"/>
  <c r="H939" i="5"/>
  <c r="H940" i="5"/>
  <c r="H941" i="5"/>
  <c r="H942" i="5"/>
  <c r="H943" i="5"/>
  <c r="H944" i="5"/>
  <c r="H945" i="5"/>
  <c r="H946" i="5"/>
  <c r="H947" i="5"/>
  <c r="H948" i="5"/>
  <c r="H949" i="5"/>
  <c r="H950" i="5"/>
  <c r="H951" i="5"/>
  <c r="H952" i="5"/>
  <c r="H953" i="5"/>
  <c r="H954" i="5"/>
  <c r="H955" i="5"/>
  <c r="H956" i="5"/>
  <c r="H957" i="5"/>
  <c r="H958" i="5"/>
  <c r="H959" i="5"/>
  <c r="H960" i="5"/>
  <c r="H961" i="5"/>
  <c r="H962" i="5"/>
  <c r="H963" i="5"/>
  <c r="H964" i="5"/>
  <c r="H965" i="5"/>
  <c r="H966" i="5"/>
  <c r="H967" i="5"/>
  <c r="H968" i="5"/>
  <c r="H969" i="5"/>
  <c r="H970" i="5"/>
  <c r="H971" i="5"/>
  <c r="H972" i="5"/>
  <c r="H973" i="5"/>
  <c r="H974" i="5"/>
  <c r="H975" i="5"/>
  <c r="H976" i="5"/>
  <c r="H977" i="5"/>
  <c r="H978" i="5"/>
  <c r="H979" i="5"/>
  <c r="H980" i="5"/>
  <c r="H981" i="5"/>
  <c r="H982" i="5"/>
  <c r="H983" i="5"/>
  <c r="H984" i="5"/>
  <c r="H985" i="5"/>
  <c r="H986" i="5"/>
  <c r="H987" i="5"/>
  <c r="H988" i="5"/>
  <c r="H989" i="5"/>
  <c r="H990" i="5"/>
  <c r="H991" i="5"/>
  <c r="H992" i="5"/>
  <c r="H993" i="5"/>
  <c r="H994" i="5"/>
  <c r="H995" i="5"/>
  <c r="H996" i="5"/>
  <c r="H997" i="5"/>
  <c r="H998" i="5"/>
  <c r="H999" i="5"/>
  <c r="H1000" i="5"/>
  <c r="H1001" i="5"/>
  <c r="H1002" i="5"/>
  <c r="H1003" i="5"/>
  <c r="H1004" i="5"/>
  <c r="H1005" i="5"/>
  <c r="H1006" i="5"/>
  <c r="H1007" i="5"/>
  <c r="H1008" i="5"/>
  <c r="H1009" i="5"/>
  <c r="H1010" i="5"/>
  <c r="H1011" i="5"/>
  <c r="H1012" i="5"/>
  <c r="H1013" i="5"/>
  <c r="H1014" i="5"/>
  <c r="H1015" i="5"/>
  <c r="H1016" i="5"/>
  <c r="H1017" i="5"/>
  <c r="H1018" i="5"/>
  <c r="H1019" i="5"/>
  <c r="H1020" i="5"/>
  <c r="H1021" i="5"/>
  <c r="H1022" i="5"/>
  <c r="H1023" i="5"/>
  <c r="H1024" i="5"/>
  <c r="H1025" i="5"/>
  <c r="H1026" i="5"/>
  <c r="H1027" i="5"/>
  <c r="H1028" i="5"/>
  <c r="H1029" i="5"/>
  <c r="H1030" i="5"/>
  <c r="H1031" i="5"/>
  <c r="H1032" i="5"/>
  <c r="H1033" i="5"/>
  <c r="H1034" i="5"/>
  <c r="H1035" i="5"/>
  <c r="H1036" i="5"/>
  <c r="H1037" i="5"/>
  <c r="H1038" i="5"/>
  <c r="H1039" i="5"/>
  <c r="H1040" i="5"/>
  <c r="H1041" i="5"/>
  <c r="H1042" i="5"/>
  <c r="H1043" i="5"/>
  <c r="H1044" i="5"/>
  <c r="H1045" i="5"/>
  <c r="H1046" i="5"/>
  <c r="H1047" i="5"/>
  <c r="H1048" i="5"/>
  <c r="H1049" i="5"/>
  <c r="H1050" i="5"/>
  <c r="H1051" i="5"/>
  <c r="H1052" i="5"/>
  <c r="H1053" i="5"/>
  <c r="H1054" i="5"/>
  <c r="H1055" i="5"/>
  <c r="H1056" i="5"/>
  <c r="H1057" i="5"/>
  <c r="H1058" i="5"/>
  <c r="H1059" i="5"/>
  <c r="H1060" i="5"/>
  <c r="H1061" i="5"/>
  <c r="H1062" i="5"/>
  <c r="H1063" i="5"/>
  <c r="H1064" i="5"/>
  <c r="H1065" i="5"/>
  <c r="H1066" i="5"/>
  <c r="H1067" i="5"/>
  <c r="H1068" i="5"/>
  <c r="H1069" i="5"/>
  <c r="H1070" i="5"/>
  <c r="H1071" i="5"/>
  <c r="H1072" i="5"/>
  <c r="H1073" i="5"/>
  <c r="H1074" i="5"/>
  <c r="H1075" i="5"/>
  <c r="H1076" i="5"/>
  <c r="H1077" i="5"/>
  <c r="H1078" i="5"/>
  <c r="H1079" i="5"/>
  <c r="H1080" i="5"/>
  <c r="H1081" i="5"/>
  <c r="H1082" i="5"/>
  <c r="H1083" i="5"/>
  <c r="H1084" i="5"/>
  <c r="H1085" i="5"/>
  <c r="H1086" i="5"/>
  <c r="H1087" i="5"/>
  <c r="H1088" i="5"/>
  <c r="H1089" i="5"/>
  <c r="H1090" i="5"/>
  <c r="H1091" i="5"/>
  <c r="H1092" i="5"/>
  <c r="H1093" i="5"/>
  <c r="H1094" i="5"/>
  <c r="H1095" i="5"/>
  <c r="H1096" i="5"/>
  <c r="H1097" i="5"/>
  <c r="H1098" i="5"/>
  <c r="H1099" i="5"/>
  <c r="H1100" i="5"/>
  <c r="H1101" i="5"/>
  <c r="H1102" i="5"/>
  <c r="H1103" i="5"/>
  <c r="H1104" i="5"/>
  <c r="H1105" i="5"/>
  <c r="H1106" i="5"/>
  <c r="H1107" i="5"/>
  <c r="H1108" i="5"/>
  <c r="H1109" i="5"/>
  <c r="H1110" i="5"/>
  <c r="H1111" i="5"/>
  <c r="H1112" i="5"/>
  <c r="H1113" i="5"/>
  <c r="H1114" i="5"/>
  <c r="H1115" i="5"/>
  <c r="H1116" i="5"/>
  <c r="H1117" i="5"/>
  <c r="H1118" i="5"/>
  <c r="H1119" i="5"/>
  <c r="H1120" i="5"/>
  <c r="H1121" i="5"/>
  <c r="H1122" i="5"/>
  <c r="H1123" i="5"/>
  <c r="H1124" i="5"/>
  <c r="H1125" i="5"/>
  <c r="H1126" i="5"/>
  <c r="H1127" i="5"/>
  <c r="H1128" i="5"/>
  <c r="H1129" i="5"/>
  <c r="H1130" i="5"/>
  <c r="H1131" i="5"/>
  <c r="H1132" i="5"/>
  <c r="H1133" i="5"/>
  <c r="H1134" i="5"/>
  <c r="H1135" i="5"/>
  <c r="H1136" i="5"/>
  <c r="H1137" i="5"/>
  <c r="H1138" i="5"/>
  <c r="H1139" i="5"/>
  <c r="H1140" i="5"/>
  <c r="H1141" i="5"/>
  <c r="H1142" i="5"/>
  <c r="H1143" i="5"/>
  <c r="H1144" i="5"/>
  <c r="H1145" i="5"/>
  <c r="H1146" i="5"/>
  <c r="H1147" i="5"/>
  <c r="H1148" i="5"/>
  <c r="H1149" i="5"/>
  <c r="H1150" i="5"/>
  <c r="H1151" i="5"/>
  <c r="H1152" i="5"/>
  <c r="H1153" i="5"/>
  <c r="H1154" i="5"/>
  <c r="H1155" i="5"/>
  <c r="H1156" i="5"/>
  <c r="H1157" i="5"/>
  <c r="H1158" i="5"/>
  <c r="H1159" i="5"/>
  <c r="H1160" i="5"/>
  <c r="H1161" i="5"/>
  <c r="H1162" i="5"/>
  <c r="H1163" i="5"/>
  <c r="H1164" i="5"/>
  <c r="H1165" i="5"/>
  <c r="H1166" i="5"/>
  <c r="H1167" i="5"/>
  <c r="H1168" i="5"/>
  <c r="H1169" i="5"/>
  <c r="H1170" i="5"/>
  <c r="H1171" i="5"/>
  <c r="H1172" i="5"/>
  <c r="H1173" i="5"/>
  <c r="H1174" i="5"/>
  <c r="H1175" i="5"/>
  <c r="H1176" i="5"/>
  <c r="H1177" i="5"/>
  <c r="H1178" i="5"/>
  <c r="H1179" i="5"/>
  <c r="H1180" i="5"/>
  <c r="H1181" i="5"/>
  <c r="H1182" i="5"/>
  <c r="H1183" i="5"/>
  <c r="H1184" i="5"/>
  <c r="H1185" i="5"/>
  <c r="H1186" i="5"/>
  <c r="H1187" i="5"/>
  <c r="H1188" i="5"/>
  <c r="H1189" i="5"/>
  <c r="H1190" i="5"/>
  <c r="H1191" i="5"/>
  <c r="H1192" i="5"/>
  <c r="H1193" i="5"/>
  <c r="H1194" i="5"/>
  <c r="H1195" i="5"/>
  <c r="H1196" i="5"/>
  <c r="H1197" i="5"/>
  <c r="H1198" i="5"/>
  <c r="H1199" i="5"/>
  <c r="H1200" i="5"/>
  <c r="H1201" i="5"/>
  <c r="H1202" i="5"/>
  <c r="H1203" i="5"/>
  <c r="H1204" i="5"/>
  <c r="H1205" i="5"/>
  <c r="H1206" i="5"/>
  <c r="H1207" i="5"/>
  <c r="H1208" i="5"/>
  <c r="H1209" i="5"/>
  <c r="H1210" i="5"/>
  <c r="H1211" i="5"/>
  <c r="H1212" i="5"/>
  <c r="H1213" i="5"/>
  <c r="H1214" i="5"/>
  <c r="H1215" i="5"/>
  <c r="H1216" i="5"/>
  <c r="H1217" i="5"/>
  <c r="H1218" i="5"/>
  <c r="H1219" i="5"/>
  <c r="H1220" i="5"/>
  <c r="H1221" i="5"/>
  <c r="H1222" i="5"/>
  <c r="H1223" i="5"/>
  <c r="H1224" i="5"/>
  <c r="H1225" i="5"/>
  <c r="H1226" i="5"/>
  <c r="H1227" i="5"/>
  <c r="H1228" i="5"/>
  <c r="H1229" i="5"/>
  <c r="H1230" i="5"/>
  <c r="H1231" i="5"/>
  <c r="H1232" i="5"/>
  <c r="H1233" i="5"/>
  <c r="H1234" i="5"/>
  <c r="H1235" i="5"/>
  <c r="H1236" i="5"/>
  <c r="H1237" i="5"/>
  <c r="H1238" i="5"/>
  <c r="H1239" i="5"/>
  <c r="H1240" i="5"/>
  <c r="H1241" i="5"/>
  <c r="H1242" i="5"/>
  <c r="H1243" i="5"/>
  <c r="H1244" i="5"/>
  <c r="H1245" i="5"/>
  <c r="H1246" i="5"/>
  <c r="H1247" i="5"/>
  <c r="H1248" i="5"/>
  <c r="H1249" i="5"/>
  <c r="H1250" i="5"/>
  <c r="H1251" i="5"/>
  <c r="H1252" i="5"/>
  <c r="H1253" i="5"/>
  <c r="H1254" i="5"/>
  <c r="H1255" i="5"/>
  <c r="H1256" i="5"/>
  <c r="H1257" i="5"/>
  <c r="H1258" i="5"/>
  <c r="H1259" i="5"/>
  <c r="H1260" i="5"/>
  <c r="H1261" i="5"/>
  <c r="H1262" i="5"/>
  <c r="H1263" i="5"/>
  <c r="H1264" i="5"/>
  <c r="H1265" i="5"/>
  <c r="H1266" i="5"/>
  <c r="H1267" i="5"/>
  <c r="H1268" i="5"/>
  <c r="H1269" i="5"/>
  <c r="H1270" i="5"/>
  <c r="H1271" i="5"/>
  <c r="H1272" i="5"/>
  <c r="H1273" i="5"/>
  <c r="H1274" i="5"/>
  <c r="H1275" i="5"/>
  <c r="H1276" i="5"/>
  <c r="H1277" i="5"/>
  <c r="H1278" i="5"/>
  <c r="H1279" i="5"/>
  <c r="H1280" i="5"/>
  <c r="H1281" i="5"/>
  <c r="H1282" i="5"/>
  <c r="H1283" i="5"/>
  <c r="H1284" i="5"/>
  <c r="H1285" i="5"/>
  <c r="H1286" i="5"/>
  <c r="H1287" i="5"/>
  <c r="H1288" i="5"/>
  <c r="H1289" i="5"/>
  <c r="H1290" i="5"/>
  <c r="H1291" i="5"/>
  <c r="H1292" i="5"/>
  <c r="H1293" i="5"/>
  <c r="H1294" i="5"/>
  <c r="H1295" i="5"/>
  <c r="H1296" i="5"/>
  <c r="H1297" i="5"/>
  <c r="H1298" i="5"/>
  <c r="H1299" i="5"/>
  <c r="H1300" i="5"/>
  <c r="H1301" i="5"/>
  <c r="H1302" i="5"/>
  <c r="H1303" i="5"/>
  <c r="H1304" i="5"/>
  <c r="H1305" i="5"/>
  <c r="H1306" i="5"/>
  <c r="H1307" i="5"/>
  <c r="H1308" i="5"/>
  <c r="H1309" i="5"/>
  <c r="H1310" i="5"/>
  <c r="H1311" i="5"/>
  <c r="H1312" i="5"/>
  <c r="H1313" i="5"/>
  <c r="H1314" i="5"/>
  <c r="H1315" i="5"/>
  <c r="H1316" i="5"/>
  <c r="H1317" i="5"/>
  <c r="H1318" i="5"/>
  <c r="H1319" i="5"/>
  <c r="H1320" i="5"/>
  <c r="H1321" i="5"/>
  <c r="H1322" i="5"/>
  <c r="H1323" i="5"/>
  <c r="H1324" i="5"/>
  <c r="H1325" i="5"/>
  <c r="H1326" i="5"/>
  <c r="H1327" i="5"/>
  <c r="H1328" i="5"/>
  <c r="H1329" i="5"/>
  <c r="H1330" i="5"/>
  <c r="H1331" i="5"/>
  <c r="H1332" i="5"/>
  <c r="H1333" i="5"/>
  <c r="H1334" i="5"/>
  <c r="H1335" i="5"/>
  <c r="H1336" i="5"/>
  <c r="H1337" i="5"/>
  <c r="H1338" i="5"/>
  <c r="H1339" i="5"/>
  <c r="H1340" i="5"/>
  <c r="H1341" i="5"/>
  <c r="H1342" i="5"/>
  <c r="H1343" i="5"/>
  <c r="H1344" i="5"/>
  <c r="H1345" i="5"/>
  <c r="H1346" i="5"/>
  <c r="H1347" i="5"/>
  <c r="H1348" i="5"/>
  <c r="H1349" i="5"/>
  <c r="H1350" i="5"/>
  <c r="H1351" i="5"/>
  <c r="H1352" i="5"/>
  <c r="H1353" i="5"/>
  <c r="H1354" i="5"/>
  <c r="H1355" i="5"/>
  <c r="H1356" i="5"/>
  <c r="H1357" i="5"/>
  <c r="H1358" i="5"/>
  <c r="H1359" i="5"/>
  <c r="H1360" i="5"/>
  <c r="H1361" i="5"/>
  <c r="H1362" i="5"/>
  <c r="H1363" i="5"/>
  <c r="H1364" i="5"/>
  <c r="H1365" i="5"/>
  <c r="H1366" i="5"/>
  <c r="H1367" i="5"/>
  <c r="H1368" i="5"/>
  <c r="H1369" i="5"/>
  <c r="H1370" i="5"/>
  <c r="H1371" i="5"/>
  <c r="H1372" i="5"/>
  <c r="H1373" i="5"/>
  <c r="H1374" i="5"/>
  <c r="H1375" i="5"/>
  <c r="H1376" i="5"/>
  <c r="H1377" i="5"/>
  <c r="H1378" i="5"/>
  <c r="H1379" i="5"/>
  <c r="H1380" i="5"/>
  <c r="H1381" i="5"/>
  <c r="H1382" i="5"/>
  <c r="H1383" i="5"/>
  <c r="H1384" i="5"/>
  <c r="H1385" i="5"/>
  <c r="H1386" i="5"/>
  <c r="H1387" i="5"/>
  <c r="H1388" i="5"/>
  <c r="H1389" i="5"/>
  <c r="H1390" i="5"/>
  <c r="H1391" i="5"/>
  <c r="H1392" i="5"/>
  <c r="H1393" i="5"/>
  <c r="H1394" i="5"/>
  <c r="H1395" i="5"/>
  <c r="H1396" i="5"/>
  <c r="H1397" i="5"/>
  <c r="H1398" i="5"/>
  <c r="H1399" i="5"/>
  <c r="H1400" i="5"/>
  <c r="H1401" i="5"/>
  <c r="H1402" i="5"/>
  <c r="H1403" i="5"/>
  <c r="H1404" i="5"/>
  <c r="H1405" i="5"/>
  <c r="H1406" i="5"/>
  <c r="H1407" i="5"/>
  <c r="H1408" i="5"/>
  <c r="H1409" i="5"/>
  <c r="H1410" i="5"/>
  <c r="H1411" i="5"/>
  <c r="H1412" i="5"/>
  <c r="H1413" i="5"/>
  <c r="H1414" i="5"/>
  <c r="H1415" i="5"/>
  <c r="H1416" i="5"/>
  <c r="H1417" i="5"/>
  <c r="H1418" i="5"/>
  <c r="H1419" i="5"/>
  <c r="H1420" i="5"/>
  <c r="H1421" i="5"/>
  <c r="H1422" i="5"/>
  <c r="H1423" i="5"/>
  <c r="H1424" i="5"/>
  <c r="H1425" i="5"/>
  <c r="H1426" i="5"/>
  <c r="H1427" i="5"/>
  <c r="H1428" i="5"/>
  <c r="H1429" i="5"/>
  <c r="H1430" i="5"/>
  <c r="H1431" i="5"/>
  <c r="H1432" i="5"/>
  <c r="H1433" i="5"/>
  <c r="H1434" i="5"/>
  <c r="H1435" i="5"/>
  <c r="H1436" i="5"/>
  <c r="H1437" i="5"/>
  <c r="H1438" i="5"/>
  <c r="H1439" i="5"/>
  <c r="H1440" i="5"/>
  <c r="H1441" i="5"/>
  <c r="H1442" i="5"/>
  <c r="H1443" i="5"/>
  <c r="H1444" i="5"/>
  <c r="H1445" i="5"/>
  <c r="H1446" i="5"/>
  <c r="H1447" i="5"/>
  <c r="H1448" i="5"/>
  <c r="H1449" i="5"/>
  <c r="H1450" i="5"/>
  <c r="H1451" i="5"/>
  <c r="H1452" i="5"/>
  <c r="H1453" i="5"/>
  <c r="H1454" i="5"/>
  <c r="H1455" i="5"/>
  <c r="H1456" i="5"/>
  <c r="H1457" i="5"/>
  <c r="H1458" i="5"/>
  <c r="H1459" i="5"/>
  <c r="H1460" i="5"/>
  <c r="H1461" i="5"/>
  <c r="H1462" i="5"/>
  <c r="H1463" i="5"/>
  <c r="H1464" i="5"/>
  <c r="H1465" i="5"/>
  <c r="H1466" i="5"/>
  <c r="H1467" i="5"/>
  <c r="H1468" i="5"/>
  <c r="H1469" i="5"/>
  <c r="H1470" i="5"/>
  <c r="H1471" i="5"/>
  <c r="H1472" i="5"/>
  <c r="H1473" i="5"/>
  <c r="H1474" i="5"/>
  <c r="H1475" i="5"/>
  <c r="H1476" i="5"/>
  <c r="H1477" i="5"/>
  <c r="H1478" i="5"/>
  <c r="H1479" i="5"/>
  <c r="H1480" i="5"/>
  <c r="H1481" i="5"/>
  <c r="H1482" i="5"/>
  <c r="H1483" i="5"/>
  <c r="H1484" i="5"/>
  <c r="H1485" i="5"/>
  <c r="H1486" i="5"/>
  <c r="H1487" i="5"/>
  <c r="H1488" i="5"/>
  <c r="H1489" i="5"/>
  <c r="H1490" i="5"/>
  <c r="H1491" i="5"/>
  <c r="H1492" i="5"/>
  <c r="H1493" i="5"/>
  <c r="H1494" i="5"/>
  <c r="H1495" i="5"/>
  <c r="H1496" i="5"/>
  <c r="H1497" i="5"/>
  <c r="H1498" i="5"/>
  <c r="H1499" i="5"/>
  <c r="H1500" i="5"/>
  <c r="H1501" i="5"/>
  <c r="H1502" i="5"/>
  <c r="H1503" i="5"/>
  <c r="H1504" i="5"/>
  <c r="H1505" i="5"/>
  <c r="H1506" i="5"/>
  <c r="H1507" i="5"/>
  <c r="H1508" i="5"/>
  <c r="H1509" i="5"/>
  <c r="H1510" i="5"/>
  <c r="H1511" i="5"/>
  <c r="H1512" i="5"/>
  <c r="H1513" i="5"/>
  <c r="H1514" i="5"/>
  <c r="H1515" i="5"/>
  <c r="H1516" i="5"/>
  <c r="H1517" i="5"/>
  <c r="H1518" i="5"/>
  <c r="H1519" i="5"/>
  <c r="H1520" i="5"/>
  <c r="H1521" i="5"/>
  <c r="H1522" i="5"/>
  <c r="H1523" i="5"/>
  <c r="H1524" i="5"/>
  <c r="H1525" i="5"/>
  <c r="H1526" i="5"/>
  <c r="H1527" i="5"/>
  <c r="H1528" i="5"/>
  <c r="H1529" i="5"/>
  <c r="H1530" i="5"/>
  <c r="H1531" i="5"/>
  <c r="H1532" i="5"/>
  <c r="H1533" i="5"/>
  <c r="H1534" i="5"/>
  <c r="H1535" i="5"/>
  <c r="H1536" i="5"/>
  <c r="H1537" i="5"/>
  <c r="H1538" i="5"/>
  <c r="H1539" i="5"/>
  <c r="H1540" i="5"/>
  <c r="H1541" i="5"/>
  <c r="H1542" i="5"/>
  <c r="H1543" i="5"/>
  <c r="H1544" i="5"/>
  <c r="H1545" i="5"/>
  <c r="H1546" i="5"/>
  <c r="H1547" i="5"/>
  <c r="H1548" i="5"/>
  <c r="H1549" i="5"/>
  <c r="H1550" i="5"/>
  <c r="H1551" i="5"/>
  <c r="H1552" i="5"/>
  <c r="H1553" i="5"/>
  <c r="H1554" i="5"/>
  <c r="H1555" i="5"/>
  <c r="H1556" i="5"/>
  <c r="H1557" i="5"/>
  <c r="H1558" i="5"/>
  <c r="H1559" i="5"/>
  <c r="H1560" i="5"/>
  <c r="H1561" i="5"/>
  <c r="H1562" i="5"/>
  <c r="H1563" i="5"/>
  <c r="H1564" i="5"/>
  <c r="H1565" i="5"/>
  <c r="H1566" i="5"/>
  <c r="H1567" i="5"/>
  <c r="H1568" i="5"/>
  <c r="H1569" i="5"/>
  <c r="H1570" i="5"/>
  <c r="H1571" i="5"/>
  <c r="H1572" i="5"/>
  <c r="H1573" i="5"/>
  <c r="H1574" i="5"/>
  <c r="H1575" i="5"/>
  <c r="H1576" i="5"/>
  <c r="H1577" i="5"/>
  <c r="H1578" i="5"/>
  <c r="H1579" i="5"/>
  <c r="H1580" i="5"/>
  <c r="H1581" i="5"/>
  <c r="H1582" i="5"/>
  <c r="H1583" i="5"/>
  <c r="H1584" i="5"/>
  <c r="H1585" i="5"/>
  <c r="H1586" i="5"/>
  <c r="H1587" i="5"/>
  <c r="H1588" i="5"/>
  <c r="H1589" i="5"/>
  <c r="H1590" i="5"/>
  <c r="H1591" i="5"/>
  <c r="H1592" i="5"/>
  <c r="H1593" i="5"/>
  <c r="H1594" i="5"/>
  <c r="H1595" i="5"/>
  <c r="H1596" i="5"/>
  <c r="H1597" i="5"/>
  <c r="H1598" i="5"/>
  <c r="H1599" i="5"/>
  <c r="H1600" i="5"/>
  <c r="H1601" i="5"/>
  <c r="H1602" i="5"/>
  <c r="H1603" i="5"/>
  <c r="H1604" i="5"/>
  <c r="H1605" i="5"/>
  <c r="H1606" i="5"/>
  <c r="H1607" i="5"/>
  <c r="H1608" i="5"/>
  <c r="H1609" i="5"/>
  <c r="H1610" i="5"/>
  <c r="H1611" i="5"/>
  <c r="H1612" i="5"/>
  <c r="H1613" i="5"/>
  <c r="H1614" i="5"/>
  <c r="H1615" i="5"/>
  <c r="H1616" i="5"/>
  <c r="H1617" i="5"/>
  <c r="H1618" i="5"/>
  <c r="H1619" i="5"/>
  <c r="H1620" i="5"/>
  <c r="H1621" i="5"/>
  <c r="H1622" i="5"/>
  <c r="H1623" i="5"/>
  <c r="H1624" i="5"/>
  <c r="H1625" i="5"/>
  <c r="H1626" i="5"/>
  <c r="H1627" i="5"/>
  <c r="H1628" i="5"/>
  <c r="H1629" i="5"/>
  <c r="H1630" i="5"/>
  <c r="H1631" i="5"/>
  <c r="H1632" i="5"/>
  <c r="H1633" i="5"/>
  <c r="H1634" i="5"/>
  <c r="H1635" i="5"/>
  <c r="H1636" i="5"/>
  <c r="H1637" i="5"/>
  <c r="H1638" i="5"/>
  <c r="H1639" i="5"/>
  <c r="H1640" i="5"/>
  <c r="H1641" i="5"/>
  <c r="H1642" i="5"/>
  <c r="H1643" i="5"/>
  <c r="H1644" i="5"/>
  <c r="H1645" i="5"/>
  <c r="H1646" i="5"/>
  <c r="H1647" i="5"/>
  <c r="H1648" i="5"/>
  <c r="H1649" i="5"/>
  <c r="H1650" i="5"/>
  <c r="H1651" i="5"/>
  <c r="H1652" i="5"/>
  <c r="H1653" i="5"/>
  <c r="H1654" i="5"/>
  <c r="H1655" i="5"/>
  <c r="H1656" i="5"/>
  <c r="H1657" i="5"/>
  <c r="H1658" i="5"/>
  <c r="H1659" i="5"/>
  <c r="H1660" i="5"/>
  <c r="H1661" i="5"/>
  <c r="H1662" i="5"/>
  <c r="H1663" i="5"/>
  <c r="H1664" i="5"/>
  <c r="H1665" i="5"/>
  <c r="H1666" i="5"/>
  <c r="H1667" i="5"/>
  <c r="H1668" i="5"/>
  <c r="H1669" i="5"/>
  <c r="H1670" i="5"/>
  <c r="H1671" i="5"/>
  <c r="H1672" i="5"/>
  <c r="H1673" i="5"/>
  <c r="H1674" i="5"/>
  <c r="H1675" i="5"/>
  <c r="H1676" i="5"/>
  <c r="H1677" i="5"/>
  <c r="H1678" i="5"/>
  <c r="H1679" i="5"/>
  <c r="H1680" i="5"/>
  <c r="H1681" i="5"/>
  <c r="H1682" i="5"/>
  <c r="H1683" i="5"/>
  <c r="H1684" i="5"/>
  <c r="H1685" i="5"/>
  <c r="H1686" i="5"/>
  <c r="H1687" i="5"/>
  <c r="H1688" i="5"/>
  <c r="H1689" i="5"/>
  <c r="H1690" i="5"/>
  <c r="H1691" i="5"/>
  <c r="H1692" i="5"/>
  <c r="H1693" i="5"/>
  <c r="H1694" i="5"/>
  <c r="H1695" i="5"/>
  <c r="H1696" i="5"/>
  <c r="H1697" i="5"/>
  <c r="H1698" i="5"/>
  <c r="H1699" i="5"/>
  <c r="H1700" i="5"/>
  <c r="H1701" i="5"/>
  <c r="H1702" i="5"/>
  <c r="H1703" i="5"/>
  <c r="H1704" i="5"/>
  <c r="H1705" i="5"/>
  <c r="H1706" i="5"/>
  <c r="H1707" i="5"/>
  <c r="H1708" i="5"/>
  <c r="H1709" i="5"/>
  <c r="H1710" i="5"/>
  <c r="H1711" i="5"/>
  <c r="H1712" i="5"/>
  <c r="H1713" i="5"/>
  <c r="H1714" i="5"/>
  <c r="H1715" i="5"/>
  <c r="H1716" i="5"/>
  <c r="H1717" i="5"/>
  <c r="H1718" i="5"/>
  <c r="H1719" i="5"/>
  <c r="H1720" i="5"/>
  <c r="H1721" i="5"/>
  <c r="H1722" i="5"/>
  <c r="H1723" i="5"/>
  <c r="H1724" i="5"/>
  <c r="H1725" i="5"/>
  <c r="H1726" i="5"/>
  <c r="H1727" i="5"/>
  <c r="H1728" i="5"/>
  <c r="H1729" i="5"/>
  <c r="H1730" i="5"/>
  <c r="H1731" i="5"/>
  <c r="H1732" i="5"/>
  <c r="H1733" i="5"/>
  <c r="H1734" i="5"/>
  <c r="H1735" i="5"/>
  <c r="H1736" i="5"/>
  <c r="H1737" i="5"/>
  <c r="H1738" i="5"/>
  <c r="H1739" i="5"/>
  <c r="H1740" i="5"/>
  <c r="H1741" i="5"/>
  <c r="H1742" i="5"/>
  <c r="H1743" i="5"/>
  <c r="H1744" i="5"/>
  <c r="H1745" i="5"/>
  <c r="H1746" i="5"/>
  <c r="H1747" i="5"/>
  <c r="H1748" i="5"/>
  <c r="H1749" i="5"/>
  <c r="H1750" i="5"/>
  <c r="H1751" i="5"/>
  <c r="H1752" i="5"/>
  <c r="H1753" i="5"/>
  <c r="H1754" i="5"/>
  <c r="H1755" i="5"/>
  <c r="H1756" i="5"/>
  <c r="H1757" i="5"/>
  <c r="H1758" i="5"/>
  <c r="H1759" i="5"/>
  <c r="H1760" i="5"/>
  <c r="H1761" i="5"/>
  <c r="H1762" i="5"/>
  <c r="H1763" i="5"/>
  <c r="H1764" i="5"/>
  <c r="H1765" i="5"/>
  <c r="H1766" i="5"/>
  <c r="H1767" i="5"/>
  <c r="H1768" i="5"/>
  <c r="H1769" i="5"/>
  <c r="H1770" i="5"/>
  <c r="H1771" i="5"/>
  <c r="H1772" i="5"/>
  <c r="H1773" i="5"/>
  <c r="H1774" i="5"/>
  <c r="H1775" i="5"/>
  <c r="H1776" i="5"/>
  <c r="H1777" i="5"/>
  <c r="H1778" i="5"/>
  <c r="H1779" i="5"/>
  <c r="H1780" i="5"/>
  <c r="H1781" i="5"/>
  <c r="H1782" i="5"/>
  <c r="H1783" i="5"/>
  <c r="H1784" i="5"/>
  <c r="H1785" i="5"/>
  <c r="H1786" i="5"/>
  <c r="H1787" i="5"/>
  <c r="H1788" i="5"/>
  <c r="H1789" i="5"/>
  <c r="H1790" i="5"/>
  <c r="H1791" i="5"/>
  <c r="H1792" i="5"/>
  <c r="H1793" i="5"/>
  <c r="H1794" i="5"/>
  <c r="H1795" i="5"/>
  <c r="H1796" i="5"/>
  <c r="H1797" i="5"/>
  <c r="H1798" i="5"/>
  <c r="H1799" i="5"/>
  <c r="H1800" i="5"/>
  <c r="H1801" i="5"/>
  <c r="H1802" i="5"/>
  <c r="H1803" i="5"/>
  <c r="H1804" i="5"/>
  <c r="H1805" i="5"/>
  <c r="H1806" i="5"/>
  <c r="H1807" i="5"/>
  <c r="H1808" i="5"/>
  <c r="H1809" i="5"/>
  <c r="H1810" i="5"/>
  <c r="H1811" i="5"/>
  <c r="H1812" i="5"/>
  <c r="H1813" i="5"/>
  <c r="H1814" i="5"/>
  <c r="H1815" i="5"/>
  <c r="H1816" i="5"/>
  <c r="H1817" i="5"/>
  <c r="H1818" i="5"/>
  <c r="H1819" i="5"/>
  <c r="H1820" i="5"/>
  <c r="H1821" i="5"/>
  <c r="H1822" i="5"/>
  <c r="H1823" i="5"/>
  <c r="H1824" i="5"/>
  <c r="H1825" i="5"/>
  <c r="H1826" i="5"/>
  <c r="H1827" i="5"/>
  <c r="H1828" i="5"/>
  <c r="H1829" i="5"/>
  <c r="H1830" i="5"/>
  <c r="H1831" i="5"/>
  <c r="H1832" i="5"/>
  <c r="H1833" i="5"/>
  <c r="H1834" i="5"/>
  <c r="H1835" i="5"/>
  <c r="H1836" i="5"/>
  <c r="H1837" i="5"/>
  <c r="H1838" i="5"/>
  <c r="H1839" i="5"/>
  <c r="H1840" i="5"/>
  <c r="H1841" i="5"/>
  <c r="H1842" i="5"/>
  <c r="H1843" i="5"/>
  <c r="H1844" i="5"/>
  <c r="H1845" i="5"/>
  <c r="H1846" i="5"/>
  <c r="H1847" i="5"/>
  <c r="H1848" i="5"/>
  <c r="H1849" i="5"/>
  <c r="H1850" i="5"/>
  <c r="H1851" i="5"/>
  <c r="H1852" i="5"/>
  <c r="H1853" i="5"/>
  <c r="H1854" i="5"/>
  <c r="H1855" i="5"/>
  <c r="H1856" i="5"/>
  <c r="H1857" i="5"/>
  <c r="H1858" i="5"/>
  <c r="H1859" i="5"/>
  <c r="H1860" i="5"/>
  <c r="H1861" i="5"/>
  <c r="H1862" i="5"/>
  <c r="H1863" i="5"/>
  <c r="H1864" i="5"/>
  <c r="H1865" i="5"/>
  <c r="H1866" i="5"/>
  <c r="H1867" i="5"/>
  <c r="H1868" i="5"/>
  <c r="H1869" i="5"/>
  <c r="H1870" i="5"/>
  <c r="H1871" i="5"/>
  <c r="H1872" i="5"/>
  <c r="H1873" i="5"/>
  <c r="H1874" i="5"/>
  <c r="H1875" i="5"/>
  <c r="H1876" i="5"/>
  <c r="H1877" i="5"/>
  <c r="H1878" i="5"/>
  <c r="H1879" i="5"/>
  <c r="H1880" i="5"/>
  <c r="H1881" i="5"/>
  <c r="H1882" i="5"/>
  <c r="H1883" i="5"/>
  <c r="H1884" i="5"/>
  <c r="H1885" i="5"/>
  <c r="H1886" i="5"/>
  <c r="H1887" i="5"/>
  <c r="H1888" i="5"/>
  <c r="H1889" i="5"/>
  <c r="H1890" i="5"/>
  <c r="H1891" i="5"/>
  <c r="H1892" i="5"/>
  <c r="H1893" i="5"/>
  <c r="H1894" i="5"/>
  <c r="H1895" i="5"/>
  <c r="H1896" i="5"/>
  <c r="H1897" i="5"/>
  <c r="H1898" i="5"/>
  <c r="H1899" i="5"/>
  <c r="H1900" i="5"/>
  <c r="H1901" i="5"/>
  <c r="H1902" i="5"/>
  <c r="H1903" i="5"/>
  <c r="H1904" i="5"/>
  <c r="H1905" i="5"/>
  <c r="H1906" i="5"/>
  <c r="H1907" i="5"/>
  <c r="H1908" i="5"/>
  <c r="H1909" i="5"/>
  <c r="H1910" i="5"/>
  <c r="H1911" i="5"/>
  <c r="H1912" i="5"/>
  <c r="H1913" i="5"/>
  <c r="H1914" i="5"/>
  <c r="H1915" i="5"/>
  <c r="H1916" i="5"/>
  <c r="H1917" i="5"/>
  <c r="H1918" i="5"/>
  <c r="H1919" i="5"/>
  <c r="H1920" i="5"/>
  <c r="H1921" i="5"/>
  <c r="H1922" i="5"/>
  <c r="H1923" i="5"/>
  <c r="H1924" i="5"/>
  <c r="H1925" i="5"/>
  <c r="H1926" i="5"/>
  <c r="H1927" i="5"/>
  <c r="H1928" i="5"/>
  <c r="H1929" i="5"/>
  <c r="H1930" i="5"/>
  <c r="H1931" i="5"/>
  <c r="H1932" i="5"/>
  <c r="H1933" i="5"/>
  <c r="H1934" i="5"/>
  <c r="H1935" i="5"/>
  <c r="H1936" i="5"/>
  <c r="H1937" i="5"/>
  <c r="H1938" i="5"/>
  <c r="H1939" i="5"/>
  <c r="H1940" i="5"/>
  <c r="H1941" i="5"/>
  <c r="H1942" i="5"/>
  <c r="H1943" i="5"/>
  <c r="H1944" i="5"/>
  <c r="H1945" i="5"/>
  <c r="H1946" i="5"/>
  <c r="H1947" i="5"/>
  <c r="H1948" i="5"/>
  <c r="H1949" i="5"/>
  <c r="H1950" i="5"/>
  <c r="H1951" i="5"/>
  <c r="H1952" i="5"/>
  <c r="H1953" i="5"/>
  <c r="H1954" i="5"/>
  <c r="H1955" i="5"/>
  <c r="H1956" i="5"/>
  <c r="H1957" i="5"/>
  <c r="H1958" i="5"/>
  <c r="H1959" i="5"/>
  <c r="H1960" i="5"/>
  <c r="H1961" i="5"/>
  <c r="H1962" i="5"/>
  <c r="H1963" i="5"/>
  <c r="H1964" i="5"/>
  <c r="H1965" i="5"/>
  <c r="H1966" i="5"/>
  <c r="H1967" i="5"/>
  <c r="H1968" i="5"/>
  <c r="H1969" i="5"/>
  <c r="H1970" i="5"/>
  <c r="H1971" i="5"/>
  <c r="H1972" i="5"/>
  <c r="H1973" i="5"/>
  <c r="H1974" i="5"/>
  <c r="H1975" i="5"/>
  <c r="H1976" i="5"/>
  <c r="H1977" i="5"/>
  <c r="H1978" i="5"/>
  <c r="H1979" i="5"/>
  <c r="H1980" i="5"/>
  <c r="H1981" i="5"/>
  <c r="H1982" i="5"/>
  <c r="H1983" i="5"/>
  <c r="H1984" i="5"/>
  <c r="H1985" i="5"/>
  <c r="H1986" i="5"/>
  <c r="H1987" i="5"/>
  <c r="H1988" i="5"/>
  <c r="H1989" i="5"/>
  <c r="H1990" i="5"/>
  <c r="H1991" i="5"/>
  <c r="H1992" i="5"/>
  <c r="H1993" i="5"/>
  <c r="H1994" i="5"/>
  <c r="H1995" i="5"/>
  <c r="H1996" i="5"/>
  <c r="H1997" i="5"/>
  <c r="H1998" i="5"/>
  <c r="H1999" i="5"/>
  <c r="H2000" i="5"/>
  <c r="H2001" i="5"/>
  <c r="H2002" i="5"/>
  <c r="H2003" i="5"/>
  <c r="H2004" i="5"/>
  <c r="H2005" i="5"/>
  <c r="H2006" i="5"/>
  <c r="H2007" i="5"/>
  <c r="H2008" i="5"/>
  <c r="H2009" i="5"/>
  <c r="H2010" i="5"/>
  <c r="H2011" i="5"/>
  <c r="H2012" i="5"/>
  <c r="H2013" i="5"/>
  <c r="H2014" i="5"/>
  <c r="H2015" i="5"/>
  <c r="H2016" i="5"/>
  <c r="H2017" i="5"/>
  <c r="H2018" i="5"/>
  <c r="H2019" i="5"/>
  <c r="H2020" i="5"/>
  <c r="H2021" i="5"/>
  <c r="H2022" i="5"/>
  <c r="H2023" i="5"/>
  <c r="H2024" i="5"/>
  <c r="H2025" i="5"/>
  <c r="H2026" i="5"/>
  <c r="H2027" i="5"/>
  <c r="H2028" i="5"/>
  <c r="H2029" i="5"/>
  <c r="H2030" i="5"/>
  <c r="H2031" i="5"/>
  <c r="H2032" i="5"/>
  <c r="H2033" i="5"/>
  <c r="H2034" i="5"/>
  <c r="H2035" i="5"/>
  <c r="H2036" i="5"/>
  <c r="H2037" i="5"/>
  <c r="H2038" i="5"/>
  <c r="H2039" i="5"/>
  <c r="H2040" i="5"/>
  <c r="H2041" i="5"/>
  <c r="H2042" i="5"/>
  <c r="H2043" i="5"/>
  <c r="H2044" i="5"/>
  <c r="H2045" i="5"/>
  <c r="H2046" i="5"/>
  <c r="H2047" i="5"/>
  <c r="H2048" i="5"/>
  <c r="H2049" i="5"/>
  <c r="H2050" i="5"/>
  <c r="H2051" i="5"/>
  <c r="H2052" i="5"/>
  <c r="H2053" i="5"/>
  <c r="H2054" i="5"/>
  <c r="H2055" i="5"/>
  <c r="H2056" i="5"/>
  <c r="H2057" i="5"/>
  <c r="H2058" i="5"/>
  <c r="H2059" i="5"/>
  <c r="H2060" i="5"/>
  <c r="H2061" i="5"/>
  <c r="H2062" i="5"/>
  <c r="H2063" i="5"/>
  <c r="H2064" i="5"/>
  <c r="H2065" i="5"/>
  <c r="H2066" i="5"/>
  <c r="H2067" i="5"/>
  <c r="H2068" i="5"/>
  <c r="H2069" i="5"/>
  <c r="H2070" i="5"/>
  <c r="H2071" i="5"/>
  <c r="H2072" i="5"/>
  <c r="H2073" i="5"/>
  <c r="H2074" i="5"/>
  <c r="H2075" i="5"/>
  <c r="H2076" i="5"/>
  <c r="H2077" i="5"/>
  <c r="H2078" i="5"/>
  <c r="H2079" i="5"/>
  <c r="H2080" i="5"/>
  <c r="H2081" i="5"/>
  <c r="H2082" i="5"/>
  <c r="H2083" i="5"/>
  <c r="H2084" i="5"/>
  <c r="H2085" i="5"/>
  <c r="H2086" i="5"/>
  <c r="H2087" i="5"/>
  <c r="H2088" i="5"/>
  <c r="H2089" i="5"/>
  <c r="H2090" i="5"/>
  <c r="H2091" i="5"/>
  <c r="H2092" i="5"/>
  <c r="H2093" i="5"/>
  <c r="H2094" i="5"/>
  <c r="H2095" i="5"/>
  <c r="H2096" i="5"/>
  <c r="H2097" i="5"/>
  <c r="H2098" i="5"/>
  <c r="H2099" i="5"/>
  <c r="H2100" i="5"/>
  <c r="H2101" i="5"/>
  <c r="H2102" i="5"/>
  <c r="H2103" i="5"/>
  <c r="H2104" i="5"/>
  <c r="H2105" i="5"/>
  <c r="H2106" i="5"/>
  <c r="H2107" i="5"/>
  <c r="H2108" i="5"/>
  <c r="H2109" i="5"/>
  <c r="H2110" i="5"/>
  <c r="H2111" i="5"/>
  <c r="H2112" i="5"/>
  <c r="H2113" i="5"/>
  <c r="H2114" i="5"/>
  <c r="H2115" i="5"/>
  <c r="H2116" i="5"/>
  <c r="H2117" i="5"/>
  <c r="H2118" i="5"/>
  <c r="H2119" i="5"/>
  <c r="H2120" i="5"/>
  <c r="H2121" i="5"/>
  <c r="H2122" i="5"/>
  <c r="H2123" i="5"/>
  <c r="H2124" i="5"/>
  <c r="H2125" i="5"/>
  <c r="H2126" i="5"/>
  <c r="H2127" i="5"/>
  <c r="H2128" i="5"/>
  <c r="H2129" i="5"/>
  <c r="H2130" i="5"/>
  <c r="H2131" i="5"/>
  <c r="H2132" i="5"/>
  <c r="H2133" i="5"/>
  <c r="H2134" i="5"/>
  <c r="H2135" i="5"/>
  <c r="H2136" i="5"/>
  <c r="H2137" i="5"/>
  <c r="H2138" i="5"/>
  <c r="H2139" i="5"/>
  <c r="H2140" i="5"/>
  <c r="H2141" i="5"/>
  <c r="H2142" i="5"/>
  <c r="H2143" i="5"/>
  <c r="H2144" i="5"/>
  <c r="H2145" i="5"/>
  <c r="H2146" i="5"/>
  <c r="H2147" i="5"/>
  <c r="H2148" i="5"/>
  <c r="H2149" i="5"/>
  <c r="H2150" i="5"/>
  <c r="H2151" i="5"/>
  <c r="H2152" i="5"/>
  <c r="H2153" i="5"/>
  <c r="H2154" i="5"/>
  <c r="H2155" i="5"/>
  <c r="H2156" i="5"/>
  <c r="H2157" i="5"/>
  <c r="H2158" i="5"/>
  <c r="H2159" i="5"/>
  <c r="H2160" i="5"/>
  <c r="H2161" i="5"/>
  <c r="H2162" i="5"/>
  <c r="H2163" i="5"/>
  <c r="H2164" i="5"/>
  <c r="H2165" i="5"/>
  <c r="H2166" i="5"/>
  <c r="H2167" i="5"/>
  <c r="H2168" i="5"/>
  <c r="H2169" i="5"/>
  <c r="H2170" i="5"/>
  <c r="H2171" i="5"/>
  <c r="H2172" i="5"/>
  <c r="H2173" i="5"/>
  <c r="H2174" i="5"/>
  <c r="H2175" i="5"/>
  <c r="H2176" i="5"/>
  <c r="H2177" i="5"/>
  <c r="H2178" i="5"/>
  <c r="H2179" i="5"/>
  <c r="H2180" i="5"/>
  <c r="H2181" i="5"/>
  <c r="H2182" i="5"/>
  <c r="H2183" i="5"/>
  <c r="H2184" i="5"/>
  <c r="H2185" i="5"/>
  <c r="H2186" i="5"/>
  <c r="H2187" i="5"/>
  <c r="H2188" i="5"/>
  <c r="H2189" i="5"/>
  <c r="H2190" i="5"/>
  <c r="H2191" i="5"/>
  <c r="H2192" i="5"/>
  <c r="H2193" i="5"/>
  <c r="H2194" i="5"/>
  <c r="H2195" i="5"/>
  <c r="H2196" i="5"/>
  <c r="H2197" i="5"/>
  <c r="H2198" i="5"/>
  <c r="H2199" i="5"/>
  <c r="H2200" i="5"/>
  <c r="H2201" i="5"/>
  <c r="H2202" i="5"/>
  <c r="H2203" i="5"/>
  <c r="H2204" i="5"/>
  <c r="H2205" i="5"/>
  <c r="H2206" i="5"/>
  <c r="H2207" i="5"/>
  <c r="H2208" i="5"/>
  <c r="H2209" i="5"/>
  <c r="H2210" i="5"/>
  <c r="H2211" i="5"/>
  <c r="H2212" i="5"/>
  <c r="H2213" i="5"/>
  <c r="H2214" i="5"/>
  <c r="H2215" i="5"/>
  <c r="H2216" i="5"/>
  <c r="H2217" i="5"/>
  <c r="H2218" i="5"/>
  <c r="H2219" i="5"/>
  <c r="H2220" i="5"/>
  <c r="H2221" i="5"/>
  <c r="H2222" i="5"/>
  <c r="H2223" i="5"/>
  <c r="H2224" i="5"/>
  <c r="H2225" i="5"/>
  <c r="H2226" i="5"/>
  <c r="H2227" i="5"/>
  <c r="H2228" i="5"/>
  <c r="H2229" i="5"/>
  <c r="H2230" i="5"/>
  <c r="H2231" i="5"/>
  <c r="H2232" i="5"/>
  <c r="H2233" i="5"/>
  <c r="H2234" i="5"/>
  <c r="H2235" i="5"/>
  <c r="H2236" i="5"/>
  <c r="H2237" i="5"/>
  <c r="H2238" i="5"/>
  <c r="H2239" i="5"/>
  <c r="H2240" i="5"/>
  <c r="H2241" i="5"/>
  <c r="H2242" i="5"/>
  <c r="H2243" i="5"/>
  <c r="H2244" i="5"/>
  <c r="H2245" i="5"/>
  <c r="H2246" i="5"/>
  <c r="H2247" i="5"/>
  <c r="H2248" i="5"/>
  <c r="H2249" i="5"/>
  <c r="H2250" i="5"/>
  <c r="H2251" i="5"/>
  <c r="H2252" i="5"/>
  <c r="H2253" i="5"/>
  <c r="H2254" i="5"/>
  <c r="H2255" i="5"/>
  <c r="H2256" i="5"/>
  <c r="H2257" i="5"/>
  <c r="H2258" i="5"/>
  <c r="H2259" i="5"/>
  <c r="H2260" i="5"/>
  <c r="H2261" i="5"/>
  <c r="H2262" i="5"/>
  <c r="H2263" i="5"/>
  <c r="H2264" i="5"/>
  <c r="H2265" i="5"/>
  <c r="H2266" i="5"/>
  <c r="H2267" i="5"/>
  <c r="H2268" i="5"/>
  <c r="H2269" i="5"/>
  <c r="H2270" i="5"/>
  <c r="H2271" i="5"/>
  <c r="H2272" i="5"/>
  <c r="H2273" i="5"/>
  <c r="H2274" i="5"/>
  <c r="H2275" i="5"/>
  <c r="H2276" i="5"/>
  <c r="H2277" i="5"/>
  <c r="H2278" i="5"/>
  <c r="H2279" i="5"/>
  <c r="H2280" i="5"/>
  <c r="H2281" i="5"/>
  <c r="H2282" i="5"/>
  <c r="H2283" i="5"/>
  <c r="H2284" i="5"/>
  <c r="H2285" i="5"/>
  <c r="H2286" i="5"/>
  <c r="H2287" i="5"/>
  <c r="H2288" i="5"/>
  <c r="H2289" i="5"/>
  <c r="H2290" i="5"/>
  <c r="H2291" i="5"/>
  <c r="H2292" i="5"/>
  <c r="H2293" i="5"/>
  <c r="H2294" i="5"/>
  <c r="H2295" i="5"/>
  <c r="H2296" i="5"/>
  <c r="H2297" i="5"/>
  <c r="H2298" i="5"/>
  <c r="H2299" i="5"/>
  <c r="H2300" i="5"/>
  <c r="H2301" i="5"/>
  <c r="H2302" i="5"/>
  <c r="H2303" i="5"/>
  <c r="H2304" i="5"/>
  <c r="H2305" i="5"/>
  <c r="H2306" i="5"/>
  <c r="H2307" i="5"/>
  <c r="H2308" i="5"/>
  <c r="H2309" i="5"/>
  <c r="H2310" i="5"/>
  <c r="H2311" i="5"/>
  <c r="H2312" i="5"/>
  <c r="H2313" i="5"/>
  <c r="H2314" i="5"/>
  <c r="H2315" i="5"/>
  <c r="H2316" i="5"/>
  <c r="H2317" i="5"/>
  <c r="H2318" i="5"/>
  <c r="H2319" i="5"/>
  <c r="H2320" i="5"/>
  <c r="H2321" i="5"/>
  <c r="H2322" i="5"/>
  <c r="H2323" i="5"/>
  <c r="H2324" i="5"/>
  <c r="H2325" i="5"/>
  <c r="H2326" i="5"/>
  <c r="H2327" i="5"/>
  <c r="H2328" i="5"/>
  <c r="H2329" i="5"/>
  <c r="H2330" i="5"/>
  <c r="H2331" i="5"/>
  <c r="H2332" i="5"/>
  <c r="H2333" i="5"/>
  <c r="H2334" i="5"/>
  <c r="H2335" i="5"/>
  <c r="H2336" i="5"/>
  <c r="H2337" i="5"/>
  <c r="H2338" i="5"/>
  <c r="H2339" i="5"/>
  <c r="H2340" i="5"/>
  <c r="H2341" i="5"/>
  <c r="H2342" i="5"/>
  <c r="H2343" i="5"/>
  <c r="H2344" i="5"/>
  <c r="H2345" i="5"/>
  <c r="H2346" i="5"/>
  <c r="H2347" i="5"/>
  <c r="H2348" i="5"/>
  <c r="H2349" i="5"/>
  <c r="H2350" i="5"/>
  <c r="H2351" i="5"/>
  <c r="H2352" i="5"/>
  <c r="H2353" i="5"/>
  <c r="H2354" i="5"/>
  <c r="H2355" i="5"/>
  <c r="H2356" i="5"/>
  <c r="H2357" i="5"/>
  <c r="H2358" i="5"/>
  <c r="H2359" i="5"/>
  <c r="H2360" i="5"/>
  <c r="H2361" i="5"/>
  <c r="H2362" i="5"/>
  <c r="H2363" i="5"/>
  <c r="H2364" i="5"/>
  <c r="H2365" i="5"/>
  <c r="H2366" i="5"/>
  <c r="H2367" i="5"/>
  <c r="H2368" i="5"/>
  <c r="H2369" i="5"/>
  <c r="H2370" i="5"/>
  <c r="H2371" i="5"/>
  <c r="H2372" i="5"/>
  <c r="H2373" i="5"/>
  <c r="H2374" i="5"/>
  <c r="H2375" i="5"/>
  <c r="H2376" i="5"/>
  <c r="H2377" i="5"/>
  <c r="H2378" i="5"/>
  <c r="H2379" i="5"/>
  <c r="H2380" i="5"/>
  <c r="H2381" i="5"/>
  <c r="H2382" i="5"/>
  <c r="H2383" i="5"/>
  <c r="H2384" i="5"/>
  <c r="H2385" i="5"/>
  <c r="H2386" i="5"/>
  <c r="H2387" i="5"/>
  <c r="H2388" i="5"/>
  <c r="H2389" i="5"/>
  <c r="H2390" i="5"/>
  <c r="H2391" i="5"/>
  <c r="H2392" i="5"/>
  <c r="H2393" i="5"/>
  <c r="H2394" i="5"/>
  <c r="H2395" i="5"/>
  <c r="H2396" i="5"/>
  <c r="H2397" i="5"/>
  <c r="H2398" i="5"/>
  <c r="H2399" i="5"/>
  <c r="H2400" i="5"/>
  <c r="H2401" i="5"/>
  <c r="H2402" i="5"/>
  <c r="H2403" i="5"/>
  <c r="H2404" i="5"/>
  <c r="H2405" i="5"/>
  <c r="H2406" i="5"/>
  <c r="H2407" i="5"/>
  <c r="H2408" i="5"/>
  <c r="H2409" i="5"/>
  <c r="H2410" i="5"/>
  <c r="H2411" i="5"/>
  <c r="H2412" i="5"/>
  <c r="H2413" i="5"/>
  <c r="H2414" i="5"/>
  <c r="H2415" i="5"/>
  <c r="H2416" i="5"/>
  <c r="H2417" i="5"/>
  <c r="H2418" i="5"/>
  <c r="H2419" i="5"/>
  <c r="H2420" i="5"/>
  <c r="H2421" i="5"/>
  <c r="H2422" i="5"/>
  <c r="H2423" i="5"/>
  <c r="H2424" i="5"/>
  <c r="H2425" i="5"/>
  <c r="H2426" i="5"/>
  <c r="H2427" i="5"/>
  <c r="H2428" i="5"/>
  <c r="H2429" i="5"/>
  <c r="H2430" i="5"/>
  <c r="H2431" i="5"/>
  <c r="H2432" i="5"/>
  <c r="H2433" i="5"/>
  <c r="H2434" i="5"/>
  <c r="H2435" i="5"/>
  <c r="H2436" i="5"/>
  <c r="H2437" i="5"/>
  <c r="H2438" i="5"/>
  <c r="H2439" i="5"/>
  <c r="H2440" i="5"/>
  <c r="H2441" i="5"/>
  <c r="H2442" i="5"/>
  <c r="H2443" i="5"/>
  <c r="H2444" i="5"/>
  <c r="H2445" i="5"/>
  <c r="H2446" i="5"/>
  <c r="H2447" i="5"/>
  <c r="H2448" i="5"/>
  <c r="H2449" i="5"/>
  <c r="H2450" i="5"/>
  <c r="H2451" i="5"/>
  <c r="H2452" i="5"/>
  <c r="H2453" i="5"/>
  <c r="H2454" i="5"/>
  <c r="H2455" i="5"/>
  <c r="H2456" i="5"/>
  <c r="H2457" i="5"/>
  <c r="H2458" i="5"/>
  <c r="H2459" i="5"/>
  <c r="H2460" i="5"/>
  <c r="H2461" i="5"/>
  <c r="H2462" i="5"/>
  <c r="H2463" i="5"/>
  <c r="H2464" i="5"/>
  <c r="H2465" i="5"/>
  <c r="H2466" i="5"/>
  <c r="H2467" i="5"/>
  <c r="H2468" i="5"/>
  <c r="H2469" i="5"/>
  <c r="H2470" i="5"/>
  <c r="H2471" i="5"/>
  <c r="H2472" i="5"/>
  <c r="H2473" i="5"/>
  <c r="H2474" i="5"/>
  <c r="H2475" i="5"/>
  <c r="H2476" i="5"/>
  <c r="H2477" i="5"/>
  <c r="H2478" i="5"/>
  <c r="H2479" i="5"/>
  <c r="H2480" i="5"/>
  <c r="H2481" i="5"/>
  <c r="H2482" i="5"/>
  <c r="H2483" i="5"/>
  <c r="H2484" i="5"/>
  <c r="H2485" i="5"/>
  <c r="H2486" i="5"/>
  <c r="H2487" i="5"/>
  <c r="H2488" i="5"/>
  <c r="H2489" i="5"/>
  <c r="H2490" i="5"/>
  <c r="H2491" i="5"/>
  <c r="H2492" i="5"/>
  <c r="H2493" i="5"/>
  <c r="H2494" i="5"/>
  <c r="H2495" i="5"/>
  <c r="H2496" i="5"/>
  <c r="H2497" i="5"/>
  <c r="H2498" i="5"/>
  <c r="H2499" i="5"/>
  <c r="H2500" i="5"/>
  <c r="H2501" i="5"/>
  <c r="H2502" i="5"/>
  <c r="H2503" i="5"/>
  <c r="H2504" i="5"/>
  <c r="H2505" i="5"/>
  <c r="H2506" i="5"/>
  <c r="H2507" i="5"/>
  <c r="H2508" i="5"/>
  <c r="H2509" i="5"/>
  <c r="H2510" i="5"/>
  <c r="H2511" i="5"/>
  <c r="H2512" i="5"/>
  <c r="H2513" i="5"/>
  <c r="H2514" i="5"/>
  <c r="H2515" i="5"/>
  <c r="H2516" i="5"/>
  <c r="H2517" i="5"/>
  <c r="H2518" i="5"/>
  <c r="H2519" i="5"/>
  <c r="H2520" i="5"/>
  <c r="H2521" i="5"/>
  <c r="H2522" i="5"/>
  <c r="H2523" i="5"/>
  <c r="H2524" i="5"/>
  <c r="H2525" i="5"/>
  <c r="H2526" i="5"/>
  <c r="H2527" i="5"/>
  <c r="H2528" i="5"/>
  <c r="H2529" i="5"/>
  <c r="H2530" i="5"/>
  <c r="H2531" i="5"/>
  <c r="H2532" i="5"/>
  <c r="H2533" i="5"/>
  <c r="H2534" i="5"/>
  <c r="H2535" i="5"/>
  <c r="H2536" i="5"/>
  <c r="H2537" i="5"/>
  <c r="H2538" i="5"/>
  <c r="H2539" i="5"/>
  <c r="H2540" i="5"/>
  <c r="H2541" i="5"/>
  <c r="H2542" i="5"/>
  <c r="H2543" i="5"/>
  <c r="H2544" i="5"/>
  <c r="H2545" i="5"/>
  <c r="H2546" i="5"/>
  <c r="H2547" i="5"/>
  <c r="H2548" i="5"/>
  <c r="H2549" i="5"/>
  <c r="H2550" i="5"/>
  <c r="H2551" i="5"/>
  <c r="H2552" i="5"/>
  <c r="H2553" i="5"/>
  <c r="H2554" i="5"/>
  <c r="H2555" i="5"/>
  <c r="H2556" i="5"/>
  <c r="H2557" i="5"/>
  <c r="H2558" i="5"/>
  <c r="H2559" i="5"/>
  <c r="H2560" i="5"/>
  <c r="H2561" i="5"/>
  <c r="H2562" i="5"/>
  <c r="H2563" i="5"/>
  <c r="H2564" i="5"/>
  <c r="H2565" i="5"/>
  <c r="H2566" i="5"/>
  <c r="H2567" i="5"/>
  <c r="H2568" i="5"/>
  <c r="H2569" i="5"/>
  <c r="H2570" i="5"/>
  <c r="H2571" i="5"/>
  <c r="H2572" i="5"/>
  <c r="H2573" i="5"/>
  <c r="H2574" i="5"/>
  <c r="H2575" i="5"/>
  <c r="H2576" i="5"/>
  <c r="H2577" i="5"/>
  <c r="H2578" i="5"/>
  <c r="H2579" i="5"/>
  <c r="H2580" i="5"/>
  <c r="H2581" i="5"/>
  <c r="H2582" i="5"/>
  <c r="H2583" i="5"/>
  <c r="H2584" i="5"/>
  <c r="H2585" i="5"/>
  <c r="H2586" i="5"/>
  <c r="H2587" i="5"/>
  <c r="H2588" i="5"/>
  <c r="H2589" i="5"/>
  <c r="H2590" i="5"/>
  <c r="H2591" i="5"/>
  <c r="H2592" i="5"/>
  <c r="H2593" i="5"/>
  <c r="H2594" i="5"/>
  <c r="H2595" i="5"/>
  <c r="H2596" i="5"/>
  <c r="H2597" i="5"/>
  <c r="H2598" i="5"/>
  <c r="H2599" i="5"/>
  <c r="H2600" i="5"/>
  <c r="H2601" i="5"/>
  <c r="H2602" i="5"/>
  <c r="H2603" i="5"/>
  <c r="H2604" i="5"/>
  <c r="H2605" i="5"/>
  <c r="H2606" i="5"/>
  <c r="H2607" i="5"/>
  <c r="H2608" i="5"/>
  <c r="H2609" i="5"/>
  <c r="H2610" i="5"/>
  <c r="H2611" i="5"/>
  <c r="H2612" i="5"/>
  <c r="H2613" i="5"/>
  <c r="H2614" i="5"/>
  <c r="H2615" i="5"/>
  <c r="H2616" i="5"/>
  <c r="H2617" i="5"/>
  <c r="H2618" i="5"/>
  <c r="H2619" i="5"/>
  <c r="H2620" i="5"/>
  <c r="H2621" i="5"/>
  <c r="H2622" i="5"/>
  <c r="H2623" i="5"/>
  <c r="H2624" i="5"/>
  <c r="H2625" i="5"/>
  <c r="H2626" i="5"/>
  <c r="H2627" i="5"/>
  <c r="H2628" i="5"/>
  <c r="H2629" i="5"/>
  <c r="H2630" i="5"/>
  <c r="H2631" i="5"/>
  <c r="H2632" i="5"/>
  <c r="H2633" i="5"/>
  <c r="H2634" i="5"/>
  <c r="H2635" i="5"/>
  <c r="H2636" i="5"/>
  <c r="H2637" i="5"/>
  <c r="H2638" i="5"/>
  <c r="H2639" i="5"/>
  <c r="H2640" i="5"/>
  <c r="H2641" i="5"/>
  <c r="H2642" i="5"/>
  <c r="H2643" i="5"/>
  <c r="H2644" i="5"/>
  <c r="H2645" i="5"/>
  <c r="H2646" i="5"/>
  <c r="H2647" i="5"/>
  <c r="H2648" i="5"/>
  <c r="H2649" i="5"/>
  <c r="H2650" i="5"/>
  <c r="H2651" i="5"/>
  <c r="H2652" i="5"/>
  <c r="H2653" i="5"/>
  <c r="H2654" i="5"/>
  <c r="H2655" i="5"/>
  <c r="H2656" i="5"/>
  <c r="H2657" i="5"/>
  <c r="H2658" i="5"/>
  <c r="H2659" i="5"/>
  <c r="H2660" i="5"/>
  <c r="H2661" i="5"/>
  <c r="H2662" i="5"/>
  <c r="H2663" i="5"/>
  <c r="H2664" i="5"/>
  <c r="H2665" i="5"/>
  <c r="H2666" i="5"/>
  <c r="H2667" i="5"/>
  <c r="H2668" i="5"/>
  <c r="H2669" i="5"/>
  <c r="H2670" i="5"/>
  <c r="H2671" i="5"/>
  <c r="H2672" i="5"/>
  <c r="H2673" i="5"/>
  <c r="H2674" i="5"/>
  <c r="H2675" i="5"/>
  <c r="H2676" i="5"/>
  <c r="H2677" i="5"/>
  <c r="H2678" i="5"/>
  <c r="H2679" i="5"/>
  <c r="H2680" i="5"/>
  <c r="H2681" i="5"/>
  <c r="H2682" i="5"/>
  <c r="H2683" i="5"/>
  <c r="H2684" i="5"/>
  <c r="H2685" i="5"/>
  <c r="H2686" i="5"/>
  <c r="H2687" i="5"/>
  <c r="H2688" i="5"/>
  <c r="H2689" i="5"/>
  <c r="H2690" i="5"/>
  <c r="H2691" i="5"/>
  <c r="H2692" i="5"/>
  <c r="H2693" i="5"/>
  <c r="H2694" i="5"/>
  <c r="H2695" i="5"/>
  <c r="H2696" i="5"/>
  <c r="H2697" i="5"/>
  <c r="H2698" i="5"/>
  <c r="H2699" i="5"/>
  <c r="H2700" i="5"/>
  <c r="H2701" i="5"/>
  <c r="H2702" i="5"/>
  <c r="H2703" i="5"/>
  <c r="H2704" i="5"/>
  <c r="H2705" i="5"/>
  <c r="H2706" i="5"/>
  <c r="H2707" i="5"/>
  <c r="H2708" i="5"/>
  <c r="H2709" i="5"/>
  <c r="H2710" i="5"/>
  <c r="H2711" i="5"/>
  <c r="H2712" i="5"/>
  <c r="H2713" i="5"/>
  <c r="H2714" i="5"/>
  <c r="H2715" i="5"/>
  <c r="H2716" i="5"/>
  <c r="H2717" i="5"/>
  <c r="H2718" i="5"/>
  <c r="H2719" i="5"/>
  <c r="H2720" i="5"/>
  <c r="H2721" i="5"/>
  <c r="H2722" i="5"/>
  <c r="H2723" i="5"/>
  <c r="H2724" i="5"/>
  <c r="H2725" i="5"/>
  <c r="H2726" i="5"/>
  <c r="H2727" i="5"/>
  <c r="H2728" i="5"/>
  <c r="H2729" i="5"/>
  <c r="H2730" i="5"/>
  <c r="H2731" i="5"/>
  <c r="H2732" i="5"/>
  <c r="H2733" i="5"/>
  <c r="H2734" i="5"/>
  <c r="H2735" i="5"/>
  <c r="H2736" i="5"/>
  <c r="H2737" i="5"/>
  <c r="H2738" i="5"/>
  <c r="H2739" i="5"/>
  <c r="H2740" i="5"/>
  <c r="H2741" i="5"/>
  <c r="H2742" i="5"/>
  <c r="H2743" i="5"/>
  <c r="H2744" i="5"/>
  <c r="H2745" i="5"/>
  <c r="H2746" i="5"/>
  <c r="H2747" i="5"/>
  <c r="H2748" i="5"/>
  <c r="H2749" i="5"/>
  <c r="H2750" i="5"/>
  <c r="H2751" i="5"/>
  <c r="H2752" i="5"/>
  <c r="H2753" i="5"/>
  <c r="H2754" i="5"/>
  <c r="H2755" i="5"/>
  <c r="H2756" i="5"/>
  <c r="H2757" i="5"/>
  <c r="H2758" i="5"/>
  <c r="H2759" i="5"/>
  <c r="H2760" i="5"/>
  <c r="H2761" i="5"/>
  <c r="H2762" i="5"/>
  <c r="H2763" i="5"/>
  <c r="H2764" i="5"/>
  <c r="H2765" i="5"/>
  <c r="H2766" i="5"/>
  <c r="H2767" i="5"/>
  <c r="H2768" i="5"/>
  <c r="H2769" i="5"/>
  <c r="H2770" i="5"/>
  <c r="H2771" i="5"/>
  <c r="H2772" i="5"/>
  <c r="H2773" i="5"/>
  <c r="H2774" i="5"/>
  <c r="H2775" i="5"/>
  <c r="H2776" i="5"/>
  <c r="H2777" i="5"/>
  <c r="H2778" i="5"/>
  <c r="H2779" i="5"/>
  <c r="H2780" i="5"/>
  <c r="H2781" i="5"/>
  <c r="H2782" i="5"/>
  <c r="H2783" i="5"/>
  <c r="H2784" i="5"/>
  <c r="H2785" i="5"/>
  <c r="H2786" i="5"/>
  <c r="H2787" i="5"/>
  <c r="H2788" i="5"/>
  <c r="H2789" i="5"/>
  <c r="H2790" i="5"/>
  <c r="H2791" i="5"/>
  <c r="H2792" i="5"/>
  <c r="H2793" i="5"/>
  <c r="H2794" i="5"/>
  <c r="H2795" i="5"/>
  <c r="H2796" i="5"/>
  <c r="H2797" i="5"/>
  <c r="H2798" i="5"/>
  <c r="H2799" i="5"/>
  <c r="H2800" i="5"/>
  <c r="H2801" i="5"/>
  <c r="H2802" i="5"/>
  <c r="H2803" i="5"/>
  <c r="H2804" i="5"/>
  <c r="H2805" i="5"/>
  <c r="H2806" i="5"/>
  <c r="H2807" i="5"/>
  <c r="H2808" i="5"/>
  <c r="H2809" i="5"/>
  <c r="H2810" i="5"/>
  <c r="H2811" i="5"/>
  <c r="H2812" i="5"/>
  <c r="H2813" i="5"/>
  <c r="H2814" i="5"/>
  <c r="H2815" i="5"/>
  <c r="H2816" i="5"/>
  <c r="H2817" i="5"/>
  <c r="H2818" i="5"/>
  <c r="H2819" i="5"/>
  <c r="H2820" i="5"/>
  <c r="H2821" i="5"/>
  <c r="H2822" i="5"/>
  <c r="H2823" i="5"/>
  <c r="H2824" i="5"/>
  <c r="H2825" i="5"/>
  <c r="H2826" i="5"/>
  <c r="H2827" i="5"/>
  <c r="H2828" i="5"/>
  <c r="H2829" i="5"/>
  <c r="H2830" i="5"/>
  <c r="H2831" i="5"/>
  <c r="H2832" i="5"/>
  <c r="H2833" i="5"/>
  <c r="H2834" i="5"/>
  <c r="H2835" i="5"/>
  <c r="H2836" i="5"/>
  <c r="H2837" i="5"/>
  <c r="H2838" i="5"/>
  <c r="H2839" i="5"/>
  <c r="H2840" i="5"/>
  <c r="H2841" i="5"/>
  <c r="H2842" i="5"/>
  <c r="H2843" i="5"/>
  <c r="H2844" i="5"/>
  <c r="H2845" i="5"/>
  <c r="H2846" i="5"/>
  <c r="H2847" i="5"/>
  <c r="H2848" i="5"/>
  <c r="H2849" i="5"/>
  <c r="H2850" i="5"/>
  <c r="H2851" i="5"/>
  <c r="H2852" i="5"/>
  <c r="H2853" i="5"/>
  <c r="H2854" i="5"/>
  <c r="H2855" i="5"/>
  <c r="H2856" i="5"/>
  <c r="H2857" i="5"/>
  <c r="H2858" i="5"/>
  <c r="H2859" i="5"/>
  <c r="H2860" i="5"/>
  <c r="H2861" i="5"/>
  <c r="H2862" i="5"/>
  <c r="H2863" i="5"/>
  <c r="H2864" i="5"/>
  <c r="H2865" i="5"/>
  <c r="H2866" i="5"/>
  <c r="H2867" i="5"/>
  <c r="H2868" i="5"/>
  <c r="H2869" i="5"/>
  <c r="H2870" i="5"/>
  <c r="H2871" i="5"/>
  <c r="H2872" i="5"/>
  <c r="H2873" i="5"/>
  <c r="H2874" i="5"/>
  <c r="H2875" i="5"/>
  <c r="H2876" i="5"/>
  <c r="H2877" i="5"/>
  <c r="H2878" i="5"/>
  <c r="H2879" i="5"/>
  <c r="H2880" i="5"/>
  <c r="H2881" i="5"/>
  <c r="H2882" i="5"/>
  <c r="H2883" i="5"/>
  <c r="H2884" i="5"/>
  <c r="H2885" i="5"/>
  <c r="H2886" i="5"/>
  <c r="H2887" i="5"/>
  <c r="H2888" i="5"/>
  <c r="H2889" i="5"/>
  <c r="H2890" i="5"/>
  <c r="H2891" i="5"/>
  <c r="H2892" i="5"/>
  <c r="H2893" i="5"/>
  <c r="H2894" i="5"/>
  <c r="H2895" i="5"/>
  <c r="H2896" i="5"/>
  <c r="H2897" i="5"/>
  <c r="H2898" i="5"/>
  <c r="H2899" i="5"/>
  <c r="H2900" i="5"/>
  <c r="H2901" i="5"/>
  <c r="H2902" i="5"/>
  <c r="H2903" i="5"/>
  <c r="H2904" i="5"/>
  <c r="H2905" i="5"/>
  <c r="H2906" i="5"/>
  <c r="H2907" i="5"/>
  <c r="H2908" i="5"/>
  <c r="H2909" i="5"/>
  <c r="H2910" i="5"/>
  <c r="H2911" i="5"/>
  <c r="H2912" i="5"/>
  <c r="H2913" i="5"/>
  <c r="H2914" i="5"/>
  <c r="H2915" i="5"/>
  <c r="H2916" i="5"/>
  <c r="H2917" i="5"/>
  <c r="H2918" i="5"/>
  <c r="H2919" i="5"/>
  <c r="H2920" i="5"/>
  <c r="H2921" i="5"/>
  <c r="H2922" i="5"/>
  <c r="H2923" i="5"/>
  <c r="H2924" i="5"/>
  <c r="H2925" i="5"/>
  <c r="H2926" i="5"/>
  <c r="H3" i="5"/>
  <c r="E94" i="29" l="1"/>
  <c r="E93" i="29"/>
  <c r="E92" i="29"/>
  <c r="E91" i="29"/>
  <c r="E90" i="29"/>
  <c r="E89" i="29"/>
  <c r="E88" i="29"/>
  <c r="E87" i="29"/>
  <c r="E86" i="29"/>
  <c r="E85" i="29"/>
  <c r="E84" i="29"/>
  <c r="E83" i="29"/>
  <c r="E82" i="29"/>
  <c r="E81" i="29"/>
  <c r="E80" i="29"/>
  <c r="E79" i="29"/>
  <c r="E78" i="29"/>
  <c r="E77" i="29"/>
  <c r="E76" i="29"/>
  <c r="E75" i="29"/>
  <c r="E74" i="29"/>
  <c r="E73" i="29"/>
  <c r="E72" i="29"/>
  <c r="E71" i="29"/>
  <c r="E70" i="29"/>
  <c r="E69" i="29"/>
  <c r="E68" i="29"/>
  <c r="E67" i="29"/>
  <c r="E66" i="29"/>
  <c r="E65" i="29"/>
  <c r="E64" i="29"/>
  <c r="E63" i="29"/>
  <c r="E62" i="29"/>
  <c r="E61" i="29"/>
  <c r="E60" i="29"/>
  <c r="E59" i="29"/>
  <c r="E58" i="29"/>
  <c r="E57" i="29"/>
  <c r="E56" i="29"/>
  <c r="E55" i="29"/>
  <c r="E54" i="29"/>
  <c r="E53" i="29"/>
  <c r="E52" i="29"/>
  <c r="E51" i="29"/>
  <c r="E50" i="29"/>
  <c r="E49" i="29"/>
  <c r="E48" i="29"/>
  <c r="E47" i="29"/>
  <c r="E46" i="29"/>
  <c r="E45" i="29"/>
  <c r="E44" i="29"/>
  <c r="E43" i="29"/>
  <c r="E42" i="29"/>
  <c r="E41" i="29"/>
  <c r="E40" i="29"/>
  <c r="E39" i="29"/>
  <c r="E38" i="29"/>
  <c r="E37" i="29"/>
  <c r="E36" i="29"/>
  <c r="E35" i="29"/>
  <c r="E34" i="29"/>
  <c r="E33" i="29"/>
  <c r="E32" i="29"/>
  <c r="E31" i="29"/>
  <c r="E30" i="29"/>
  <c r="E29" i="29"/>
  <c r="E28" i="29"/>
  <c r="E27" i="29"/>
  <c r="E26" i="29"/>
  <c r="E25" i="29"/>
  <c r="E24" i="29"/>
  <c r="E23" i="29"/>
  <c r="E22" i="29"/>
  <c r="E21" i="29"/>
  <c r="E20" i="29"/>
  <c r="E19" i="29"/>
  <c r="E18" i="29"/>
  <c r="E17" i="29"/>
  <c r="E16" i="29"/>
  <c r="E15" i="29"/>
  <c r="E14" i="29"/>
  <c r="E13" i="29"/>
  <c r="E12" i="29"/>
  <c r="E11" i="29"/>
  <c r="E10" i="29"/>
  <c r="E9" i="29"/>
  <c r="E8" i="29"/>
  <c r="E7" i="29"/>
  <c r="E6" i="29"/>
  <c r="E5" i="29"/>
  <c r="E4" i="29"/>
  <c r="E3" i="29"/>
  <c r="O38" i="34" l="1"/>
  <c r="N38" i="34"/>
  <c r="M38" i="34"/>
  <c r="L38" i="34"/>
  <c r="K38" i="34"/>
  <c r="J38" i="34"/>
  <c r="I38" i="34"/>
  <c r="H38" i="34"/>
  <c r="G38" i="34"/>
  <c r="O37" i="34"/>
  <c r="N37" i="34"/>
  <c r="M37" i="34"/>
  <c r="L37" i="34"/>
  <c r="K37" i="34"/>
  <c r="J37" i="34"/>
  <c r="I37" i="34"/>
  <c r="H37" i="34"/>
  <c r="G37" i="34"/>
  <c r="O36" i="34"/>
  <c r="N36" i="34"/>
  <c r="M36" i="34"/>
  <c r="L36" i="34"/>
  <c r="K36" i="34"/>
  <c r="J36" i="34"/>
  <c r="I36" i="34"/>
  <c r="H36" i="34"/>
  <c r="G36" i="34"/>
  <c r="O35" i="34"/>
  <c r="N35" i="34"/>
  <c r="M35" i="34"/>
  <c r="L35" i="34"/>
  <c r="K35" i="34"/>
  <c r="J35" i="34"/>
  <c r="I35" i="34"/>
  <c r="H35" i="34"/>
  <c r="G35" i="34"/>
  <c r="O34" i="34"/>
  <c r="L34" i="34"/>
  <c r="K34" i="34"/>
  <c r="J34" i="34"/>
  <c r="H34" i="34"/>
  <c r="O33" i="34"/>
  <c r="L33" i="34"/>
  <c r="K33" i="34"/>
  <c r="J33" i="34"/>
  <c r="H33" i="34"/>
  <c r="O32" i="34"/>
  <c r="L32" i="34"/>
  <c r="K32" i="34"/>
  <c r="J32" i="34"/>
  <c r="H32" i="34"/>
  <c r="O31" i="34"/>
  <c r="L31" i="34"/>
  <c r="K31" i="34"/>
  <c r="J31" i="34"/>
  <c r="H31" i="34"/>
  <c r="O30" i="34"/>
  <c r="L30" i="34"/>
  <c r="K30" i="34"/>
  <c r="J30" i="34"/>
  <c r="H30" i="34"/>
  <c r="O29" i="34"/>
  <c r="L29" i="34"/>
  <c r="K29" i="34"/>
  <c r="J29" i="34"/>
  <c r="H29" i="34"/>
  <c r="O28" i="34"/>
  <c r="L28" i="34"/>
  <c r="K28" i="34"/>
  <c r="J28" i="34"/>
  <c r="H28" i="34"/>
  <c r="O27" i="34"/>
  <c r="L27" i="34"/>
  <c r="K27" i="34"/>
  <c r="J27" i="34"/>
  <c r="H27" i="34"/>
  <c r="L26" i="34"/>
  <c r="K26" i="34"/>
  <c r="J26" i="34"/>
  <c r="H26" i="34"/>
  <c r="L25" i="34"/>
  <c r="K25" i="34"/>
  <c r="J25" i="34"/>
  <c r="H25" i="34"/>
  <c r="L24" i="34"/>
  <c r="J24" i="34"/>
  <c r="H24" i="34"/>
  <c r="L23" i="34"/>
  <c r="J23" i="34"/>
  <c r="H23" i="34"/>
  <c r="L22" i="34"/>
  <c r="J22" i="34"/>
  <c r="H22" i="34"/>
  <c r="L21" i="34"/>
  <c r="J21" i="34"/>
  <c r="H21" i="34"/>
  <c r="L20" i="34"/>
  <c r="J20" i="34"/>
  <c r="H20" i="34"/>
  <c r="L19" i="34"/>
  <c r="J19" i="34"/>
  <c r="H19" i="34"/>
  <c r="F38" i="34" l="1"/>
  <c r="F37" i="34"/>
  <c r="F36" i="34"/>
  <c r="F35" i="34"/>
  <c r="E38" i="34"/>
  <c r="E37" i="34"/>
  <c r="E36" i="34"/>
  <c r="E35" i="34"/>
  <c r="E34" i="34"/>
  <c r="E33" i="34"/>
  <c r="E32" i="34"/>
  <c r="E31" i="34"/>
  <c r="E30" i="34"/>
  <c r="E29" i="34"/>
  <c r="E28" i="34"/>
  <c r="E27" i="34"/>
  <c r="E26" i="34"/>
  <c r="E25" i="34"/>
  <c r="E24" i="34"/>
  <c r="E23" i="34"/>
  <c r="E22" i="34"/>
  <c r="E21" i="34"/>
  <c r="E20" i="34"/>
  <c r="E19" i="34"/>
  <c r="B4" i="19" l="1"/>
  <c r="B5" i="19"/>
  <c r="B6" i="19"/>
  <c r="B7" i="19"/>
  <c r="B8" i="19"/>
  <c r="B9" i="19"/>
  <c r="B10" i="19"/>
  <c r="B3" i="1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manderscheid</author>
  </authors>
  <commentList>
    <comment ref="K164" authorId="0" shapeId="0" xr:uid="{00000000-0006-0000-0D00-000001000000}">
      <text>
        <r>
          <rPr>
            <b/>
            <sz val="10"/>
            <color indexed="81"/>
            <rFont val="Tahoma"/>
            <family val="2"/>
          </rPr>
          <t>manderscheid:</t>
        </r>
        <r>
          <rPr>
            <sz val="10"/>
            <color indexed="81"/>
            <rFont val="Tahoma"/>
            <family val="2"/>
          </rPr>
          <t xml:space="preserve">
start of CO2 enrichment</t>
        </r>
      </text>
    </comment>
    <comment ref="K232" authorId="0" shapeId="0" xr:uid="{00000000-0006-0000-0D00-000002000000}">
      <text>
        <r>
          <rPr>
            <b/>
            <sz val="10"/>
            <color indexed="81"/>
            <rFont val="Tahoma"/>
            <family val="2"/>
          </rPr>
          <t>manderscheid:</t>
        </r>
        <r>
          <rPr>
            <sz val="10"/>
            <color indexed="81"/>
            <rFont val="Tahoma"/>
            <family val="2"/>
          </rPr>
          <t xml:space="preserve">
temporary failure of one CO2 analyzer</t>
        </r>
      </text>
    </comment>
    <comment ref="K895" authorId="0" shapeId="0" xr:uid="{00000000-0006-0000-0D00-000003000000}">
      <text>
        <r>
          <rPr>
            <b/>
            <sz val="10"/>
            <color indexed="81"/>
            <rFont val="Tahoma"/>
            <family val="2"/>
          </rPr>
          <t>manderscheid:</t>
        </r>
        <r>
          <rPr>
            <sz val="10"/>
            <color indexed="81"/>
            <rFont val="Tahoma"/>
            <family val="2"/>
          </rPr>
          <t xml:space="preserve">
start of CO2 enrichment</t>
        </r>
      </text>
    </comment>
    <comment ref="K1626" authorId="0" shapeId="0" xr:uid="{00000000-0006-0000-0D00-000004000000}">
      <text>
        <r>
          <rPr>
            <b/>
            <sz val="10"/>
            <color indexed="81"/>
            <rFont val="Tahoma"/>
            <family val="2"/>
          </rPr>
          <t>manderscheid:</t>
        </r>
        <r>
          <rPr>
            <sz val="10"/>
            <color indexed="81"/>
            <rFont val="Tahoma"/>
            <family val="2"/>
          </rPr>
          <t xml:space="preserve">
start of CO2 enrichment</t>
        </r>
      </text>
    </comment>
    <comment ref="K1694" authorId="0" shapeId="0" xr:uid="{00000000-0006-0000-0D00-000005000000}">
      <text>
        <r>
          <rPr>
            <b/>
            <sz val="10"/>
            <color indexed="81"/>
            <rFont val="Tahoma"/>
            <family val="2"/>
          </rPr>
          <t>manderscheid:</t>
        </r>
        <r>
          <rPr>
            <sz val="10"/>
            <color indexed="81"/>
            <rFont val="Tahoma"/>
            <family val="2"/>
          </rPr>
          <t xml:space="preserve">
temporary failure of one CO2 analyzer</t>
        </r>
      </text>
    </comment>
    <comment ref="K2357" authorId="0" shapeId="0" xr:uid="{00000000-0006-0000-0D00-000006000000}">
      <text>
        <r>
          <rPr>
            <b/>
            <sz val="10"/>
            <color indexed="81"/>
            <rFont val="Tahoma"/>
            <family val="2"/>
          </rPr>
          <t>manderscheid:</t>
        </r>
        <r>
          <rPr>
            <sz val="10"/>
            <color indexed="81"/>
            <rFont val="Tahoma"/>
            <family val="2"/>
          </rPr>
          <t xml:space="preserve">
start of CO2 enrichment</t>
        </r>
      </text>
    </comment>
  </commentList>
</comments>
</file>

<file path=xl/sharedStrings.xml><?xml version="1.0" encoding="utf-8"?>
<sst xmlns="http://schemas.openxmlformats.org/spreadsheetml/2006/main" count="3976" uniqueCount="505">
  <si>
    <t>%</t>
  </si>
  <si>
    <t>cm</t>
  </si>
  <si>
    <t>kg[N]/ha</t>
  </si>
  <si>
    <t>! Field Experiment Data Template</t>
  </si>
  <si>
    <t>Description</t>
  </si>
  <si>
    <t>! Date format</t>
  </si>
  <si>
    <t>site_name</t>
  </si>
  <si>
    <t>Previous crop code</t>
  </si>
  <si>
    <t>Initial surface residue</t>
  </si>
  <si>
    <t>Initial residue N conc</t>
  </si>
  <si>
    <t>code</t>
  </si>
  <si>
    <t>kg[dry matter]/ha</t>
  </si>
  <si>
    <t>Soil layer base depth</t>
  </si>
  <si>
    <t>ppm</t>
  </si>
  <si>
    <t>text</t>
  </si>
  <si>
    <t>Planting depth</t>
  </si>
  <si>
    <t>CRID</t>
  </si>
  <si>
    <t>PLDP</t>
  </si>
  <si>
    <t>mm</t>
  </si>
  <si>
    <t>IROP</t>
  </si>
  <si>
    <t>IRVAL</t>
  </si>
  <si>
    <t>date</t>
  </si>
  <si>
    <t>SLCLY</t>
  </si>
  <si>
    <t>SLSIL</t>
  </si>
  <si>
    <t>SLCF</t>
  </si>
  <si>
    <t>W_DATE</t>
  </si>
  <si>
    <t>SRAD</t>
  </si>
  <si>
    <t>TMAX</t>
  </si>
  <si>
    <t>TMIN</t>
  </si>
  <si>
    <t>RAIN</t>
  </si>
  <si>
    <t>WIND</t>
  </si>
  <si>
    <t>TDEW</t>
  </si>
  <si>
    <t>FECD</t>
  </si>
  <si>
    <t>WST_NAME</t>
  </si>
  <si>
    <t>WST_LAT</t>
  </si>
  <si>
    <t>WST_LONG</t>
  </si>
  <si>
    <t>WST_ELEV</t>
  </si>
  <si>
    <t>WST_ID</t>
  </si>
  <si>
    <t>Sheet</t>
  </si>
  <si>
    <t>Query or comment</t>
  </si>
  <si>
    <t>Status</t>
  </si>
  <si>
    <t>Sent to</t>
  </si>
  <si>
    <t>Irrigations</t>
  </si>
  <si>
    <t>Fertilizers</t>
  </si>
  <si>
    <t>residue incorpor depth</t>
  </si>
  <si>
    <t>residue incorporated</t>
  </si>
  <si>
    <t>DATE</t>
  </si>
  <si>
    <t>number/m2</t>
  </si>
  <si>
    <t>m</t>
  </si>
  <si>
    <t>Plant population at planting</t>
  </si>
  <si>
    <t>PLPOP</t>
  </si>
  <si>
    <t>FEAMN</t>
  </si>
  <si>
    <t>CO2Y</t>
  </si>
  <si>
    <t>! Dataset description</t>
  </si>
  <si>
    <t>Authors</t>
  </si>
  <si>
    <t>Date</t>
  </si>
  <si>
    <t>Version</t>
  </si>
  <si>
    <t>Introduction</t>
  </si>
  <si>
    <t>Data source</t>
  </si>
  <si>
    <t>Data processing</t>
  </si>
  <si>
    <t>Citations</t>
  </si>
  <si>
    <t>Definitions</t>
  </si>
  <si>
    <t>Formatting</t>
  </si>
  <si>
    <t>Worksheet</t>
  </si>
  <si>
    <t>Unit_or_type</t>
  </si>
  <si>
    <t>Comments</t>
  </si>
  <si>
    <t>Metadata</t>
  </si>
  <si>
    <t>Init_conditions</t>
  </si>
  <si>
    <t>Plantings</t>
  </si>
  <si>
    <t>Growth stage of planting, as date</t>
  </si>
  <si>
    <t>ISO 8-digit: year-month-day of month</t>
  </si>
  <si>
    <t>Crop (or weed) species identifier</t>
  </si>
  <si>
    <t>Cultivar name</t>
  </si>
  <si>
    <t>code </t>
  </si>
  <si>
    <t>Irrigation date</t>
  </si>
  <si>
    <t>Irrigation amount, depth of water</t>
  </si>
  <si>
    <t>Irrigation operation (e.g., furrow, sprinkler, drip…)</t>
  </si>
  <si>
    <t>Irrigation water nitrogen concentration</t>
  </si>
  <si>
    <t>Fertilization date</t>
  </si>
  <si>
    <t>Fertilizer material</t>
  </si>
  <si>
    <t>Nitrogen in applied fertilizer</t>
  </si>
  <si>
    <t>Weather_meta</t>
  </si>
  <si>
    <t>REFHT</t>
  </si>
  <si>
    <t>WNDHT</t>
  </si>
  <si>
    <t>Weather_daily</t>
  </si>
  <si>
    <t>RHAVD</t>
  </si>
  <si>
    <t>Soils_meta</t>
  </si>
  <si>
    <t>SLTX</t>
  </si>
  <si>
    <t>Soil_layers</t>
  </si>
  <si>
    <t>SLLL</t>
  </si>
  <si>
    <t>SLOC</t>
  </si>
  <si>
    <t>SLNI</t>
  </si>
  <si>
    <t>EXNAME</t>
  </si>
  <si>
    <t>name_of_experiment</t>
  </si>
  <si>
    <t>Name of experiment</t>
  </si>
  <si>
    <t>INSTITUTION</t>
  </si>
  <si>
    <t>institute_name</t>
  </si>
  <si>
    <t>Names of participating institutions</t>
  </si>
  <si>
    <t>SITE_NAME</t>
  </si>
  <si>
    <t>Name of site for experiment</t>
  </si>
  <si>
    <t>FL_LAT</t>
  </si>
  <si>
    <t>field_latitude</t>
  </si>
  <si>
    <t>Field latitude</t>
  </si>
  <si>
    <t>decimal degrees</t>
  </si>
  <si>
    <t>FL_LONG</t>
  </si>
  <si>
    <t>field_longitude</t>
  </si>
  <si>
    <t>Field longitude, E positive, W negative</t>
  </si>
  <si>
    <t>FLELE</t>
  </si>
  <si>
    <t>field_elevation</t>
  </si>
  <si>
    <t>Elevation of field site</t>
  </si>
  <si>
    <t>weather_station_code</t>
  </si>
  <si>
    <t>Weather station identifier to link to site information</t>
  </si>
  <si>
    <t>SOIL_ID</t>
  </si>
  <si>
    <t>soil_profile_ID</t>
  </si>
  <si>
    <t>Soil profile identifier</t>
  </si>
  <si>
    <t>Date of sampling</t>
  </si>
  <si>
    <t>PDATE</t>
  </si>
  <si>
    <t>FEDATE</t>
  </si>
  <si>
    <t>SLRTD</t>
  </si>
  <si>
    <t>Treatment_number</t>
  </si>
  <si>
    <t>Consecutive number used to identify treatments</t>
  </si>
  <si>
    <t>integer</t>
  </si>
  <si>
    <t>! Cell fill colors</t>
  </si>
  <si>
    <t>weather_sta_latitude</t>
  </si>
  <si>
    <t>Latitude of station, degrees decimal with North as positive value</t>
  </si>
  <si>
    <t>weather_sta_longitude</t>
  </si>
  <si>
    <t>Longitude of station, degrees decimals with East as positive value</t>
  </si>
  <si>
    <t>weather_sta_elevation</t>
  </si>
  <si>
    <t>Elevation of weather station</t>
  </si>
  <si>
    <t>ref_height_weather_meas</t>
  </si>
  <si>
    <t>Reference height for weather measurement</t>
  </si>
  <si>
    <t>ref_height_windsp_meas</t>
  </si>
  <si>
    <t>Reference height for windspeed measurement</t>
  </si>
  <si>
    <t>CO2_concentration_annual</t>
  </si>
  <si>
    <t>CO2 concentration, annual (yearly)</t>
  </si>
  <si>
    <t>Variable_name</t>
  </si>
  <si>
    <t>weather_date</t>
  </si>
  <si>
    <t>Date for daily weather, field observations, etc.</t>
  </si>
  <si>
    <t>solar_radiation</t>
  </si>
  <si>
    <t>Solar radiation</t>
  </si>
  <si>
    <t>maximum_temperature</t>
  </si>
  <si>
    <t>Temperature of air, maximum</t>
  </si>
  <si>
    <t>minimum_temperature</t>
  </si>
  <si>
    <t>Temperature of air, minimum</t>
  </si>
  <si>
    <t>rain_snow_fall</t>
  </si>
  <si>
    <t>Rainfall, including moisture in snow, in one day</t>
  </si>
  <si>
    <t>mm/d</t>
  </si>
  <si>
    <t>wind_speed_daily</t>
  </si>
  <si>
    <t>Wind speed, daily mean or "wind run"</t>
  </si>
  <si>
    <t>km/d</t>
  </si>
  <si>
    <t>temperature_dewpoint</t>
  </si>
  <si>
    <t>Dewpoint temperature, daily mean</t>
  </si>
  <si>
    <t>realtive_humidity_avg</t>
  </si>
  <si>
    <t>Realtive humidity, average daily value</t>
  </si>
  <si>
    <t>soil_source</t>
  </si>
  <si>
    <t>Source of soil data</t>
  </si>
  <si>
    <t>soil_texture</t>
  </si>
  <si>
    <t>Soil texture</t>
  </si>
  <si>
    <t>soil_notes</t>
  </si>
  <si>
    <t>Notes describing soil dataset</t>
  </si>
  <si>
    <t>Name of location where experiment was conducted</t>
  </si>
  <si>
    <t>unitless</t>
  </si>
  <si>
    <t>number</t>
  </si>
  <si>
    <t>Rooting_depth</t>
  </si>
  <si>
    <t>Maximum depth of root growth</t>
  </si>
  <si>
    <t>SLLB</t>
  </si>
  <si>
    <t>soil_layer_base_depth</t>
  </si>
  <si>
    <t>soil_water_lower_limit</t>
  </si>
  <si>
    <t>Soil water, lower limit</t>
  </si>
  <si>
    <t>cm3/cm3</t>
  </si>
  <si>
    <t>soil_wat_drned_upper_lim</t>
  </si>
  <si>
    <t>Soil water, drained upper limit</t>
  </si>
  <si>
    <t>soil_water_saturated</t>
  </si>
  <si>
    <t>Soil water, saturated</t>
  </si>
  <si>
    <t>soil_bulk_density_moist</t>
  </si>
  <si>
    <t>Soil bulk density when moist for layer</t>
  </si>
  <si>
    <t>g/cm3</t>
  </si>
  <si>
    <t>soil_organic_C_perc_layr</t>
  </si>
  <si>
    <t>Total soil organic carbon by layer</t>
  </si>
  <si>
    <t>g[C]/100g[soil]</t>
  </si>
  <si>
    <t>soil_clay_fraction</t>
  </si>
  <si>
    <t>Soil texture, clay (&lt;0.002 mm), weight percent of fine earth</t>
  </si>
  <si>
    <t>soil_silt_fraction</t>
  </si>
  <si>
    <t>Soil texture, silt (0.05 to 0.002 mm), weight percent of fine earth</t>
  </si>
  <si>
    <t>soil_coarse_fraction</t>
  </si>
  <si>
    <t>Soil texture, coarse fraction (&gt;2 mm), weight percent of fine earth</t>
  </si>
  <si>
    <t>soil_organic_N_conc</t>
  </si>
  <si>
    <t>Nitrogen, total soil organic</t>
  </si>
  <si>
    <t>soil_pH_in_water</t>
  </si>
  <si>
    <t>pH of soil in water, from profile description</t>
  </si>
  <si>
    <t>°C</t>
  </si>
  <si>
    <t>weather_station_name</t>
  </si>
  <si>
    <t>Weather station name</t>
  </si>
  <si>
    <t>Harvested yield at harvest (dry wt)</t>
  </si>
  <si>
    <t>GWAM</t>
  </si>
  <si>
    <t>grain_dry_wt_at_maturity</t>
  </si>
  <si>
    <t>IRNPC</t>
  </si>
  <si>
    <t>Tillage implements</t>
  </si>
  <si>
    <t>TIIMP</t>
  </si>
  <si>
    <t>Tillage code</t>
  </si>
  <si>
    <t>soil_layer_top_depth</t>
  </si>
  <si>
    <t>soil_water_by_layer</t>
  </si>
  <si>
    <t>SWLD</t>
  </si>
  <si>
    <t>Soil layer depth to upper boundary of sample (top)</t>
  </si>
  <si>
    <t>Soil layer depth to lower boundary of sample (bottom)</t>
  </si>
  <si>
    <t>Soil water measured at a specified depth</t>
  </si>
  <si>
    <t>NO3[N], for a given soil layer</t>
  </si>
  <si>
    <t>NH4[N], for a given soil layer</t>
  </si>
  <si>
    <t>Soil nitrogen in a soil layer</t>
  </si>
  <si>
    <t>NSLD1</t>
  </si>
  <si>
    <t>NOSLD</t>
  </si>
  <si>
    <t>NHSLD</t>
  </si>
  <si>
    <t>NO3_soil_by_layer</t>
  </si>
  <si>
    <t>NH4_soil_by_layer</t>
  </si>
  <si>
    <t>soil_nitrogen_by_layer</t>
  </si>
  <si>
    <t>soil_sand_fraction</t>
  </si>
  <si>
    <t>SLSND</t>
  </si>
  <si>
    <t>initial_conditions_date</t>
  </si>
  <si>
    <t>residue_nature_prev_crop</t>
  </si>
  <si>
    <t>residue_above_ground_wt</t>
  </si>
  <si>
    <t>residue_N_conc</t>
  </si>
  <si>
    <t>residue_incorporated</t>
  </si>
  <si>
    <t>residue_incorpor_depth</t>
  </si>
  <si>
    <t>MJ/m2/d</t>
  </si>
  <si>
    <t>g/Mg</t>
  </si>
  <si>
    <t>planting_date</t>
  </si>
  <si>
    <t>crop_ident_ICASA</t>
  </si>
  <si>
    <t>cultivar_name</t>
  </si>
  <si>
    <t>plant_pop_at_planting</t>
  </si>
  <si>
    <t>planting_depth</t>
  </si>
  <si>
    <t>irrigation_date</t>
  </si>
  <si>
    <t>irrigation_operation</t>
  </si>
  <si>
    <t>irrig_amount_depth</t>
  </si>
  <si>
    <t>irrigation_H2O_N_conc</t>
  </si>
  <si>
    <t>fertilization_date</t>
  </si>
  <si>
    <t>fertilizer_material</t>
  </si>
  <si>
    <t>N_in_applied_fertilizer</t>
  </si>
  <si>
    <t>ICDAT</t>
  </si>
  <si>
    <t>ICPCR</t>
  </si>
  <si>
    <t>ICRAG</t>
  </si>
  <si>
    <t>ICRN</t>
  </si>
  <si>
    <t>ICRIP</t>
  </si>
  <si>
    <t>ICRDP</t>
  </si>
  <si>
    <t>CUL_NAME</t>
  </si>
  <si>
    <t>IDATE</t>
  </si>
  <si>
    <t>SL_SOURCE</t>
  </si>
  <si>
    <t>SL_NOTES</t>
  </si>
  <si>
    <t>SLSAT</t>
  </si>
  <si>
    <t>SLDUL</t>
  </si>
  <si>
    <t>SLBDM</t>
  </si>
  <si>
    <t>Jeff White &amp; Cheryl Porter (modified by Pierre Martre)</t>
  </si>
  <si>
    <t>Soil texture, sand (0.05 to 2.0 mm), weight percent of fine earth</t>
  </si>
  <si>
    <t>VPRSD</t>
  </si>
  <si>
    <t>vapor_pressure</t>
  </si>
  <si>
    <t>Vapor pressure, average daily</t>
  </si>
  <si>
    <t>kPa</t>
  </si>
  <si>
    <t>SITE_TYPE</t>
  </si>
  <si>
    <t>site_type</t>
  </si>
  <si>
    <t>Type of site, e.g., station, on-farm</t>
  </si>
  <si>
    <t>TDATE</t>
  </si>
  <si>
    <t>TIDEP</t>
  </si>
  <si>
    <t>tillage_date</t>
  </si>
  <si>
    <t>tillage_operations_depth</t>
  </si>
  <si>
    <t>Tillage date</t>
  </si>
  <si>
    <t>Tillage operations depth</t>
  </si>
  <si>
    <t>OMCPC</t>
  </si>
  <si>
    <t>OMC2N</t>
  </si>
  <si>
    <t>org_matter_carbon_conc</t>
  </si>
  <si>
    <t>org_material_c_to_n</t>
  </si>
  <si>
    <t>Organic matter or residue added, carbon concentration</t>
  </si>
  <si>
    <t>Organic materials C:N ratio</t>
  </si>
  <si>
    <t>simulation_start_date</t>
  </si>
  <si>
    <t>SDAT</t>
  </si>
  <si>
    <t>FENH4</t>
  </si>
  <si>
    <t>FENO3</t>
  </si>
  <si>
    <t>FE010</t>
  </si>
  <si>
    <t>NO3_applied_fertilizer</t>
  </si>
  <si>
    <t>NH4_applied_fertilizer</t>
  </si>
  <si>
    <t>Nitrate in applied fertilizer</t>
  </si>
  <si>
    <t>Ammonium in applied fertilizer</t>
  </si>
  <si>
    <t>SL_SYSTEM</t>
  </si>
  <si>
    <t>soil_classific_system</t>
  </si>
  <si>
    <t>Soil classification system (e.g., FAO, USDA)</t>
  </si>
  <si>
    <t>SLPHW</t>
  </si>
  <si>
    <t>SLOM</t>
  </si>
  <si>
    <t>soil_organic_matter_layer</t>
  </si>
  <si>
    <t>Total soil organic matter by layer</t>
  </si>
  <si>
    <t>kg[OM]/ha</t>
  </si>
  <si>
    <t>ICSWPC</t>
  </si>
  <si>
    <t>initial_profile_wtr_cont_%</t>
  </si>
  <si>
    <t>ICIN</t>
  </si>
  <si>
    <t>initial_prof_inorg_N</t>
  </si>
  <si>
    <t>Initial water content of entire profile, expressed as percent of available water</t>
  </si>
  <si>
    <t>Initial profile inorganic nitrogen amount</t>
  </si>
  <si>
    <t>ICRDAT</t>
  </si>
  <si>
    <t>init_residu_measure_date</t>
  </si>
  <si>
    <t>Simulation start day date</t>
  </si>
  <si>
    <t>Initial conditions measurement date</t>
  </si>
  <si>
    <t>Initial residues measurement date</t>
  </si>
  <si>
    <t>Variable/TRTNO</t>
  </si>
  <si>
    <r>
      <t xml:space="preserve">Each variable should be defined using the ICASA/AgMIP data dictionary as a guide.  
Variables most often used by AgMIP are listed here: </t>
    </r>
    <r>
      <rPr>
        <sz val="11"/>
        <color rgb="FF3BA2F7"/>
        <rFont val="Calibri"/>
        <family val="2"/>
        <scheme val="minor"/>
      </rPr>
      <t>http://research.agmip.org/display/dev/Management+Events</t>
    </r>
    <r>
      <rPr>
        <sz val="11"/>
        <color theme="1"/>
        <rFont val="Calibri"/>
        <family val="2"/>
        <scheme val="minor"/>
      </rPr>
      <t xml:space="preserve">
The full listing is available </t>
    </r>
    <r>
      <rPr>
        <sz val="11"/>
        <color rgb="FF3BA2F7"/>
        <rFont val="Calibri"/>
        <family val="2"/>
        <scheme val="minor"/>
      </rPr>
      <t>here: https://docs.google.com/spreadsheets/d/1MYx1ukUsCAM1pcixbVQSu49NU-LfXg-Dtt-ncLBzGAM/pub?output=html</t>
    </r>
  </si>
  <si>
    <r>
      <t xml:space="preserve">Dates must be in ISO-compliant </t>
    </r>
    <r>
      <rPr>
        <sz val="11"/>
        <color rgb="FFFF0000"/>
        <rFont val="Calibri"/>
        <family val="2"/>
        <scheme val="minor"/>
      </rPr>
      <t>yyyy-mm-dd</t>
    </r>
    <r>
      <rPr>
        <sz val="11"/>
        <color theme="1"/>
        <rFont val="Calibri"/>
        <family val="2"/>
        <scheme val="minor"/>
      </rPr>
      <t xml:space="preserve"> format. 
When exporting to csv format, please verify that the date format was preserved.
To format dates in this format, select "Custom" format and type in "yyyy-mm-dd" under "Type:". Or use the Format Painter to copy the format from another field.</t>
    </r>
  </si>
  <si>
    <t>Set equal to SLRTD (i.e. soil profiles were considered as homogenous)</t>
  </si>
  <si>
    <t>This template provides an alternative to the original AgMIP/ICASA template. The parallel format requires defining a large number of sheets but facilitates processing with software that assumes that Row 1, Column 1 is where data begin.</t>
  </si>
  <si>
    <r>
      <t>Most sheets are formatted using the treatment number (TRTNO) as the key that allows the data to be linked to data in other sheets. To reduce redundancy, a few sheets use other keys. These can be linked to the other data via information in the Metadata sheet.
Linkages to the metadata table are denoted with a “</t>
    </r>
    <r>
      <rPr>
        <sz val="11"/>
        <color rgb="FFFF0000"/>
        <rFont val="Calibri"/>
        <family val="2"/>
        <scheme val="minor"/>
      </rPr>
      <t>link:&lt;variable name&gt;</t>
    </r>
    <r>
      <rPr>
        <sz val="11"/>
        <color theme="1"/>
        <rFont val="Calibri"/>
        <family val="2"/>
        <scheme val="minor"/>
      </rPr>
      <t>”. There must be at least one linkage from each table to the metadata table. In the case of the initial conditions data, there are two variables that are used for the linkage.
The first and second line in each sheet contains the "variable names" and "Code_Query" name in the ICASA MVL, respectively. Non-ICASA variables are defined in the Definitions sheet. Data are given in subsequent rows.</t>
    </r>
  </si>
  <si>
    <t>Code_Query</t>
  </si>
  <si>
    <t>In the data sheets, valid cells usualy are shown with no fill.
Highlighting is provided to indicate missing or out of range values.</t>
  </si>
  <si>
    <t>TRT_NAME</t>
  </si>
  <si>
    <t>treatment_name</t>
  </si>
  <si>
    <t>Treatment name</t>
  </si>
  <si>
    <t>SABL</t>
  </si>
  <si>
    <t>SATL</t>
  </si>
  <si>
    <t>SLLT</t>
  </si>
  <si>
    <t>Soil layer top depth</t>
  </si>
  <si>
    <t>TI041</t>
  </si>
  <si>
    <t>initial_watr_conc_by_lyr</t>
  </si>
  <si>
    <t>initial_NH4_mass_layer</t>
  </si>
  <si>
    <t>initial_NO3_mass_layer</t>
  </si>
  <si>
    <t>ICTL</t>
  </si>
  <si>
    <t>ICBL</t>
  </si>
  <si>
    <t>ICH2O</t>
  </si>
  <si>
    <t>ICNH4M</t>
  </si>
  <si>
    <t>ICNO3M</t>
  </si>
  <si>
    <t>field_id</t>
  </si>
  <si>
    <t>Field, identifier usually consiting of institution + site + 4 digit number</t>
  </si>
  <si>
    <t>Summary_crop</t>
  </si>
  <si>
    <t>Obs_soil_water_N</t>
  </si>
  <si>
    <t>FIELD_ID</t>
  </si>
  <si>
    <t>Braunschweig</t>
  </si>
  <si>
    <t>Thünen Institute</t>
  </si>
  <si>
    <t>MAZ</t>
  </si>
  <si>
    <t>Romario</t>
  </si>
  <si>
    <t>ST001</t>
  </si>
  <si>
    <t>FACE</t>
  </si>
  <si>
    <t>WHN</t>
  </si>
  <si>
    <t>FE006</t>
  </si>
  <si>
    <t>FE011</t>
  </si>
  <si>
    <t>IR012</t>
  </si>
  <si>
    <t>IRR_AMBIENT_2</t>
  </si>
  <si>
    <t>IRR_FACE_2</t>
  </si>
  <si>
    <t>DRY_AMBIENT_2</t>
  </si>
  <si>
    <t>DRY_FACE_2</t>
  </si>
  <si>
    <t>IRR_AMBIENT_1</t>
  </si>
  <si>
    <t>IRR_FACE_1</t>
  </si>
  <si>
    <t>DRY_AMBIENT_1</t>
  </si>
  <si>
    <t>DRY_FACE_1</t>
  </si>
  <si>
    <t>Lucille Roux</t>
  </si>
  <si>
    <t>Durand J-L, Delusca K, Boote K et al. (2017) How accurately do maize crop models simulate the interactions of atmospheric CO2 concentration levels with limited water supply on water use and yield? European Journal of Agronomy, 100, 67-75. http://dx.doi.org/10.1016/j.eja.2017.01.002</t>
  </si>
  <si>
    <t>emergence_date</t>
  </si>
  <si>
    <t>anthesis_date</t>
  </si>
  <si>
    <t>physiologic_maturity_dat</t>
  </si>
  <si>
    <t>harvest_date</t>
  </si>
  <si>
    <t>PLDAE</t>
  </si>
  <si>
    <t>ADAT</t>
  </si>
  <si>
    <t>MDAT</t>
  </si>
  <si>
    <t>R8AT</t>
  </si>
  <si>
    <t>leaf_area_index</t>
  </si>
  <si>
    <t>harvest_index</t>
  </si>
  <si>
    <t>grain_size</t>
  </si>
  <si>
    <t>grain_number</t>
  </si>
  <si>
    <t>stem_flower_wt</t>
  </si>
  <si>
    <t>biomass_wt</t>
  </si>
  <si>
    <t>grain_wt</t>
  </si>
  <si>
    <t>flower_wt</t>
  </si>
  <si>
    <t>leaf_wt</t>
  </si>
  <si>
    <t>dead_leaf_wt</t>
  </si>
  <si>
    <t>stem_wt</t>
  </si>
  <si>
    <t>N_conc_dead_leaf</t>
  </si>
  <si>
    <t>dead_leaf_N</t>
  </si>
  <si>
    <t>green_leaf_N</t>
  </si>
  <si>
    <t>grain_N</t>
  </si>
  <si>
    <t>stem_N</t>
  </si>
  <si>
    <t>total_N</t>
  </si>
  <si>
    <t>LAID</t>
  </si>
  <si>
    <t>HIAD</t>
  </si>
  <si>
    <t>GnoAD</t>
  </si>
  <si>
    <t>SLAD</t>
  </si>
  <si>
    <t>SLND</t>
  </si>
  <si>
    <t>NUAD</t>
  </si>
  <si>
    <t>TDRW</t>
  </si>
  <si>
    <t>GWAD</t>
  </si>
  <si>
    <t>LWAD</t>
  </si>
  <si>
    <t>LDAD</t>
  </si>
  <si>
    <t>SWAD</t>
  </si>
  <si>
    <t>PNAD</t>
  </si>
  <si>
    <t>LNPCD</t>
  </si>
  <si>
    <t>SNPCD</t>
  </si>
  <si>
    <t>GNPCD</t>
  </si>
  <si>
    <t>LDNAD</t>
  </si>
  <si>
    <t>LGNAD</t>
  </si>
  <si>
    <t>GNAD</t>
  </si>
  <si>
    <t>SNAD</t>
  </si>
  <si>
    <t>DOY</t>
  </si>
  <si>
    <t>leaf_number_per_stem</t>
  </si>
  <si>
    <t>LnoSD</t>
  </si>
  <si>
    <t>rachis_wt</t>
  </si>
  <si>
    <t>husk_leaves_wt</t>
  </si>
  <si>
    <t>cob_wt</t>
  </si>
  <si>
    <t>evapotranspiration_daily</t>
  </si>
  <si>
    <t>ETAD</t>
  </si>
  <si>
    <t>if unknown set at the default value: 70</t>
  </si>
  <si>
    <t>if unknown set at the default value: 40</t>
  </si>
  <si>
    <t>Init_conditions_Soil_layers</t>
  </si>
  <si>
    <t>Initial water concentration by layer</t>
  </si>
  <si>
    <t>Initial NH4 conc., as elemental N on dry wt basis by layer</t>
  </si>
  <si>
    <t>kg/ha</t>
  </si>
  <si>
    <t>Initial NO3 conc., as elemental N on dry wt basis by layer</t>
  </si>
  <si>
    <t>Growth stage date, emergence</t>
  </si>
  <si>
    <t>Growth stage date, anthesis</t>
  </si>
  <si>
    <t>Growth stage of physiological maturity, as date</t>
  </si>
  <si>
    <t>Growth stage date, harvest</t>
  </si>
  <si>
    <t>LnoSX</t>
  </si>
  <si>
    <t>leaf_no_per_stem</t>
  </si>
  <si>
    <t>Final leaf number</t>
  </si>
  <si>
    <t>Obs_crop</t>
  </si>
  <si>
    <t>Day of the year</t>
  </si>
  <si>
    <t>Leaf number</t>
  </si>
  <si>
    <t>Leaf area index on a given day</t>
  </si>
  <si>
    <t>m²/m²</t>
  </si>
  <si>
    <t>Harvest index on sampling date</t>
  </si>
  <si>
    <t>Grain size</t>
  </si>
  <si>
    <t>Grain number on sampling date</t>
  </si>
  <si>
    <t>number/m²</t>
  </si>
  <si>
    <t>Stem and flower dry weight</t>
  </si>
  <si>
    <t>specific_leaf_area</t>
  </si>
  <si>
    <t>Specific leaf area</t>
  </si>
  <si>
    <t>cm²/g</t>
  </si>
  <si>
    <t>specific_leaf_N</t>
  </si>
  <si>
    <t>Specific leaf N</t>
  </si>
  <si>
    <t>g/cm²</t>
  </si>
  <si>
    <t>N_uptake_cumulative</t>
  </si>
  <si>
    <t>N uptake, cumulative</t>
  </si>
  <si>
    <t>total_biomass_dry_wt</t>
  </si>
  <si>
    <t>Total biomass without senesced material</t>
  </si>
  <si>
    <t>grain_dry_wt</t>
  </si>
  <si>
    <t>Grain dry weight</t>
  </si>
  <si>
    <t>Flower dry weight</t>
  </si>
  <si>
    <t>leaf_dry_wt</t>
  </si>
  <si>
    <t>Leaf dry weight</t>
  </si>
  <si>
    <t>dead_leaf_dry_wt</t>
  </si>
  <si>
    <t>Dead leaf dry weight</t>
  </si>
  <si>
    <t>stem_dry_wt</t>
  </si>
  <si>
    <t>Stem dry weight</t>
  </si>
  <si>
    <t>panicle_weight</t>
  </si>
  <si>
    <t>Panicle weight</t>
  </si>
  <si>
    <t>Leaf N concentration</t>
  </si>
  <si>
    <t>stem_N_conc</t>
  </si>
  <si>
    <t>Stem N concentration</t>
  </si>
  <si>
    <t>grain_N_conc</t>
  </si>
  <si>
    <t>Grain N concentration on sampling date</t>
  </si>
  <si>
    <t>Dead leaf N concentration</t>
  </si>
  <si>
    <t>Leaf N of dead leaves</t>
  </si>
  <si>
    <t>Leaf N of green leaves</t>
  </si>
  <si>
    <t>Grain N</t>
  </si>
  <si>
    <t>Stem N</t>
  </si>
  <si>
    <t>Total plant N</t>
  </si>
  <si>
    <t>Rachis dry weight</t>
  </si>
  <si>
    <t>Husk leaves dry weight</t>
  </si>
  <si>
    <t>Cob dry weight</t>
  </si>
  <si>
    <t>mm/day</t>
  </si>
  <si>
    <t/>
  </si>
  <si>
    <t>set at 30 days before planting date</t>
  </si>
  <si>
    <t>if unknown set at the default value: 25</t>
  </si>
  <si>
    <t xml:space="preserve">if unknown set at the default value (moldboard plough at 25 cm): TI041 </t>
  </si>
  <si>
    <t>if unknown set at the default value: WHN (white mustard)</t>
  </si>
  <si>
    <t>if unknown set at the default value: 100</t>
  </si>
  <si>
    <t>if unknown set at the default value: the same as TIDEP</t>
  </si>
  <si>
    <t>determined from SLCLY, SLSND, SLSIL</t>
  </si>
  <si>
    <t>if the repoted value was "&gt; 90 cm",  calculate SLRTD as:
           SLRTD=(R_Bmax+2×R_Pmax)/3
where RPmax (m) is the plant-specific maximum rooting depth defined as a cultivar parameter and set at 130 cm, and RBmax (cm) is the soil-specific maximum rotting depth. RBmax is given as:
R_Bmax=(SLSND×((1.1-SLSND/100)/0.275)(1.4/SLDBM+SLDBM^2/40),           if  SLSND &lt; 55%
R_Bmax=(1.4/SLDBM+SLDBM^2/40),                                                                             if  SLSND ≥ 55%</t>
  </si>
  <si>
    <t>if unknown calculate SLSAT, SLDUL et SLLL using the class-pedotransfer function proposed by Al Majoul et al. (2008) [https://doi.org/10.1111/j.1475-2743.2008.00180.x], knowing that SLSAT, SLDUL, and SLLL correspond to volumetric water content θ1, θ100, θ1500. 
European soil class       SLSAT       SLDUL     SLL
Coarse                           25.5         12.1       8.1
Medium                         33.9         24.9      16.3
Medium fine                  36.1         25.6       17.4
Fine                                41.8         34.1       26.7
Very fine                        46.2          38.3      31.2</t>
  </si>
  <si>
    <t>if unknown calculate SLBDM using the pedo-transfer function proposed by Chen et al. (2018) [https://doi.org/10.1016/j.geoderma.2017.10.009]: SLDBM = 1/(0.635+0.059*AA4)</t>
  </si>
  <si>
    <t>if unknown set at the default value: 2.2 g/100g</t>
  </si>
  <si>
    <t>if unknown set at the default value: 33</t>
  </si>
  <si>
    <t>if unknown set at the default value: 12</t>
  </si>
  <si>
    <t>if unknown set at the default value: 3</t>
  </si>
  <si>
    <t>if unknown calculate SLNI as: SLNI = SLOC / C_N</t>
  </si>
  <si>
    <t>if unknown set at the default value: 7,5</t>
  </si>
  <si>
    <t>if unknown calculate SLOM as SLOM = SLOC * 1,72</t>
  </si>
  <si>
    <t>Set at the default value</t>
  </si>
  <si>
    <t>Valeurs modifiées des précipitations en jaune selon la méthode d'évitement utilisée par Manderscheid</t>
  </si>
  <si>
    <t>valeurs de SRAD manquantes pour DRY plots: calculs de valeurs approchées à partir d'une régression linéaire SRAD_dry~SRAD_wet, la différence entre les deux niveaux de variation étant uniquement due au dispositif mis en place pour éviter la pluie. SRAD_dry = 0,9651*SRAD_wet+0,0316</t>
  </si>
  <si>
    <t>IRR_AMB</t>
  </si>
  <si>
    <t>IRR_FACE</t>
  </si>
  <si>
    <t>DRY_AMB</t>
  </si>
  <si>
    <t>DRY_FACE</t>
  </si>
  <si>
    <t>Braunschweig_irr_amb</t>
  </si>
  <si>
    <t>Braunschweig_dry_amb</t>
  </si>
  <si>
    <t>Braunschweig_dry_face</t>
  </si>
  <si>
    <t>Braunschweig__irr_face</t>
  </si>
  <si>
    <t>daily_CO2_conc</t>
  </si>
  <si>
    <t>CO2_daily_conc</t>
  </si>
  <si>
    <t>CO2 daily air concentration</t>
  </si>
  <si>
    <r>
      <rPr>
        <b/>
        <sz val="11"/>
        <color theme="1"/>
        <rFont val="Calibri"/>
        <family val="2"/>
        <scheme val="minor"/>
      </rPr>
      <t>SRAD</t>
    </r>
    <r>
      <rPr>
        <sz val="11"/>
        <color theme="1"/>
        <rFont val="Calibri"/>
        <family val="2"/>
        <scheme val="minor"/>
      </rPr>
      <t>/ weather_station_code DRY_AMB et DRY_FACE</t>
    </r>
  </si>
  <si>
    <t>set at 550 ppm for the plots which got a CO2 enrichment</t>
  </si>
  <si>
    <t>N_conc_cob</t>
  </si>
  <si>
    <t>Cob N concentration</t>
  </si>
  <si>
    <t>N_conc_tassel</t>
  </si>
  <si>
    <t>Tassel N concentration</t>
  </si>
  <si>
    <t>leaf_N_conc</t>
  </si>
  <si>
    <t>Cob_N</t>
  </si>
  <si>
    <t>Cob N</t>
  </si>
  <si>
    <t>tassel_N</t>
  </si>
  <si>
    <t>Tassel N</t>
  </si>
  <si>
    <r>
      <t xml:space="preserve">Data are from a FACE experiment in Braunschweig (Germany)  for the years 2007 and 2008. </t>
    </r>
    <r>
      <rPr>
        <b/>
        <sz val="11"/>
        <color theme="1"/>
        <rFont val="Calibri"/>
        <family val="2"/>
        <scheme val="minor"/>
      </rPr>
      <t xml:space="preserve">
Missing information</t>
    </r>
    <r>
      <rPr>
        <sz val="11"/>
        <color theme="1"/>
        <rFont val="Calibri"/>
        <family val="2"/>
        <scheme val="minor"/>
      </rPr>
      <t xml:space="preserve">:
</t>
    </r>
    <r>
      <rPr>
        <u/>
        <sz val="11"/>
        <color theme="1"/>
        <rFont val="Calibri"/>
        <family val="2"/>
        <scheme val="minor"/>
      </rPr>
      <t>Initial_conditions</t>
    </r>
    <r>
      <rPr>
        <sz val="11"/>
        <color theme="1"/>
        <rFont val="Calibri"/>
        <family val="2"/>
        <scheme val="minor"/>
      </rPr>
      <t xml:space="preserve">: initial residue measure date (ICRDAT), residue above ground weight (ICRAG), organic matter carbon concentration (OMCPC), residue N concentration(ICRN), initial conditions date (ICDAT), initial profile water content% (ICSWPC) (set at default value), initial profile inorganic N (ICIN) (set at default value)
</t>
    </r>
    <r>
      <rPr>
        <u/>
        <sz val="11"/>
        <color theme="1"/>
        <rFont val="Calibri"/>
        <family val="2"/>
        <scheme val="minor"/>
      </rPr>
      <t>Init_condition_soil_layers:</t>
    </r>
    <r>
      <rPr>
        <sz val="11"/>
        <color theme="1"/>
        <rFont val="Calibri"/>
        <family val="2"/>
        <scheme val="minor"/>
      </rPr>
      <t xml:space="preserve"> initial conditions date (ICDAT), initial concentration in NH4 (ICNH4), initial concentration in NO3 (ICNO3M   )
</t>
    </r>
    <r>
      <rPr>
        <u/>
        <sz val="11"/>
        <color theme="1"/>
        <rFont val="Calibri"/>
        <family val="2"/>
        <scheme val="minor"/>
      </rPr>
      <t>Fertilizers</t>
    </r>
    <r>
      <rPr>
        <sz val="11"/>
        <color theme="1"/>
        <rFont val="Calibri"/>
        <family val="2"/>
        <scheme val="minor"/>
      </rPr>
      <t xml:space="preserve">: NH4 applied fertilizer (FENH4), NO3 applied fertilizer (FENO3)
</t>
    </r>
    <r>
      <rPr>
        <u/>
        <sz val="11"/>
        <color theme="1"/>
        <rFont val="Calibri"/>
        <family val="2"/>
        <scheme val="minor"/>
      </rPr>
      <t>Soils_meta</t>
    </r>
    <r>
      <rPr>
        <sz val="11"/>
        <color theme="1"/>
        <rFont val="Calibri"/>
        <family val="2"/>
        <scheme val="minor"/>
      </rPr>
      <t xml:space="preserve">: soil classific system (SL_SYSTEM), soil texture (SLTX), soil notes (SL_NOTES)
</t>
    </r>
    <r>
      <rPr>
        <u/>
        <sz val="11"/>
        <color theme="1"/>
        <rFont val="Calibri"/>
        <family val="2"/>
        <scheme val="minor"/>
      </rPr>
      <t>Soil_layers</t>
    </r>
    <r>
      <rPr>
        <sz val="11"/>
        <color theme="1"/>
        <rFont val="Calibri"/>
        <family val="2"/>
        <scheme val="minor"/>
      </rPr>
      <t xml:space="preserve">: soil coarse fraction (SLCF)
</t>
    </r>
    <r>
      <rPr>
        <u/>
        <sz val="11"/>
        <color theme="1"/>
        <rFont val="Calibri"/>
        <family val="2"/>
        <scheme val="minor"/>
      </rPr>
      <t>Obs_soil_water_N</t>
    </r>
    <r>
      <rPr>
        <sz val="11"/>
        <color theme="1"/>
        <rFont val="Calibri"/>
        <family val="2"/>
        <scheme val="minor"/>
      </rPr>
      <t xml:space="preserve">: soil water by layer (SWLD), soil nitrogen by layer (NSLD1), soil NH4 by layer (NHSLD), soil NO3 by layer (NOSLD)
</t>
    </r>
    <r>
      <rPr>
        <u/>
        <sz val="11"/>
        <color theme="1"/>
        <rFont val="Calibri"/>
        <family val="2"/>
        <scheme val="minor"/>
      </rPr>
      <t>Summary_crop</t>
    </r>
    <r>
      <rPr>
        <sz val="11"/>
        <color theme="1"/>
        <rFont val="Calibri"/>
        <family val="2"/>
        <scheme val="minor"/>
      </rPr>
      <t xml:space="preserve">: PLDAE (emergence date), ADAT (anthesis date), MDAT (physiological maturity date)
</t>
    </r>
    <r>
      <rPr>
        <u/>
        <sz val="11"/>
        <color theme="1"/>
        <rFont val="Calibri"/>
        <family val="2"/>
        <scheme val="minor"/>
      </rPr>
      <t>Obs_crop</t>
    </r>
    <r>
      <rPr>
        <sz val="11"/>
        <color theme="1"/>
        <rFont val="Calibri"/>
        <family val="2"/>
        <scheme val="minor"/>
      </rPr>
      <t>: LnoSD (leaf_number), HIAD (harvest index), grain_size, stem_flower_wt, SLAD (SLA), SLND (SLN), NUAD (N_cum_uptake), PNAD (panicle_wt), N_conc_cob, N_conc_tassel, LNPCD (N_leaf_conc), SNPCD (N_stem_conc), GNPCD (N_grain_conc), N_conc_dead_leaf, N_cob, N_tassel,</t>
    </r>
    <r>
      <rPr>
        <b/>
        <sz val="11"/>
        <color theme="1"/>
        <rFont val="Calibri"/>
        <family val="2"/>
        <scheme val="minor"/>
      </rPr>
      <t xml:space="preserve"> </t>
    </r>
    <r>
      <rPr>
        <sz val="11"/>
        <color theme="1"/>
        <rFont val="Calibri"/>
        <family val="2"/>
        <scheme val="minor"/>
      </rPr>
      <t xml:space="preserve">LDNAD (leaf_N), LGNAD (green_leaf_N), GNAD (grain_N), SNAD (stem_N), total_N, ETAD (evapotranspiration)
</t>
    </r>
    <r>
      <rPr>
        <b/>
        <sz val="11"/>
        <color theme="1"/>
        <rFont val="Calibri"/>
        <family val="2"/>
        <scheme val="minor"/>
      </rPr>
      <t xml:space="preserve">
Partially missing information:
</t>
    </r>
    <r>
      <rPr>
        <u/>
        <sz val="11"/>
        <color theme="1"/>
        <rFont val="Calibri"/>
        <family val="2"/>
        <scheme val="minor"/>
      </rPr>
      <t>Soil_layers</t>
    </r>
    <r>
      <rPr>
        <sz val="11"/>
        <color theme="1"/>
        <rFont val="Calibri"/>
        <family val="2"/>
        <scheme val="minor"/>
      </rPr>
      <t xml:space="preserve">: soil oragnic carbon (SLOC), soil clay fraction (SLCLY), soil silt fraction (SLSIL), soil sand fraction (SLSND), soil organic N concentration (SLNI)
</t>
    </r>
    <r>
      <rPr>
        <u/>
        <sz val="11"/>
        <color theme="1"/>
        <rFont val="Calibri"/>
        <family val="2"/>
        <scheme val="minor"/>
      </rPr>
      <t xml:space="preserve">
Default values</t>
    </r>
    <r>
      <rPr>
        <sz val="11"/>
        <color theme="1"/>
        <rFont val="Calibri"/>
        <family val="2"/>
        <scheme val="minor"/>
      </rPr>
      <t xml:space="preserve"> used when information were missing and (class) pedo-tranfer functions used to estimated soil variables are given in the sheet "Definitions".
Remarks about the data, for instance if the default value has been used for one variable, are given in the sheet "Comments".
</t>
    </r>
  </si>
  <si>
    <r>
      <t>no data available, estimation with a formula from Allen, 1998 (e</t>
    </r>
    <r>
      <rPr>
        <vertAlign val="subscript"/>
        <sz val="11"/>
        <color theme="1"/>
        <rFont val="Calibri"/>
        <family val="2"/>
        <scheme val="minor"/>
      </rPr>
      <t>a</t>
    </r>
    <r>
      <rPr>
        <sz val="11"/>
        <color theme="1"/>
        <rFont val="Calibri"/>
        <family val="2"/>
        <scheme val="minor"/>
      </rPr>
      <t>= 0.611 * exp( (17.27*Tmin)/(Tmin+237.3))</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</si>
</sst>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yyyy\-mm\-dd"/>
    <numFmt numFmtId="165" formatCode="0.000"/>
    <numFmt numFmtId="166" formatCode="0.0"/>
  </numFmts>
  <fonts count="37" x14ac:knownFonts="1">
    <font>
      <sz val="11"/>
      <color theme="1"/>
      <name val="Calibri"/>
      <family val="2"/>
      <scheme val="minor"/>
    </font>
    <font>
      <b/>
      <sz val="11"/>
      <color theme="1"/>
      <name val="Calibri"/>
      <family val="2"/>
      <scheme val="minor"/>
    </font>
    <font>
      <b/>
      <sz val="14"/>
      <color theme="1"/>
      <name val="Calibri"/>
      <family val="2"/>
      <scheme val="minor"/>
    </font>
    <font>
      <sz val="11"/>
      <name val="Calibri"/>
      <family val="2"/>
      <scheme val="minor"/>
    </font>
    <font>
      <u/>
      <sz val="10"/>
      <color indexed="12"/>
      <name val="Arial"/>
      <family val="2"/>
    </font>
    <font>
      <sz val="10"/>
      <name val="Arial"/>
      <family val="2"/>
    </font>
    <font>
      <sz val="11"/>
      <color rgb="FFFF0000"/>
      <name val="Calibri"/>
      <family val="2"/>
      <scheme val="minor"/>
    </font>
    <font>
      <sz val="11"/>
      <color rgb="FF000000"/>
      <name val="Arial"/>
      <family val="2"/>
    </font>
    <font>
      <u/>
      <sz val="11"/>
      <color theme="10"/>
      <name val="Calibri"/>
      <family val="2"/>
      <scheme val="minor"/>
    </font>
    <font>
      <b/>
      <sz val="11"/>
      <color theme="3"/>
      <name val="Arial"/>
      <family val="2"/>
    </font>
    <font>
      <sz val="12"/>
      <color theme="1"/>
      <name val="Calibri"/>
      <family val="2"/>
      <scheme val="minor"/>
    </font>
    <font>
      <sz val="11"/>
      <color theme="1"/>
      <name val="Arial"/>
      <family val="2"/>
    </font>
    <font>
      <b/>
      <sz val="11"/>
      <color rgb="FF000000"/>
      <name val="Arial"/>
      <family val="2"/>
    </font>
    <font>
      <b/>
      <sz val="11"/>
      <color theme="1"/>
      <name val="Arial"/>
      <family val="2"/>
    </font>
    <font>
      <b/>
      <sz val="11"/>
      <name val="Arial"/>
      <family val="2"/>
    </font>
    <font>
      <sz val="11"/>
      <name val="Arial"/>
      <family val="2"/>
    </font>
    <font>
      <b/>
      <sz val="11"/>
      <color rgb="FF003366"/>
      <name val="Arial"/>
      <family val="2"/>
    </font>
    <font>
      <b/>
      <sz val="11"/>
      <color rgb="FF333333"/>
      <name val="Arial"/>
      <family val="2"/>
    </font>
    <font>
      <sz val="11"/>
      <color rgb="FF3BA2F7"/>
      <name val="Calibri"/>
      <family val="2"/>
      <scheme val="minor"/>
    </font>
    <font>
      <u/>
      <sz val="11"/>
      <color theme="1"/>
      <name val="Calibri"/>
      <family val="2"/>
      <scheme val="minor"/>
    </font>
    <font>
      <sz val="11"/>
      <color theme="4"/>
      <name val="Calibri"/>
      <family val="2"/>
      <scheme val="minor"/>
    </font>
    <font>
      <b/>
      <sz val="11"/>
      <color rgb="FFFF0000"/>
      <name val="Arial"/>
      <family val="2"/>
    </font>
    <font>
      <b/>
      <sz val="10"/>
      <color rgb="FF003366"/>
      <name val="Arial"/>
      <family val="2"/>
    </font>
    <font>
      <b/>
      <sz val="10"/>
      <color theme="3"/>
      <name val="Arial"/>
      <family val="2"/>
    </font>
    <font>
      <b/>
      <sz val="10"/>
      <color rgb="FF000000"/>
      <name val="Arial"/>
      <family val="2"/>
    </font>
    <font>
      <sz val="10"/>
      <color theme="1"/>
      <name val="Arial"/>
      <family val="2"/>
    </font>
    <font>
      <b/>
      <sz val="10"/>
      <color theme="1"/>
      <name val="Arial"/>
      <family val="2"/>
    </font>
    <font>
      <b/>
      <sz val="10"/>
      <color theme="8" tint="-0.499984740745262"/>
      <name val="Arial"/>
      <family val="2"/>
    </font>
    <font>
      <b/>
      <sz val="10"/>
      <color rgb="FF333333"/>
      <name val="Arial"/>
      <family val="2"/>
    </font>
    <font>
      <sz val="10"/>
      <color rgb="FF000000"/>
      <name val="Arial"/>
      <family val="2"/>
    </font>
    <font>
      <b/>
      <sz val="10"/>
      <name val="Arial"/>
      <family val="2"/>
    </font>
    <font>
      <sz val="10"/>
      <color rgb="FF333333"/>
      <name val="Arial"/>
      <family val="2"/>
    </font>
    <font>
      <u/>
      <sz val="10"/>
      <color theme="10"/>
      <name val="Arial"/>
      <family val="2"/>
    </font>
    <font>
      <sz val="10"/>
      <color theme="3"/>
      <name val="Arial"/>
      <family val="2"/>
    </font>
    <font>
      <b/>
      <sz val="10"/>
      <color indexed="81"/>
      <name val="Tahoma"/>
      <family val="2"/>
    </font>
    <font>
      <sz val="10"/>
      <color indexed="81"/>
      <name val="Tahoma"/>
      <family val="2"/>
    </font>
    <font>
      <vertAlign val="subscript"/>
      <sz val="11"/>
      <color theme="1"/>
      <name val="Calibri"/>
      <family val="2"/>
      <scheme val="minor"/>
    </font>
  </fonts>
  <fills count="9">
    <fill>
      <patternFill patternType="none"/>
    </fill>
    <fill>
      <patternFill patternType="gray125"/>
    </fill>
    <fill>
      <patternFill patternType="solid">
        <fgColor theme="9" tint="0.39997558519241921"/>
        <bgColor indexed="64"/>
      </patternFill>
    </fill>
    <fill>
      <patternFill patternType="solid">
        <fgColor theme="9" tint="0.59999389629810485"/>
        <bgColor indexed="64"/>
      </patternFill>
    </fill>
    <fill>
      <patternFill patternType="solid">
        <fgColor rgb="FFF0F0F0"/>
        <bgColor indexed="64"/>
      </patternFill>
    </fill>
    <fill>
      <patternFill patternType="solid">
        <fgColor theme="0" tint="-4.9989318521683403E-2"/>
        <bgColor indexed="64"/>
      </patternFill>
    </fill>
    <fill>
      <patternFill patternType="solid">
        <fgColor rgb="FFFFFFFF"/>
        <bgColor indexed="64"/>
      </patternFill>
    </fill>
    <fill>
      <patternFill patternType="solid">
        <fgColor rgb="FFFFC000"/>
        <bgColor indexed="64"/>
      </patternFill>
    </fill>
    <fill>
      <patternFill patternType="solid">
        <fgColor rgb="FFFFFF00"/>
        <bgColor indexed="64"/>
      </patternFill>
    </fill>
  </fills>
  <borders count="11">
    <border>
      <left/>
      <right/>
      <top/>
      <bottom/>
      <diagonal/>
    </border>
    <border>
      <left style="medium">
        <color rgb="FFDDDDDD"/>
      </left>
      <right style="medium">
        <color rgb="FFDDDDDD"/>
      </right>
      <top style="medium">
        <color rgb="FFDDDDDD"/>
      </top>
      <bottom style="medium">
        <color rgb="FFDDDDDD"/>
      </bottom>
      <diagonal/>
    </border>
    <border>
      <left style="medium">
        <color rgb="FFDDDDDD"/>
      </left>
      <right style="medium">
        <color rgb="FFDDDDDD"/>
      </right>
      <top/>
      <bottom style="medium">
        <color rgb="FFDDDDDD"/>
      </bottom>
      <diagonal/>
    </border>
    <border>
      <left style="medium">
        <color rgb="FFCCCCCC"/>
      </left>
      <right style="medium">
        <color rgb="FFCCCCCC"/>
      </right>
      <top style="medium">
        <color rgb="FFCCCCCC"/>
      </top>
      <bottom style="medium">
        <color rgb="FFCCCCCC"/>
      </bottom>
      <diagonal/>
    </border>
    <border>
      <left/>
      <right/>
      <top/>
      <bottom style="medium">
        <color indexed="64"/>
      </bottom>
      <diagonal/>
    </border>
    <border>
      <left style="medium">
        <color rgb="FFDDDDDD"/>
      </left>
      <right/>
      <top/>
      <bottom/>
      <diagonal/>
    </border>
    <border>
      <left/>
      <right/>
      <top/>
      <bottom style="thin">
        <color indexed="64"/>
      </bottom>
      <diagonal/>
    </border>
    <border>
      <left style="medium">
        <color rgb="FFCCCCCC"/>
      </left>
      <right style="medium">
        <color rgb="FFCCCCCC"/>
      </right>
      <top/>
      <bottom/>
      <diagonal/>
    </border>
    <border>
      <left/>
      <right/>
      <top style="medium">
        <color indexed="64"/>
      </top>
      <bottom style="medium">
        <color indexed="64"/>
      </bottom>
      <diagonal/>
    </border>
    <border>
      <left/>
      <right/>
      <top style="medium">
        <color auto="1"/>
      </top>
      <bottom/>
      <diagonal/>
    </border>
    <border>
      <left style="medium">
        <color rgb="FFCCCCCC"/>
      </left>
      <right/>
      <top/>
      <bottom/>
      <diagonal/>
    </border>
  </borders>
  <cellStyleXfs count="4">
    <xf numFmtId="0" fontId="0" fillId="0" borderId="0"/>
    <xf numFmtId="0" fontId="4" fillId="0" borderId="0" applyNumberFormat="0" applyFill="0" applyBorder="0" applyAlignment="0" applyProtection="0">
      <alignment vertical="top"/>
      <protection locked="0"/>
    </xf>
    <xf numFmtId="0" fontId="5" fillId="0" borderId="0"/>
    <xf numFmtId="0" fontId="8" fillId="0" borderId="0" applyNumberFormat="0" applyFill="0" applyBorder="0" applyAlignment="0" applyProtection="0"/>
  </cellStyleXfs>
  <cellXfs count="238">
    <xf numFmtId="0" fontId="0" fillId="0" borderId="0" xfId="0"/>
    <xf numFmtId="0" fontId="0" fillId="0" borderId="0" xfId="0" applyFill="1" applyBorder="1"/>
    <xf numFmtId="164" fontId="0" fillId="0" borderId="0" xfId="0" applyNumberFormat="1" applyFill="1"/>
    <xf numFmtId="0" fontId="0" fillId="0" borderId="0" xfId="0" applyFill="1"/>
    <xf numFmtId="0" fontId="0" fillId="0" borderId="0" xfId="0" applyBorder="1"/>
    <xf numFmtId="164" fontId="0" fillId="0" borderId="0" xfId="0" applyNumberFormat="1"/>
    <xf numFmtId="0" fontId="0" fillId="0" borderId="0" xfId="0" applyAlignment="1">
      <alignment horizontal="right"/>
    </xf>
    <xf numFmtId="0" fontId="0" fillId="0" borderId="0" xfId="0" applyFont="1" applyFill="1" applyBorder="1"/>
    <xf numFmtId="0" fontId="0" fillId="0" borderId="0" xfId="0" applyFont="1" applyFill="1" applyBorder="1" applyAlignment="1">
      <alignment horizontal="right"/>
    </xf>
    <xf numFmtId="0" fontId="0" fillId="0" borderId="0" xfId="0" applyFont="1" applyFill="1" applyAlignment="1">
      <alignment horizontal="right"/>
    </xf>
    <xf numFmtId="0" fontId="3" fillId="0" borderId="0" xfId="0" applyFont="1" applyFill="1" applyBorder="1"/>
    <xf numFmtId="0" fontId="0" fillId="0" borderId="0" xfId="0" applyFill="1" applyBorder="1" applyAlignment="1">
      <alignment horizontal="center"/>
    </xf>
    <xf numFmtId="165" fontId="0" fillId="0" borderId="0" xfId="0" applyNumberFormat="1" applyFill="1" applyBorder="1"/>
    <xf numFmtId="165" fontId="3" fillId="0" borderId="0" xfId="0" applyNumberFormat="1" applyFont="1" applyFill="1" applyBorder="1"/>
    <xf numFmtId="0" fontId="7" fillId="0" borderId="0" xfId="0" applyFont="1" applyFill="1" applyBorder="1" applyAlignment="1">
      <alignment vertical="center" wrapText="1"/>
    </xf>
    <xf numFmtId="164" fontId="3" fillId="0" borderId="0" xfId="0" applyNumberFormat="1" applyFont="1" applyFill="1" applyBorder="1"/>
    <xf numFmtId="0" fontId="5" fillId="0" borderId="0" xfId="2"/>
    <xf numFmtId="0" fontId="2" fillId="2" borderId="0" xfId="0" applyFont="1" applyFill="1" applyAlignment="1">
      <alignment vertical="top"/>
    </xf>
    <xf numFmtId="0" fontId="1" fillId="2" borderId="0" xfId="0" applyFont="1" applyFill="1" applyAlignment="1">
      <alignment vertical="top"/>
    </xf>
    <xf numFmtId="0" fontId="1" fillId="0" borderId="0" xfId="0" applyFont="1" applyAlignment="1">
      <alignment vertical="top"/>
    </xf>
    <xf numFmtId="0" fontId="0" fillId="0" borderId="0" xfId="0" applyAlignment="1">
      <alignment vertical="top"/>
    </xf>
    <xf numFmtId="0" fontId="0" fillId="0" borderId="0" xfId="0" applyBorder="1" applyAlignment="1">
      <alignment wrapText="1"/>
    </xf>
    <xf numFmtId="0" fontId="9" fillId="5" borderId="0" xfId="0" applyFont="1" applyFill="1"/>
    <xf numFmtId="0" fontId="0" fillId="0" borderId="0" xfId="0" applyFill="1" applyAlignment="1">
      <alignment vertical="top" wrapText="1"/>
    </xf>
    <xf numFmtId="164" fontId="0" fillId="0" borderId="0" xfId="0" applyNumberFormat="1" applyFill="1" applyBorder="1"/>
    <xf numFmtId="0" fontId="3" fillId="0" borderId="0" xfId="0" applyFont="1" applyFill="1" applyAlignment="1">
      <alignment horizontal="right"/>
    </xf>
    <xf numFmtId="0" fontId="0" fillId="0" borderId="0" xfId="0" applyFill="1" applyAlignment="1">
      <alignment horizontal="right"/>
    </xf>
    <xf numFmtId="0" fontId="0" fillId="2" borderId="0" xfId="0" applyFont="1" applyFill="1" applyAlignment="1">
      <alignment horizontal="left" vertical="top" wrapText="1"/>
    </xf>
    <xf numFmtId="164" fontId="0" fillId="2" borderId="0" xfId="0" applyNumberFormat="1" applyFont="1" applyFill="1" applyAlignment="1">
      <alignment horizontal="left" vertical="top" wrapText="1"/>
    </xf>
    <xf numFmtId="0" fontId="0" fillId="0" borderId="0" xfId="0" applyFont="1" applyAlignment="1">
      <alignment horizontal="left" vertical="top" wrapText="1"/>
    </xf>
    <xf numFmtId="0" fontId="10" fillId="0" borderId="0" xfId="0" applyFont="1" applyAlignment="1">
      <alignment wrapText="1"/>
    </xf>
    <xf numFmtId="0" fontId="0" fillId="0" borderId="0" xfId="0" applyAlignment="1">
      <alignment vertical="top" wrapText="1"/>
    </xf>
    <xf numFmtId="2" fontId="0" fillId="0" borderId="0" xfId="0" applyNumberFormat="1"/>
    <xf numFmtId="2" fontId="5" fillId="0" borderId="0" xfId="0" applyNumberFormat="1" applyFont="1"/>
    <xf numFmtId="1" fontId="0" fillId="0" borderId="0" xfId="0" applyNumberFormat="1"/>
    <xf numFmtId="1" fontId="5" fillId="0" borderId="0" xfId="0" applyNumberFormat="1" applyFont="1"/>
    <xf numFmtId="0" fontId="7" fillId="0" borderId="3" xfId="0" applyFont="1" applyBorder="1" applyAlignment="1">
      <alignment vertical="center" wrapText="1"/>
    </xf>
    <xf numFmtId="0" fontId="11" fillId="0" borderId="0" xfId="0" applyFont="1"/>
    <xf numFmtId="0" fontId="1" fillId="0" borderId="0" xfId="0" applyFont="1" applyAlignment="1">
      <alignment horizontal="left"/>
    </xf>
    <xf numFmtId="0" fontId="0" fillId="2" borderId="0" xfId="0" applyFill="1" applyAlignment="1">
      <alignment vertical="top" wrapText="1"/>
    </xf>
    <xf numFmtId="0" fontId="0" fillId="0" borderId="0" xfId="0" applyBorder="1" applyAlignment="1">
      <alignment vertical="top" wrapText="1"/>
    </xf>
    <xf numFmtId="0" fontId="1" fillId="0" borderId="0" xfId="0" applyFont="1" applyFill="1" applyBorder="1" applyAlignment="1">
      <alignment horizontal="left" wrapText="1"/>
    </xf>
    <xf numFmtId="0" fontId="1" fillId="0" borderId="0" xfId="0" applyFont="1" applyBorder="1"/>
    <xf numFmtId="0" fontId="7" fillId="0" borderId="0" xfId="0" applyFont="1" applyBorder="1"/>
    <xf numFmtId="0" fontId="0" fillId="0" borderId="0" xfId="0" applyFill="1" applyBorder="1" applyAlignment="1">
      <alignment horizontal="right"/>
    </xf>
    <xf numFmtId="0" fontId="13" fillId="0" borderId="4" xfId="0" applyFont="1" applyBorder="1"/>
    <xf numFmtId="0" fontId="11" fillId="0" borderId="0" xfId="0" applyFont="1" applyBorder="1"/>
    <xf numFmtId="0" fontId="11" fillId="0" borderId="0" xfId="0" applyFont="1" applyFill="1" applyBorder="1" applyAlignment="1">
      <alignment horizontal="left"/>
    </xf>
    <xf numFmtId="0" fontId="15" fillId="0" borderId="0" xfId="0" applyFont="1" applyFill="1" applyBorder="1" applyAlignment="1">
      <alignment horizontal="left" wrapText="1"/>
    </xf>
    <xf numFmtId="0" fontId="14" fillId="0" borderId="4" xfId="0" applyFont="1" applyFill="1" applyBorder="1" applyAlignment="1">
      <alignment horizontal="left"/>
    </xf>
    <xf numFmtId="0" fontId="7" fillId="0" borderId="4" xfId="0" applyFont="1" applyFill="1" applyBorder="1" applyAlignment="1">
      <alignment horizontal="left" vertical="center" wrapText="1"/>
    </xf>
    <xf numFmtId="0" fontId="15" fillId="0" borderId="4" xfId="0" applyFont="1" applyFill="1" applyBorder="1" applyAlignment="1">
      <alignment horizontal="left" wrapText="1"/>
    </xf>
    <xf numFmtId="0" fontId="11" fillId="0" borderId="4" xfId="0" applyFont="1" applyFill="1" applyBorder="1" applyAlignment="1">
      <alignment horizontal="left"/>
    </xf>
    <xf numFmtId="0" fontId="11" fillId="0" borderId="4" xfId="0" applyFont="1" applyFill="1" applyBorder="1"/>
    <xf numFmtId="0" fontId="11" fillId="0" borderId="0" xfId="0" applyFont="1" applyFill="1" applyBorder="1"/>
    <xf numFmtId="0" fontId="11" fillId="0" borderId="0" xfId="0" applyFont="1" applyBorder="1" applyAlignment="1">
      <alignment vertical="center" wrapText="1" readingOrder="1"/>
    </xf>
    <xf numFmtId="0" fontId="11" fillId="0" borderId="0" xfId="0" applyFont="1" applyAlignment="1"/>
    <xf numFmtId="0" fontId="16" fillId="4" borderId="2" xfId="0" applyFont="1" applyFill="1" applyBorder="1" applyAlignment="1">
      <alignment horizontal="left" vertical="top" wrapText="1"/>
    </xf>
    <xf numFmtId="0" fontId="1" fillId="0" borderId="0" xfId="0" applyFont="1" applyBorder="1" applyAlignment="1">
      <alignment horizontal="right"/>
    </xf>
    <xf numFmtId="0" fontId="14" fillId="0" borderId="4" xfId="0" applyFont="1" applyBorder="1"/>
    <xf numFmtId="0" fontId="13" fillId="0" borderId="4" xfId="0" applyFont="1" applyFill="1" applyBorder="1" applyAlignment="1">
      <alignment horizontal="left"/>
    </xf>
    <xf numFmtId="165" fontId="14" fillId="0" borderId="4" xfId="0" applyNumberFormat="1" applyFont="1" applyFill="1" applyBorder="1" applyAlignment="1">
      <alignment horizontal="left"/>
    </xf>
    <xf numFmtId="0" fontId="13" fillId="0" borderId="4" xfId="0" applyFont="1" applyFill="1" applyBorder="1"/>
    <xf numFmtId="0" fontId="13" fillId="0" borderId="4" xfId="0" applyFont="1" applyBorder="1" applyAlignment="1"/>
    <xf numFmtId="0" fontId="14" fillId="0" borderId="4" xfId="0" applyFont="1" applyFill="1" applyBorder="1" applyAlignment="1"/>
    <xf numFmtId="0" fontId="13" fillId="0" borderId="0" xfId="0" applyFont="1" applyFill="1" applyAlignment="1"/>
    <xf numFmtId="0" fontId="14" fillId="0" borderId="0" xfId="0" applyFont="1" applyFill="1" applyAlignment="1"/>
    <xf numFmtId="0" fontId="13" fillId="0" borderId="4" xfId="0" applyFont="1" applyFill="1" applyBorder="1" applyAlignment="1"/>
    <xf numFmtId="164" fontId="14" fillId="0" borderId="4" xfId="0" applyNumberFormat="1" applyFont="1" applyFill="1" applyBorder="1" applyAlignment="1"/>
    <xf numFmtId="0" fontId="1" fillId="0" borderId="0" xfId="0" applyFont="1" applyBorder="1" applyAlignment="1">
      <alignment wrapText="1"/>
    </xf>
    <xf numFmtId="0" fontId="17" fillId="0" borderId="4" xfId="0" applyFont="1" applyFill="1" applyBorder="1" applyAlignment="1">
      <alignment vertical="top" wrapText="1"/>
    </xf>
    <xf numFmtId="0" fontId="17" fillId="6" borderId="4" xfId="0" applyFont="1" applyFill="1" applyBorder="1" applyAlignment="1">
      <alignment vertical="top" wrapText="1"/>
    </xf>
    <xf numFmtId="0" fontId="11" fillId="0" borderId="0" xfId="0" applyFont="1" applyAlignment="1">
      <alignment vertical="center"/>
    </xf>
    <xf numFmtId="0" fontId="0" fillId="0" borderId="0" xfId="0" applyFont="1" applyFill="1" applyBorder="1" applyAlignment="1">
      <alignment vertical="center"/>
    </xf>
    <xf numFmtId="0" fontId="0" fillId="0" borderId="0" xfId="0" applyFont="1" applyFill="1" applyBorder="1" applyAlignment="1">
      <alignment horizontal="left" vertical="center"/>
    </xf>
    <xf numFmtId="0" fontId="11" fillId="0" borderId="0" xfId="0" applyFont="1" applyBorder="1" applyAlignment="1">
      <alignment horizontal="left" vertical="center"/>
    </xf>
    <xf numFmtId="0" fontId="7" fillId="0" borderId="0" xfId="0" applyFont="1" applyAlignment="1">
      <alignment vertical="center"/>
    </xf>
    <xf numFmtId="0" fontId="0" fillId="0" borderId="0" xfId="0" applyFont="1" applyFill="1" applyBorder="1" applyAlignment="1"/>
    <xf numFmtId="0" fontId="13" fillId="0" borderId="0" xfId="0" applyFont="1" applyFill="1" applyBorder="1"/>
    <xf numFmtId="0" fontId="12" fillId="0" borderId="0" xfId="0" applyFont="1" applyFill="1" applyAlignment="1">
      <alignment vertical="center"/>
    </xf>
    <xf numFmtId="1" fontId="0" fillId="0" borderId="0" xfId="0" applyNumberFormat="1" applyFont="1" applyFill="1" applyBorder="1" applyAlignment="1">
      <alignment horizontal="left" vertical="center"/>
    </xf>
    <xf numFmtId="0" fontId="13" fillId="0" borderId="4" xfId="0" applyFont="1" applyFill="1" applyBorder="1" applyAlignment="1">
      <alignment horizontal="left" vertical="center"/>
    </xf>
    <xf numFmtId="0" fontId="13" fillId="0" borderId="4" xfId="0" applyFont="1" applyFill="1" applyBorder="1" applyAlignment="1">
      <alignment horizontal="left" vertical="center" wrapText="1"/>
    </xf>
    <xf numFmtId="164" fontId="3" fillId="0" borderId="6" xfId="0" applyNumberFormat="1" applyFont="1" applyFill="1" applyBorder="1"/>
    <xf numFmtId="0" fontId="0" fillId="0" borderId="6" xfId="0" applyFill="1" applyBorder="1"/>
    <xf numFmtId="1" fontId="0" fillId="0" borderId="0" xfId="0" applyNumberFormat="1" applyBorder="1"/>
    <xf numFmtId="0" fontId="7" fillId="0" borderId="0" xfId="0" applyFont="1" applyFill="1" applyBorder="1" applyAlignment="1">
      <alignment horizontal="left" vertical="center" wrapText="1"/>
    </xf>
    <xf numFmtId="0" fontId="12" fillId="0" borderId="4" xfId="0" applyFont="1" applyFill="1" applyBorder="1" applyAlignment="1">
      <alignment vertical="center"/>
    </xf>
    <xf numFmtId="0" fontId="0" fillId="0" borderId="0" xfId="0" applyNumberFormat="1"/>
    <xf numFmtId="1" fontId="0" fillId="0" borderId="0" xfId="0" applyNumberFormat="1" applyFill="1" applyBorder="1"/>
    <xf numFmtId="1" fontId="3" fillId="0" borderId="0" xfId="0" applyNumberFormat="1" applyFont="1" applyFill="1" applyBorder="1"/>
    <xf numFmtId="0" fontId="1" fillId="0" borderId="4" xfId="0" applyFont="1" applyBorder="1" applyAlignment="1">
      <alignment vertical="top"/>
    </xf>
    <xf numFmtId="0" fontId="0" fillId="0" borderId="4" xfId="0" applyBorder="1" applyAlignment="1">
      <alignment vertical="top" wrapText="1"/>
    </xf>
    <xf numFmtId="0" fontId="1" fillId="0" borderId="6" xfId="0" applyFont="1" applyBorder="1" applyAlignment="1">
      <alignment vertical="top"/>
    </xf>
    <xf numFmtId="0" fontId="0" fillId="0" borderId="6" xfId="0" applyBorder="1" applyAlignment="1">
      <alignment vertical="top" wrapText="1"/>
    </xf>
    <xf numFmtId="0" fontId="0" fillId="3" borderId="8" xfId="0" applyFill="1" applyBorder="1" applyAlignment="1">
      <alignment vertical="top"/>
    </xf>
    <xf numFmtId="0" fontId="0" fillId="0" borderId="8" xfId="0" applyFill="1" applyBorder="1" applyAlignment="1">
      <alignment vertical="top" wrapText="1"/>
    </xf>
    <xf numFmtId="0" fontId="0" fillId="0" borderId="8" xfId="0" applyBorder="1" applyAlignment="1">
      <alignment vertical="top" wrapText="1"/>
    </xf>
    <xf numFmtId="0" fontId="0" fillId="0" borderId="0" xfId="0" applyBorder="1" applyAlignment="1">
      <alignment vertical="top"/>
    </xf>
    <xf numFmtId="0" fontId="0" fillId="0" borderId="4" xfId="0" applyBorder="1"/>
    <xf numFmtId="0" fontId="0" fillId="0" borderId="6" xfId="0" applyBorder="1"/>
    <xf numFmtId="1" fontId="0" fillId="0" borderId="6" xfId="0" applyNumberFormat="1" applyBorder="1"/>
    <xf numFmtId="0" fontId="1" fillId="0" borderId="4" xfId="0" applyFont="1" applyBorder="1" applyAlignment="1">
      <alignment vertical="top" wrapText="1"/>
    </xf>
    <xf numFmtId="1" fontId="11" fillId="0" borderId="0" xfId="0" applyNumberFormat="1" applyFont="1" applyBorder="1"/>
    <xf numFmtId="1" fontId="0" fillId="0" borderId="6" xfId="0" applyNumberFormat="1" applyFill="1" applyBorder="1"/>
    <xf numFmtId="1" fontId="14" fillId="0" borderId="4" xfId="0" applyNumberFormat="1" applyFont="1" applyBorder="1" applyAlignment="1"/>
    <xf numFmtId="0" fontId="0" fillId="0" borderId="0" xfId="0" applyAlignment="1">
      <alignment horizontal="left"/>
    </xf>
    <xf numFmtId="0" fontId="0" fillId="0" borderId="6" xfId="0" applyBorder="1" applyAlignment="1">
      <alignment horizontal="left" vertical="top" wrapText="1"/>
    </xf>
    <xf numFmtId="0" fontId="1" fillId="0" borderId="6" xfId="0" applyFont="1" applyBorder="1" applyAlignment="1">
      <alignment horizontal="left"/>
    </xf>
    <xf numFmtId="0" fontId="0" fillId="0" borderId="6" xfId="0" applyFont="1" applyBorder="1" applyAlignment="1">
      <alignment horizontal="left" vertical="top" wrapText="1"/>
    </xf>
    <xf numFmtId="0" fontId="10" fillId="0" borderId="6" xfId="0" applyFont="1" applyBorder="1" applyAlignment="1">
      <alignment wrapText="1"/>
    </xf>
    <xf numFmtId="0" fontId="10" fillId="0" borderId="6" xfId="0" applyFont="1" applyBorder="1" applyAlignment="1">
      <alignment vertical="center" wrapText="1"/>
    </xf>
    <xf numFmtId="0" fontId="7" fillId="0" borderId="0" xfId="0" applyFont="1" applyFill="1" applyBorder="1"/>
    <xf numFmtId="164" fontId="13" fillId="0" borderId="4" xfId="0" applyNumberFormat="1" applyFont="1" applyFill="1" applyBorder="1" applyAlignment="1"/>
    <xf numFmtId="164" fontId="0" fillId="0" borderId="6" xfId="0" applyNumberFormat="1" applyFill="1" applyBorder="1"/>
    <xf numFmtId="0" fontId="11" fillId="0" borderId="0" xfId="0" applyFont="1" applyFill="1"/>
    <xf numFmtId="0" fontId="17" fillId="0" borderId="4" xfId="0" applyFont="1" applyFill="1" applyBorder="1" applyAlignment="1"/>
    <xf numFmtId="0" fontId="0" fillId="0" borderId="0" xfId="0" applyFont="1" applyFill="1" applyBorder="1" applyAlignment="1">
      <alignment horizontal="left"/>
    </xf>
    <xf numFmtId="1" fontId="17" fillId="6" borderId="4" xfId="0" applyNumberFormat="1" applyFont="1" applyFill="1" applyBorder="1" applyAlignment="1">
      <alignment vertical="top" wrapText="1"/>
    </xf>
    <xf numFmtId="1" fontId="17" fillId="0" borderId="4" xfId="0" applyNumberFormat="1" applyFont="1" applyFill="1" applyBorder="1" applyAlignment="1">
      <alignment vertical="top" wrapText="1"/>
    </xf>
    <xf numFmtId="0" fontId="11" fillId="0" borderId="0" xfId="0" applyFont="1" applyAlignment="1">
      <alignment horizontal="right" vertical="center"/>
    </xf>
    <xf numFmtId="0" fontId="13" fillId="0" borderId="4" xfId="0" applyFont="1" applyBorder="1" applyAlignment="1">
      <alignment horizontal="right"/>
    </xf>
    <xf numFmtId="165" fontId="0" fillId="0" borderId="0" xfId="0" applyNumberFormat="1" applyFont="1" applyFill="1" applyBorder="1"/>
    <xf numFmtId="0" fontId="13" fillId="0" borderId="4" xfId="0" applyFont="1" applyFill="1" applyBorder="1" applyAlignment="1">
      <alignment vertical="center" wrapText="1" readingOrder="1"/>
    </xf>
    <xf numFmtId="164" fontId="20" fillId="0" borderId="0" xfId="0" applyNumberFormat="1" applyFont="1" applyFill="1" applyBorder="1"/>
    <xf numFmtId="166" fontId="0" fillId="0" borderId="0" xfId="0" applyNumberFormat="1" applyBorder="1"/>
    <xf numFmtId="166" fontId="0" fillId="0" borderId="0" xfId="0" applyNumberFormat="1"/>
    <xf numFmtId="2" fontId="0" fillId="0" borderId="0" xfId="0" applyNumberFormat="1" applyFont="1" applyAlignment="1">
      <alignment horizontal="left"/>
    </xf>
    <xf numFmtId="2" fontId="0" fillId="0" borderId="0" xfId="0" applyNumberFormat="1" applyAlignment="1">
      <alignment horizontal="left"/>
    </xf>
    <xf numFmtId="2" fontId="0" fillId="0" borderId="0" xfId="0" applyNumberFormat="1" applyFont="1" applyFill="1" applyBorder="1" applyAlignment="1"/>
    <xf numFmtId="166" fontId="0" fillId="0" borderId="0" xfId="0" applyNumberFormat="1" applyFont="1" applyFill="1" applyAlignment="1">
      <alignment horizontal="left"/>
    </xf>
    <xf numFmtId="0" fontId="0" fillId="7" borderId="0" xfId="0" applyFill="1" applyBorder="1"/>
    <xf numFmtId="2" fontId="0" fillId="0" borderId="0" xfId="0" applyNumberFormat="1" applyFont="1" applyFill="1" applyAlignment="1">
      <alignment horizontal="left"/>
    </xf>
    <xf numFmtId="2" fontId="0" fillId="0" borderId="0" xfId="0" applyNumberFormat="1" applyFill="1" applyAlignment="1">
      <alignment horizontal="left"/>
    </xf>
    <xf numFmtId="1" fontId="0" fillId="0" borderId="0" xfId="0" applyNumberFormat="1" applyFill="1" applyAlignment="1">
      <alignment horizontal="left"/>
    </xf>
    <xf numFmtId="2" fontId="0" fillId="0" borderId="0" xfId="0" applyNumberFormat="1" applyFill="1"/>
    <xf numFmtId="2" fontId="0" fillId="8" borderId="0" xfId="0" applyNumberFormat="1" applyFill="1"/>
    <xf numFmtId="0" fontId="6" fillId="0" borderId="0" xfId="0" applyFont="1"/>
    <xf numFmtId="0" fontId="3" fillId="0" borderId="6" xfId="0" applyFont="1" applyFill="1" applyBorder="1"/>
    <xf numFmtId="165" fontId="0" fillId="0" borderId="6" xfId="0" applyNumberFormat="1" applyFont="1" applyFill="1" applyBorder="1"/>
    <xf numFmtId="164" fontId="13" fillId="0" borderId="0" xfId="0" applyNumberFormat="1" applyFont="1" applyFill="1" applyBorder="1" applyAlignment="1"/>
    <xf numFmtId="0" fontId="0" fillId="8" borderId="0" xfId="0" applyFont="1" applyFill="1" applyBorder="1" applyAlignment="1"/>
    <xf numFmtId="166" fontId="0" fillId="8" borderId="0" xfId="0" applyNumberFormat="1" applyFill="1" applyAlignment="1">
      <alignment horizontal="left"/>
    </xf>
    <xf numFmtId="0" fontId="13" fillId="0" borderId="0" xfId="0" applyFont="1" applyBorder="1" applyAlignment="1"/>
    <xf numFmtId="0" fontId="6" fillId="0" borderId="0" xfId="0" applyFont="1" applyFill="1" applyBorder="1"/>
    <xf numFmtId="0" fontId="0" fillId="0" borderId="6" xfId="0" applyFont="1" applyFill="1" applyBorder="1" applyAlignment="1">
      <alignment vertical="top" wrapText="1"/>
    </xf>
    <xf numFmtId="0" fontId="11" fillId="0" borderId="0" xfId="0" applyFont="1" applyFill="1" applyBorder="1" applyAlignment="1">
      <alignment horizontal="left" vertical="center"/>
    </xf>
    <xf numFmtId="1" fontId="13" fillId="0" borderId="4" xfId="0" applyNumberFormat="1" applyFont="1" applyBorder="1" applyAlignment="1"/>
    <xf numFmtId="164" fontId="21" fillId="0" borderId="4" xfId="0" applyNumberFormat="1" applyFont="1" applyFill="1" applyBorder="1" applyAlignment="1"/>
    <xf numFmtId="0" fontId="22" fillId="4" borderId="1" xfId="0" applyFont="1" applyFill="1" applyBorder="1" applyAlignment="1">
      <alignment horizontal="left" vertical="top" wrapText="1"/>
    </xf>
    <xf numFmtId="0" fontId="22" fillId="4" borderId="1" xfId="0" applyFont="1" applyFill="1" applyBorder="1" applyAlignment="1">
      <alignment horizontal="left" vertical="top"/>
    </xf>
    <xf numFmtId="0" fontId="22" fillId="4" borderId="5" xfId="0" applyFont="1" applyFill="1" applyBorder="1" applyAlignment="1">
      <alignment horizontal="left" vertical="top" wrapText="1"/>
    </xf>
    <xf numFmtId="0" fontId="23" fillId="5" borderId="0" xfId="0" applyFont="1" applyFill="1"/>
    <xf numFmtId="0" fontId="24" fillId="0" borderId="0" xfId="0" applyFont="1" applyFill="1" applyAlignment="1">
      <alignment vertical="center"/>
    </xf>
    <xf numFmtId="0" fontId="25" fillId="0" borderId="0" xfId="0" applyFont="1"/>
    <xf numFmtId="0" fontId="25" fillId="0" borderId="0" xfId="0" applyFont="1" applyAlignment="1"/>
    <xf numFmtId="0" fontId="26" fillId="0" borderId="0" xfId="0" applyFont="1" applyFill="1" applyBorder="1"/>
    <xf numFmtId="0" fontId="25" fillId="0" borderId="0" xfId="0" applyFont="1" applyBorder="1"/>
    <xf numFmtId="0" fontId="27" fillId="0" borderId="0" xfId="0" applyFont="1"/>
    <xf numFmtId="0" fontId="28" fillId="0" borderId="0" xfId="0" applyFont="1" applyFill="1" applyBorder="1" applyAlignment="1"/>
    <xf numFmtId="0" fontId="25" fillId="0" borderId="0" xfId="0" applyFont="1" applyFill="1" applyBorder="1" applyAlignment="1">
      <alignment horizontal="left"/>
    </xf>
    <xf numFmtId="0" fontId="25" fillId="0" borderId="0" xfId="0" applyFont="1" applyFill="1" applyBorder="1" applyAlignment="1">
      <alignment horizontal="left" wrapText="1"/>
    </xf>
    <xf numFmtId="0" fontId="27" fillId="0" borderId="4" xfId="0" applyFont="1" applyBorder="1"/>
    <xf numFmtId="0" fontId="24" fillId="0" borderId="4" xfId="0" applyFont="1" applyFill="1" applyBorder="1" applyAlignment="1">
      <alignment vertical="center"/>
    </xf>
    <xf numFmtId="0" fontId="25" fillId="0" borderId="4" xfId="0" applyFont="1" applyBorder="1"/>
    <xf numFmtId="0" fontId="25" fillId="0" borderId="4" xfId="0" applyFont="1" applyFill="1" applyBorder="1" applyAlignment="1">
      <alignment horizontal="left" wrapText="1"/>
    </xf>
    <xf numFmtId="0" fontId="25" fillId="0" borderId="0" xfId="0" applyFont="1" applyFill="1" applyBorder="1"/>
    <xf numFmtId="0" fontId="26" fillId="0" borderId="0" xfId="0" applyFont="1" applyFill="1" applyAlignment="1">
      <alignment vertical="center"/>
    </xf>
    <xf numFmtId="0" fontId="5" fillId="0" borderId="0" xfId="0" applyFont="1" applyFill="1" applyBorder="1" applyAlignment="1">
      <alignment horizontal="left" wrapText="1"/>
    </xf>
    <xf numFmtId="165" fontId="29" fillId="0" borderId="0" xfId="0" applyNumberFormat="1" applyFont="1" applyFill="1" applyBorder="1" applyAlignment="1">
      <alignment horizontal="left" vertical="center" wrapText="1"/>
    </xf>
    <xf numFmtId="165" fontId="5" fillId="0" borderId="0" xfId="0" applyNumberFormat="1" applyFont="1" applyFill="1" applyBorder="1" applyAlignment="1">
      <alignment horizontal="left"/>
    </xf>
    <xf numFmtId="0" fontId="26" fillId="0" borderId="0" xfId="0" applyFont="1" applyFill="1" applyBorder="1" applyAlignment="1">
      <alignment vertical="center"/>
    </xf>
    <xf numFmtId="0" fontId="29" fillId="0" borderId="0" xfId="0" applyFont="1" applyFill="1" applyBorder="1" applyAlignment="1">
      <alignment horizontal="left" vertical="center" wrapText="1"/>
    </xf>
    <xf numFmtId="0" fontId="25" fillId="0" borderId="4" xfId="0" applyFont="1" applyFill="1" applyBorder="1" applyAlignment="1">
      <alignment horizontal="left"/>
    </xf>
    <xf numFmtId="0" fontId="26" fillId="0" borderId="4" xfId="0" applyFont="1" applyFill="1" applyBorder="1" applyAlignment="1">
      <alignment vertical="center"/>
    </xf>
    <xf numFmtId="0" fontId="29" fillId="0" borderId="4" xfId="0" applyFont="1" applyFill="1" applyBorder="1" applyAlignment="1">
      <alignment horizontal="left" vertical="center" wrapText="1"/>
    </xf>
    <xf numFmtId="0" fontId="5" fillId="0" borderId="4" xfId="0" applyFont="1" applyFill="1" applyBorder="1" applyAlignment="1">
      <alignment horizontal="left" wrapText="1"/>
    </xf>
    <xf numFmtId="164" fontId="13" fillId="0" borderId="9" xfId="0" applyNumberFormat="1" applyFont="1" applyFill="1" applyBorder="1" applyAlignment="1"/>
    <xf numFmtId="0" fontId="13" fillId="0" borderId="0" xfId="0" applyFont="1" applyFill="1" applyBorder="1" applyAlignment="1">
      <alignment horizontal="left"/>
    </xf>
    <xf numFmtId="0" fontId="13" fillId="0" borderId="0" xfId="0" applyFont="1" applyFill="1" applyBorder="1" applyAlignment="1">
      <alignment vertical="center" wrapText="1" readingOrder="1"/>
    </xf>
    <xf numFmtId="0" fontId="14" fillId="0" borderId="0" xfId="0" applyFont="1" applyFill="1" applyBorder="1" applyAlignment="1">
      <alignment horizontal="left"/>
    </xf>
    <xf numFmtId="0" fontId="22" fillId="4" borderId="2" xfId="0" applyFont="1" applyFill="1" applyBorder="1" applyAlignment="1">
      <alignment horizontal="left" vertical="top" wrapText="1"/>
    </xf>
    <xf numFmtId="164" fontId="30" fillId="0" borderId="0" xfId="0" applyNumberFormat="1" applyFont="1" applyFill="1" applyAlignment="1"/>
    <xf numFmtId="0" fontId="31" fillId="6" borderId="1" xfId="0" applyFont="1" applyFill="1" applyBorder="1" applyAlignment="1">
      <alignment horizontal="left" vertical="top"/>
    </xf>
    <xf numFmtId="0" fontId="31" fillId="6" borderId="1" xfId="0" applyFont="1" applyFill="1" applyBorder="1" applyAlignment="1">
      <alignment horizontal="left" vertical="top" wrapText="1"/>
    </xf>
    <xf numFmtId="0" fontId="5" fillId="0" borderId="0" xfId="0" applyFont="1" applyFill="1" applyAlignment="1">
      <alignment horizontal="right"/>
    </xf>
    <xf numFmtId="0" fontId="30" fillId="0" borderId="0" xfId="0" applyFont="1" applyFill="1" applyAlignment="1"/>
    <xf numFmtId="0" fontId="5" fillId="0" borderId="4" xfId="0" applyFont="1" applyFill="1" applyBorder="1" applyAlignment="1">
      <alignment horizontal="right"/>
    </xf>
    <xf numFmtId="0" fontId="30" fillId="0" borderId="4" xfId="0" applyFont="1" applyFill="1" applyBorder="1" applyAlignment="1"/>
    <xf numFmtId="0" fontId="31" fillId="0" borderId="4" xfId="0" applyFont="1" applyFill="1" applyBorder="1" applyAlignment="1">
      <alignment horizontal="left" vertical="top"/>
    </xf>
    <xf numFmtId="0" fontId="31" fillId="0" borderId="4" xfId="0" applyFont="1" applyFill="1" applyBorder="1" applyAlignment="1">
      <alignment horizontal="left" vertical="top" wrapText="1"/>
    </xf>
    <xf numFmtId="0" fontId="25" fillId="0" borderId="4" xfId="0" applyFont="1" applyFill="1" applyBorder="1"/>
    <xf numFmtId="0" fontId="28" fillId="0" borderId="0" xfId="0" applyFont="1" applyFill="1" applyBorder="1" applyAlignment="1">
      <alignment vertical="top" wrapText="1"/>
    </xf>
    <xf numFmtId="0" fontId="31" fillId="0" borderId="0" xfId="0" applyFont="1" applyFill="1" applyBorder="1" applyAlignment="1">
      <alignment horizontal="left" vertical="top" wrapText="1"/>
    </xf>
    <xf numFmtId="0" fontId="32" fillId="0" borderId="0" xfId="3" applyFont="1" applyFill="1" applyBorder="1" applyAlignment="1">
      <alignment horizontal="left" vertical="top" wrapText="1"/>
    </xf>
    <xf numFmtId="0" fontId="26" fillId="0" borderId="4" xfId="0" applyFont="1" applyFill="1" applyBorder="1" applyAlignment="1"/>
    <xf numFmtId="0" fontId="25" fillId="0" borderId="0" xfId="0" applyFont="1" applyFill="1"/>
    <xf numFmtId="0" fontId="28" fillId="0" borderId="2" xfId="0" applyFont="1" applyFill="1" applyBorder="1" applyAlignment="1">
      <alignment vertical="top" wrapText="1"/>
    </xf>
    <xf numFmtId="0" fontId="31" fillId="0" borderId="2" xfId="0" applyFont="1" applyFill="1" applyBorder="1" applyAlignment="1">
      <alignment horizontal="left" vertical="top" wrapText="1"/>
    </xf>
    <xf numFmtId="0" fontId="28" fillId="0" borderId="1" xfId="0" applyFont="1" applyFill="1" applyBorder="1" applyAlignment="1">
      <alignment vertical="top" wrapText="1"/>
    </xf>
    <xf numFmtId="0" fontId="32" fillId="6" borderId="1" xfId="3" applyFont="1" applyFill="1" applyBorder="1" applyAlignment="1">
      <alignment horizontal="left" vertical="top" wrapText="1"/>
    </xf>
    <xf numFmtId="0" fontId="28" fillId="0" borderId="4" xfId="0" applyFont="1" applyFill="1" applyBorder="1" applyAlignment="1">
      <alignment vertical="top" wrapText="1"/>
    </xf>
    <xf numFmtId="0" fontId="26" fillId="0" borderId="0" xfId="0" applyFont="1" applyFill="1" applyAlignment="1"/>
    <xf numFmtId="0" fontId="26" fillId="0" borderId="0" xfId="0" applyFont="1" applyFill="1" applyAlignment="1">
      <alignment vertical="center" wrapText="1"/>
    </xf>
    <xf numFmtId="0" fontId="5" fillId="0" borderId="0" xfId="0" applyFont="1"/>
    <xf numFmtId="0" fontId="30" fillId="0" borderId="0" xfId="0" applyFont="1" applyFill="1" applyBorder="1" applyAlignment="1"/>
    <xf numFmtId="0" fontId="29" fillId="0" borderId="3" xfId="0" applyFont="1" applyFill="1" applyBorder="1" applyAlignment="1">
      <alignment vertical="center" wrapText="1"/>
    </xf>
    <xf numFmtId="0" fontId="29" fillId="0" borderId="0" xfId="0" applyFont="1" applyFill="1"/>
    <xf numFmtId="0" fontId="29" fillId="0" borderId="0" xfId="0" applyFont="1" applyFill="1" applyBorder="1" applyAlignment="1">
      <alignment vertical="center" wrapText="1"/>
    </xf>
    <xf numFmtId="0" fontId="29" fillId="0" borderId="7" xfId="0" applyFont="1" applyFill="1" applyBorder="1" applyAlignment="1">
      <alignment vertical="center" wrapText="1"/>
    </xf>
    <xf numFmtId="0" fontId="5" fillId="0" borderId="4" xfId="0" applyFont="1" applyBorder="1"/>
    <xf numFmtId="0" fontId="29" fillId="0" borderId="4" xfId="0" applyFont="1" applyFill="1" applyBorder="1"/>
    <xf numFmtId="0" fontId="29" fillId="0" borderId="4" xfId="0" applyFont="1" applyFill="1" applyBorder="1" applyAlignment="1">
      <alignment vertical="center" wrapText="1"/>
    </xf>
    <xf numFmtId="0" fontId="33" fillId="0" borderId="0" xfId="0" applyFont="1"/>
    <xf numFmtId="0" fontId="33" fillId="0" borderId="4" xfId="0" applyFont="1" applyBorder="1"/>
    <xf numFmtId="0" fontId="5" fillId="0" borderId="0" xfId="0" applyFont="1" applyFill="1" applyBorder="1"/>
    <xf numFmtId="0" fontId="14" fillId="8" borderId="0" xfId="0" applyFont="1" applyFill="1" applyAlignment="1"/>
    <xf numFmtId="0" fontId="21" fillId="0" borderId="0" xfId="0" applyFont="1" applyFill="1" applyAlignment="1"/>
    <xf numFmtId="0" fontId="0" fillId="8" borderId="0" xfId="0" applyFill="1" applyBorder="1"/>
    <xf numFmtId="164" fontId="21" fillId="0" borderId="0" xfId="0" applyNumberFormat="1" applyFont="1" applyFill="1" applyBorder="1" applyAlignment="1"/>
    <xf numFmtId="0" fontId="13" fillId="8" borderId="0" xfId="0" applyFont="1" applyFill="1" applyAlignment="1"/>
    <xf numFmtId="0" fontId="23" fillId="5" borderId="9" xfId="0" applyFont="1" applyFill="1" applyBorder="1"/>
    <xf numFmtId="0" fontId="24" fillId="0" borderId="9" xfId="0" applyFont="1" applyFill="1" applyBorder="1" applyAlignment="1">
      <alignment vertical="center"/>
    </xf>
    <xf numFmtId="0" fontId="25" fillId="0" borderId="9" xfId="0" applyFont="1" applyBorder="1"/>
    <xf numFmtId="0" fontId="25" fillId="0" borderId="9" xfId="0" applyFont="1" applyFill="1" applyBorder="1"/>
    <xf numFmtId="0" fontId="29" fillId="0" borderId="0" xfId="0" applyFont="1" applyFill="1" applyBorder="1"/>
    <xf numFmtId="0" fontId="25" fillId="0" borderId="0" xfId="0" applyFont="1" applyAlignment="1">
      <alignment vertical="center" wrapText="1" readingOrder="1"/>
    </xf>
    <xf numFmtId="0" fontId="25" fillId="0" borderId="4" xfId="0" applyFont="1" applyBorder="1" applyAlignment="1">
      <alignment vertical="center"/>
    </xf>
    <xf numFmtId="0" fontId="0" fillId="0" borderId="0" xfId="0" applyAlignment="1">
      <alignment horizontal="center" vertical="center"/>
    </xf>
    <xf numFmtId="165" fontId="14" fillId="0" borderId="0" xfId="0" applyNumberFormat="1" applyFont="1" applyFill="1" applyBorder="1" applyAlignment="1">
      <alignment horizontal="left"/>
    </xf>
    <xf numFmtId="2" fontId="0" fillId="0" borderId="0" xfId="0" quotePrefix="1" applyNumberFormat="1"/>
    <xf numFmtId="0" fontId="11" fillId="8" borderId="0" xfId="0" applyFont="1" applyFill="1" applyBorder="1"/>
    <xf numFmtId="0" fontId="0" fillId="0" borderId="0" xfId="0" applyFont="1"/>
    <xf numFmtId="164" fontId="0" fillId="0" borderId="0" xfId="0" applyNumberFormat="1" applyFont="1" applyFill="1" applyBorder="1"/>
    <xf numFmtId="1" fontId="0" fillId="0" borderId="0" xfId="0" applyNumberFormat="1" applyFill="1"/>
    <xf numFmtId="0" fontId="25" fillId="0" borderId="10" xfId="0" applyFont="1" applyFill="1" applyBorder="1" applyAlignment="1">
      <alignment horizontal="center" vertical="center" wrapText="1"/>
    </xf>
    <xf numFmtId="0" fontId="0" fillId="0" borderId="9" xfId="0" applyBorder="1" applyAlignment="1">
      <alignment horizontal="center" vertical="center"/>
    </xf>
    <xf numFmtId="0" fontId="0" fillId="0" borderId="0" xfId="0" applyAlignment="1">
      <alignment horizontal="center" vertical="center"/>
    </xf>
  </cellXfs>
  <cellStyles count="4">
    <cellStyle name="Hyperlink" xfId="3" builtinId="8"/>
    <cellStyle name="Hyperlink 2" xfId="1" xr:uid="{00000000-0005-0000-0000-000000000000}"/>
    <cellStyle name="Normal" xfId="0" builtinId="0"/>
    <cellStyle name="Normal 2" xfId="2" xr:uid="{00000000-0005-0000-0000-000003000000}"/>
  </cellStyles>
  <dxfs count="0"/>
  <tableStyles count="0" defaultTableStyle="TableStyleMedium2" defaultPivotStyle="PivotStyleLight16"/>
  <colors>
    <mruColors>
      <color rgb="FF3BA2F7"/>
      <color rgb="FFFF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rouxluci\Documents\Data\Donnees%20Maize%20AGMIP\FACE\soil%20moistur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oil moisture 2007"/>
      <sheetName val="soil moisture 2008"/>
    </sheetNames>
    <sheetDataSet>
      <sheetData sheetId="0"/>
      <sheetData sheetId="1">
        <row r="10">
          <cell r="J10">
            <v>14.883333333333333</v>
          </cell>
          <cell r="K10">
            <v>16.355555555555554</v>
          </cell>
          <cell r="L10">
            <v>15.155555555555555</v>
          </cell>
          <cell r="M10">
            <v>17.894444444444446</v>
          </cell>
          <cell r="N10">
            <v>15.405555555555555</v>
          </cell>
          <cell r="O10">
            <v>15.466666666666665</v>
          </cell>
          <cell r="P10">
            <v>16.361111111111111</v>
          </cell>
          <cell r="Q10">
            <v>17.95</v>
          </cell>
          <cell r="R10">
            <v>18.588888888888889</v>
          </cell>
          <cell r="S10">
            <v>17.727777777777774</v>
          </cell>
          <cell r="T10">
            <v>17.711111111111109</v>
          </cell>
          <cell r="U10">
            <v>17.277777777777779</v>
          </cell>
          <cell r="V10">
            <v>19.333333333333332</v>
          </cell>
          <cell r="W10">
            <v>17.583333333333336</v>
          </cell>
          <cell r="X10">
            <v>19.06111111111111</v>
          </cell>
          <cell r="Y10">
            <v>20.466666666666669</v>
          </cell>
          <cell r="Z10">
            <v>17.805555555555557</v>
          </cell>
          <cell r="AA10">
            <v>16.827777777777779</v>
          </cell>
          <cell r="AB10">
            <v>20.394444444444446</v>
          </cell>
          <cell r="AC10">
            <v>17.577777777777776</v>
          </cell>
          <cell r="AD10">
            <v>17.622222222222224</v>
          </cell>
          <cell r="AE10">
            <v>20.233333333333334</v>
          </cell>
          <cell r="AF10">
            <v>19.288888888888888</v>
          </cell>
        </row>
        <row r="11">
          <cell r="J11">
            <v>15.705555555555556</v>
          </cell>
          <cell r="K11">
            <v>16.991666666666667</v>
          </cell>
          <cell r="L11">
            <v>15.666666666666666</v>
          </cell>
          <cell r="M11">
            <v>18.811111111111114</v>
          </cell>
          <cell r="N11">
            <v>15.788888888888888</v>
          </cell>
          <cell r="O11">
            <v>14.93611111111111</v>
          </cell>
          <cell r="P11">
            <v>14.1</v>
          </cell>
          <cell r="Q11">
            <v>14.361111111111111</v>
          </cell>
          <cell r="R11">
            <v>16.399999999999999</v>
          </cell>
          <cell r="S11">
            <v>14.822222222222223</v>
          </cell>
          <cell r="T11">
            <v>15.877777777777776</v>
          </cell>
          <cell r="U11">
            <v>13.863888888888889</v>
          </cell>
          <cell r="V11">
            <v>13.472222222222223</v>
          </cell>
          <cell r="W11">
            <v>11.591666666666665</v>
          </cell>
          <cell r="X11">
            <v>14.269444444444446</v>
          </cell>
          <cell r="Y11">
            <v>15.705555555555556</v>
          </cell>
          <cell r="Z11">
            <v>13.972222222222221</v>
          </cell>
          <cell r="AA11">
            <v>13.036111111111111</v>
          </cell>
          <cell r="AB11">
            <v>14.983333333333334</v>
          </cell>
          <cell r="AC11">
            <v>13.3</v>
          </cell>
          <cell r="AD11">
            <v>13.06111111111111</v>
          </cell>
          <cell r="AE11">
            <v>11.911111111111111</v>
          </cell>
          <cell r="AF11">
            <v>12.06111111111111</v>
          </cell>
        </row>
        <row r="12">
          <cell r="J12">
            <v>13.061111111111112</v>
          </cell>
          <cell r="K12">
            <v>14.4</v>
          </cell>
          <cell r="L12">
            <v>14.072222222222223</v>
          </cell>
          <cell r="M12">
            <v>15.394444444444446</v>
          </cell>
          <cell r="N12">
            <v>12.166666666666668</v>
          </cell>
          <cell r="O12">
            <v>12.81111111111111</v>
          </cell>
          <cell r="P12">
            <v>13.411111111111111</v>
          </cell>
          <cell r="Q12">
            <v>15.65</v>
          </cell>
          <cell r="R12">
            <v>17.344444444444445</v>
          </cell>
          <cell r="S12">
            <v>15.255555555555555</v>
          </cell>
          <cell r="T12">
            <v>15.477777777777778</v>
          </cell>
          <cell r="U12">
            <v>15.188888888888886</v>
          </cell>
          <cell r="V12">
            <v>16.183333333333334</v>
          </cell>
          <cell r="W12">
            <v>15.794444444444444</v>
          </cell>
          <cell r="X12">
            <v>16.738888888888887</v>
          </cell>
          <cell r="Y12">
            <v>17.783333333333331</v>
          </cell>
          <cell r="Z12">
            <v>17.105555555555554</v>
          </cell>
          <cell r="AA12">
            <v>15.283333333333335</v>
          </cell>
          <cell r="AB12">
            <v>19.033333333333335</v>
          </cell>
          <cell r="AC12">
            <v>17.577777777777776</v>
          </cell>
          <cell r="AD12">
            <v>17.544444444444444</v>
          </cell>
          <cell r="AE12">
            <v>19.244444444444444</v>
          </cell>
          <cell r="AF12">
            <v>19.366666666666667</v>
          </cell>
        </row>
        <row r="13">
          <cell r="J13">
            <v>13.961111111111112</v>
          </cell>
          <cell r="K13">
            <v>16.041666666666664</v>
          </cell>
          <cell r="L13">
            <v>14.552777777777777</v>
          </cell>
          <cell r="M13">
            <v>17.366666666666667</v>
          </cell>
          <cell r="N13">
            <v>14.372222222222224</v>
          </cell>
          <cell r="O13">
            <v>13.108333333333334</v>
          </cell>
          <cell r="P13">
            <v>10.761111111111109</v>
          </cell>
          <cell r="Q13">
            <v>10.472222222222221</v>
          </cell>
          <cell r="R13">
            <v>11.822222222222223</v>
          </cell>
          <cell r="S13">
            <v>10.711111111111112</v>
          </cell>
          <cell r="T13">
            <v>11.769444444444444</v>
          </cell>
          <cell r="U13">
            <v>9.6583333333333314</v>
          </cell>
          <cell r="V13">
            <v>8.93611111111111</v>
          </cell>
          <cell r="W13">
            <v>7.3361111111111112</v>
          </cell>
          <cell r="X13">
            <v>10.619444444444444</v>
          </cell>
          <cell r="Y13">
            <v>12.875</v>
          </cell>
          <cell r="Z13">
            <v>11.652777777777779</v>
          </cell>
          <cell r="AA13">
            <v>10.794444444444444</v>
          </cell>
          <cell r="AB13">
            <v>13.236111111111112</v>
          </cell>
          <cell r="AC13">
            <v>10.927777777777777</v>
          </cell>
          <cell r="AD13">
            <v>10.213888888888889</v>
          </cell>
          <cell r="AE13">
            <v>9.18888888888889</v>
          </cell>
          <cell r="AF13">
            <v>9.0777777777777775</v>
          </cell>
        </row>
        <row r="14">
          <cell r="J14">
            <v>12.716666666666667</v>
          </cell>
          <cell r="K14">
            <v>13.65</v>
          </cell>
          <cell r="L14">
            <v>12.566666666666668</v>
          </cell>
          <cell r="M14">
            <v>14.333333333333332</v>
          </cell>
          <cell r="N14">
            <v>11.833333333333332</v>
          </cell>
          <cell r="O14">
            <v>12.344444444444445</v>
          </cell>
          <cell r="P14">
            <v>11.322222222222223</v>
          </cell>
          <cell r="Q14">
            <v>12.666666666666666</v>
          </cell>
          <cell r="R14">
            <v>14.577777777777779</v>
          </cell>
          <cell r="S14">
            <v>12.144444444444446</v>
          </cell>
          <cell r="T14">
            <v>13.716666666666665</v>
          </cell>
          <cell r="U14">
            <v>12.4</v>
          </cell>
          <cell r="V14">
            <v>14.21111111111111</v>
          </cell>
          <cell r="W14">
            <v>12.611111111111111</v>
          </cell>
          <cell r="X14">
            <v>14.077777777777778</v>
          </cell>
          <cell r="Y14">
            <v>17.100000000000001</v>
          </cell>
          <cell r="Z14">
            <v>14.138888888888889</v>
          </cell>
          <cell r="AA14">
            <v>12.888888888888889</v>
          </cell>
          <cell r="AB14">
            <v>16.127777777777776</v>
          </cell>
          <cell r="AC14">
            <v>14.644444444444442</v>
          </cell>
          <cell r="AD14">
            <v>13.927777777777781</v>
          </cell>
          <cell r="AE14">
            <v>16.705555555555556</v>
          </cell>
          <cell r="AF14">
            <v>17.288888888888891</v>
          </cell>
        </row>
        <row r="15">
          <cell r="J15">
            <v>14.408333333333335</v>
          </cell>
          <cell r="K15">
            <v>15.411111111111111</v>
          </cell>
          <cell r="L15">
            <v>13.958333333333332</v>
          </cell>
          <cell r="M15">
            <v>15.658333333333335</v>
          </cell>
          <cell r="N15">
            <v>13.416666666666668</v>
          </cell>
          <cell r="O15">
            <v>12.205555555555556</v>
          </cell>
          <cell r="P15">
            <v>10.241666666666667</v>
          </cell>
          <cell r="R15">
            <v>11.169444444444444</v>
          </cell>
          <cell r="S15">
            <v>9.7083333333333321</v>
          </cell>
          <cell r="T15">
            <v>10.566666666666666</v>
          </cell>
          <cell r="U15">
            <v>9.3138888888888882</v>
          </cell>
          <cell r="V15">
            <v>8.2555555555555546</v>
          </cell>
          <cell r="W15">
            <v>7.3861111111111111</v>
          </cell>
          <cell r="X15">
            <v>10.427777777777777</v>
          </cell>
          <cell r="Y15">
            <v>11.569444444444443</v>
          </cell>
          <cell r="Z15">
            <v>9.8722222222222218</v>
          </cell>
          <cell r="AA15">
            <v>9.0111111111111093</v>
          </cell>
          <cell r="AB15">
            <v>11.583333333333334</v>
          </cell>
          <cell r="AC15">
            <v>9.0694444444444446</v>
          </cell>
          <cell r="AD15">
            <v>8.8222222222222211</v>
          </cell>
          <cell r="AE15">
            <v>8.0027777777777782</v>
          </cell>
          <cell r="AF15">
            <v>7.7888888888888896</v>
          </cell>
        </row>
        <row r="16">
          <cell r="J16">
            <v>15.002777777777778</v>
          </cell>
          <cell r="K16">
            <v>16.24722222222222</v>
          </cell>
          <cell r="L16">
            <v>15</v>
          </cell>
          <cell r="M16">
            <v>16.558333333333334</v>
          </cell>
          <cell r="N16">
            <v>13.869444444444444</v>
          </cell>
          <cell r="O16">
            <v>13.636111111111111</v>
          </cell>
          <cell r="P16">
            <v>11.613888888888891</v>
          </cell>
          <cell r="R16">
            <v>12.741666666666667</v>
          </cell>
          <cell r="S16">
            <v>11.619444444444444</v>
          </cell>
          <cell r="T16">
            <v>12.547222222222221</v>
          </cell>
          <cell r="U16">
            <v>11.016666666666666</v>
          </cell>
          <cell r="V16">
            <v>10.113888888888889</v>
          </cell>
          <cell r="W16">
            <v>8.5</v>
          </cell>
          <cell r="X16">
            <v>10.902777777777777</v>
          </cell>
          <cell r="Y16">
            <v>12.327777777777779</v>
          </cell>
          <cell r="Z16">
            <v>10.147222222222222</v>
          </cell>
          <cell r="AA16">
            <v>9.7361111111111107</v>
          </cell>
          <cell r="AB16">
            <v>12.122222222222224</v>
          </cell>
          <cell r="AC16">
            <v>9.4333333333333336</v>
          </cell>
          <cell r="AD16">
            <v>9.216666666666665</v>
          </cell>
          <cell r="AE16">
            <v>8.0416666666666679</v>
          </cell>
          <cell r="AF16">
            <v>7.8694444444444454</v>
          </cell>
        </row>
        <row r="17">
          <cell r="J17">
            <v>14.872222222222224</v>
          </cell>
          <cell r="K17">
            <v>16.266666666666666</v>
          </cell>
          <cell r="L17">
            <v>15.066666666666666</v>
          </cell>
          <cell r="M17">
            <v>16.972222222222221</v>
          </cell>
          <cell r="N17">
            <v>14.411111111111111</v>
          </cell>
          <cell r="O17">
            <v>15.12777777777778</v>
          </cell>
          <cell r="P17">
            <v>14.733333333333334</v>
          </cell>
          <cell r="Q17">
            <v>15.833333333333332</v>
          </cell>
          <cell r="R17">
            <v>17.638888888888889</v>
          </cell>
          <cell r="S17">
            <v>16.644444444444446</v>
          </cell>
          <cell r="T17">
            <v>17.361111111111111</v>
          </cell>
          <cell r="U17">
            <v>16.883333333333333</v>
          </cell>
          <cell r="V17">
            <v>18.616666666666667</v>
          </cell>
          <cell r="W17">
            <v>16.56666666666667</v>
          </cell>
          <cell r="X17">
            <v>17.605555555555558</v>
          </cell>
          <cell r="Y17">
            <v>21.144444444444446</v>
          </cell>
          <cell r="Z17">
            <v>18.205555555555556</v>
          </cell>
          <cell r="AA17">
            <v>16.844444444444445</v>
          </cell>
          <cell r="AB17">
            <v>21.605555555555554</v>
          </cell>
          <cell r="AC17">
            <v>17.983333333333334</v>
          </cell>
          <cell r="AD17">
            <v>17.62777777777778</v>
          </cell>
          <cell r="AE17">
            <v>21.25</v>
          </cell>
          <cell r="AF17">
            <v>19.55</v>
          </cell>
        </row>
        <row r="18">
          <cell r="J18">
            <v>12.163888888888888</v>
          </cell>
          <cell r="K18">
            <v>13.408333333333333</v>
          </cell>
          <cell r="L18">
            <v>11.413888888888891</v>
          </cell>
          <cell r="M18">
            <v>13.055555555555557</v>
          </cell>
          <cell r="N18">
            <v>11.083333333333334</v>
          </cell>
          <cell r="O18">
            <v>9.905555555555555</v>
          </cell>
          <cell r="P18">
            <v>8.1444444444444439</v>
          </cell>
          <cell r="R18">
            <v>9.1777777777777771</v>
          </cell>
          <cell r="S18">
            <v>7.9416666666666664</v>
          </cell>
          <cell r="T18">
            <v>8.4749999999999996</v>
          </cell>
          <cell r="U18">
            <v>7.155555555555555</v>
          </cell>
          <cell r="V18">
            <v>5.9611111111111104</v>
          </cell>
          <cell r="W18">
            <v>5.9222222222222225</v>
          </cell>
          <cell r="X18">
            <v>7.8250000000000002</v>
          </cell>
          <cell r="Y18">
            <v>9.3388888888888886</v>
          </cell>
          <cell r="Z18">
            <v>7.7305555555555561</v>
          </cell>
          <cell r="AA18">
            <v>7.3166666666666673</v>
          </cell>
          <cell r="AB18">
            <v>8.905555555555555</v>
          </cell>
          <cell r="AC18">
            <v>7.2944444444444443</v>
          </cell>
          <cell r="AD18">
            <v>7.1527777777777768</v>
          </cell>
          <cell r="AE18">
            <v>6.2444444444444436</v>
          </cell>
          <cell r="AF18">
            <v>6.4083333333333332</v>
          </cell>
        </row>
        <row r="19">
          <cell r="J19">
            <v>12.644444444444444</v>
          </cell>
          <cell r="K19">
            <v>14.666666666666668</v>
          </cell>
          <cell r="L19">
            <v>12.605555555555558</v>
          </cell>
          <cell r="M19">
            <v>14.544444444444444</v>
          </cell>
          <cell r="N19">
            <v>12.038888888888888</v>
          </cell>
          <cell r="O19">
            <v>12.972222222222221</v>
          </cell>
          <cell r="P19">
            <v>12.616666666666667</v>
          </cell>
          <cell r="Q19">
            <v>13.18888888888889</v>
          </cell>
          <cell r="R19">
            <v>13.361111111111111</v>
          </cell>
          <cell r="S19">
            <v>13.144444444444446</v>
          </cell>
          <cell r="T19">
            <v>14</v>
          </cell>
          <cell r="U19">
            <v>13.527777777777779</v>
          </cell>
          <cell r="V19">
            <v>14.744444444444444</v>
          </cell>
          <cell r="W19">
            <v>13.872222222222224</v>
          </cell>
          <cell r="X19">
            <v>15.388888888888889</v>
          </cell>
          <cell r="Y19">
            <v>17.81666666666667</v>
          </cell>
          <cell r="Z19">
            <v>15.122222222222222</v>
          </cell>
          <cell r="AA19">
            <v>14.577777777777778</v>
          </cell>
          <cell r="AB19">
            <v>17.994444444444447</v>
          </cell>
          <cell r="AC19">
            <v>16.238888888888887</v>
          </cell>
          <cell r="AD19">
            <v>15.588888888888889</v>
          </cell>
          <cell r="AE19">
            <v>18.777777777777779</v>
          </cell>
          <cell r="AF19">
            <v>18.005555555555556</v>
          </cell>
        </row>
        <row r="20">
          <cell r="J20">
            <v>15.816666666666668</v>
          </cell>
          <cell r="K20">
            <v>16.774999999999999</v>
          </cell>
          <cell r="L20">
            <v>15.783333333333335</v>
          </cell>
          <cell r="M20">
            <v>18.238888888888887</v>
          </cell>
          <cell r="N20">
            <v>15.172222222222224</v>
          </cell>
          <cell r="O20">
            <v>14.888888888888889</v>
          </cell>
          <cell r="P20">
            <v>13.238888888888889</v>
          </cell>
          <cell r="Q20">
            <v>12.544444444444444</v>
          </cell>
          <cell r="R20">
            <v>13.786111111111111</v>
          </cell>
          <cell r="S20">
            <v>13.463888888888889</v>
          </cell>
          <cell r="T20">
            <v>13.922222222222221</v>
          </cell>
          <cell r="U20">
            <v>12.211111111111112</v>
          </cell>
          <cell r="V20">
            <v>11.391666666666666</v>
          </cell>
          <cell r="W20">
            <v>9.1083333333333343</v>
          </cell>
          <cell r="X20">
            <v>10.199999999999999</v>
          </cell>
          <cell r="Y20">
            <v>12.797222222222222</v>
          </cell>
          <cell r="Z20">
            <v>11.108333333333333</v>
          </cell>
          <cell r="AA20">
            <v>10.574999999999999</v>
          </cell>
          <cell r="AB20">
            <v>12.233333333333333</v>
          </cell>
          <cell r="AC20">
            <v>10.33611111111111</v>
          </cell>
          <cell r="AD20">
            <v>10.252777777777776</v>
          </cell>
          <cell r="AE20">
            <v>9.5444444444444443</v>
          </cell>
          <cell r="AF20">
            <v>9.2583333333333329</v>
          </cell>
        </row>
        <row r="21">
          <cell r="J21">
            <v>16.205555555555556</v>
          </cell>
          <cell r="K21">
            <v>18.033333333333331</v>
          </cell>
          <cell r="L21">
            <v>15.977777777777778</v>
          </cell>
          <cell r="M21">
            <v>17.933333333333334</v>
          </cell>
          <cell r="N21">
            <v>15.722222222222221</v>
          </cell>
          <cell r="O21">
            <v>16.605555555555554</v>
          </cell>
          <cell r="P21">
            <v>17.983333333333331</v>
          </cell>
          <cell r="Q21">
            <v>17.855555555555554</v>
          </cell>
          <cell r="R21">
            <v>19.18888888888889</v>
          </cell>
          <cell r="S21">
            <v>18.511111111111113</v>
          </cell>
          <cell r="T21">
            <v>19.472222222222225</v>
          </cell>
          <cell r="U21">
            <v>18.327777777777776</v>
          </cell>
          <cell r="V21">
            <v>19.655555555555559</v>
          </cell>
          <cell r="W21">
            <v>18.677777777777777</v>
          </cell>
          <cell r="X21">
            <v>20.12777777777778</v>
          </cell>
          <cell r="Y21">
            <v>21.344444444444441</v>
          </cell>
          <cell r="Z21">
            <v>19.205555555555556</v>
          </cell>
          <cell r="AA21">
            <v>18.055555555555557</v>
          </cell>
          <cell r="AB21">
            <v>21.427777777777777</v>
          </cell>
          <cell r="AC21">
            <v>18.81666666666667</v>
          </cell>
          <cell r="AD21">
            <v>19.344444444444445</v>
          </cell>
          <cell r="AE21">
            <v>21.744444444444447</v>
          </cell>
          <cell r="AF21">
            <v>20.533333333333331</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research.agmip.org/display/dev/Lookup+codes+for+management+variables" TargetMode="External"/><Relationship Id="rId1" Type="http://schemas.openxmlformats.org/officeDocument/2006/relationships/hyperlink" Target="http://research.agmip.org/display/dev/Lookup+codes+for+management+variables"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9"/>
  <sheetViews>
    <sheetView workbookViewId="0"/>
  </sheetViews>
  <sheetFormatPr defaultColWidth="9.21875" defaultRowHeight="14.4" x14ac:dyDescent="0.3"/>
  <cols>
    <col min="1" max="1" width="23.77734375" style="20" customWidth="1"/>
    <col min="2" max="2" width="134.21875" style="31" customWidth="1"/>
    <col min="3" max="3" width="17.44140625" customWidth="1"/>
    <col min="8" max="8" width="12.77734375" customWidth="1"/>
  </cols>
  <sheetData>
    <row r="1" spans="1:8" ht="18" x14ac:dyDescent="0.3">
      <c r="A1" s="17" t="s">
        <v>3</v>
      </c>
      <c r="B1" s="39"/>
      <c r="H1" s="2"/>
    </row>
    <row r="2" spans="1:8" x14ac:dyDescent="0.3">
      <c r="A2" s="18" t="s">
        <v>54</v>
      </c>
      <c r="B2" s="39" t="s">
        <v>250</v>
      </c>
      <c r="H2" s="2"/>
    </row>
    <row r="3" spans="1:8" x14ac:dyDescent="0.3">
      <c r="A3" s="18" t="s">
        <v>55</v>
      </c>
      <c r="B3" s="28">
        <v>43603</v>
      </c>
      <c r="H3" s="2"/>
    </row>
    <row r="4" spans="1:8" x14ac:dyDescent="0.3">
      <c r="A4" s="38" t="s">
        <v>56</v>
      </c>
      <c r="B4" s="107">
        <v>1</v>
      </c>
      <c r="H4" s="2"/>
    </row>
    <row r="5" spans="1:8" ht="28.8" x14ac:dyDescent="0.3">
      <c r="A5" s="93" t="s">
        <v>57</v>
      </c>
      <c r="B5" s="94" t="s">
        <v>303</v>
      </c>
    </row>
    <row r="6" spans="1:8" ht="43.2" x14ac:dyDescent="0.3">
      <c r="A6" s="93" t="s">
        <v>61</v>
      </c>
      <c r="B6" s="94" t="s">
        <v>300</v>
      </c>
    </row>
    <row r="7" spans="1:8" ht="87" thickBot="1" x14ac:dyDescent="0.35">
      <c r="A7" s="91" t="s">
        <v>62</v>
      </c>
      <c r="B7" s="92" t="s">
        <v>304</v>
      </c>
    </row>
    <row r="8" spans="1:8" ht="58.2" thickBot="1" x14ac:dyDescent="0.35">
      <c r="A8" s="95" t="s">
        <v>5</v>
      </c>
      <c r="B8" s="96" t="s">
        <v>301</v>
      </c>
      <c r="C8" s="21"/>
      <c r="D8" s="4"/>
      <c r="E8" s="4"/>
      <c r="F8" s="4"/>
      <c r="G8" s="4"/>
      <c r="H8" s="4"/>
    </row>
    <row r="9" spans="1:8" ht="29.4" thickBot="1" x14ac:dyDescent="0.35">
      <c r="A9" s="95" t="s">
        <v>122</v>
      </c>
      <c r="B9" s="97" t="s">
        <v>306</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92D050"/>
  </sheetPr>
  <dimension ref="A1:F26"/>
  <sheetViews>
    <sheetView workbookViewId="0">
      <pane ySplit="2" topLeftCell="A3" activePane="bottomLeft" state="frozen"/>
      <selection pane="bottomLeft" activeCell="B4" sqref="B4"/>
    </sheetView>
  </sheetViews>
  <sheetFormatPr defaultColWidth="8.77734375" defaultRowHeight="14.4" x14ac:dyDescent="0.3"/>
  <cols>
    <col min="1" max="1" width="19" style="1" bestFit="1" customWidth="1"/>
    <col min="2" max="2" width="16.21875" style="1" bestFit="1" customWidth="1"/>
    <col min="3" max="3" width="17" style="1" bestFit="1" customWidth="1"/>
    <col min="4" max="4" width="21.5546875" style="89" bestFit="1" customWidth="1"/>
    <col min="5" max="5" width="21.44140625" style="89" bestFit="1" customWidth="1"/>
    <col min="6" max="6" width="21.5546875" style="89" bestFit="1" customWidth="1"/>
    <col min="7" max="16384" width="8.77734375" style="1"/>
  </cols>
  <sheetData>
    <row r="1" spans="1:6" x14ac:dyDescent="0.3">
      <c r="A1" s="46" t="s">
        <v>323</v>
      </c>
      <c r="B1" s="46" t="s">
        <v>234</v>
      </c>
      <c r="C1" s="46" t="s">
        <v>235</v>
      </c>
      <c r="D1" s="103" t="s">
        <v>236</v>
      </c>
      <c r="E1" s="89" t="s">
        <v>277</v>
      </c>
      <c r="F1" s="89" t="s">
        <v>276</v>
      </c>
    </row>
    <row r="2" spans="1:6" ht="15" thickBot="1" x14ac:dyDescent="0.35">
      <c r="A2" s="113" t="s">
        <v>327</v>
      </c>
      <c r="B2" s="71" t="s">
        <v>117</v>
      </c>
      <c r="C2" s="71" t="s">
        <v>32</v>
      </c>
      <c r="D2" s="118" t="s">
        <v>51</v>
      </c>
      <c r="E2" s="119" t="s">
        <v>273</v>
      </c>
      <c r="F2" s="119" t="s">
        <v>274</v>
      </c>
    </row>
    <row r="3" spans="1:6" x14ac:dyDescent="0.3">
      <c r="A3" s="1">
        <v>1</v>
      </c>
      <c r="B3" s="15">
        <v>39202</v>
      </c>
      <c r="C3" s="1" t="s">
        <v>335</v>
      </c>
      <c r="D3" s="89">
        <v>36</v>
      </c>
    </row>
    <row r="4" spans="1:6" x14ac:dyDescent="0.3">
      <c r="A4" s="1">
        <v>1</v>
      </c>
      <c r="B4" s="15">
        <v>39224</v>
      </c>
      <c r="C4" s="1" t="s">
        <v>275</v>
      </c>
      <c r="D4" s="89">
        <v>99</v>
      </c>
    </row>
    <row r="5" spans="1:6" x14ac:dyDescent="0.3">
      <c r="A5" s="84">
        <v>1</v>
      </c>
      <c r="B5" s="83">
        <v>39227</v>
      </c>
      <c r="C5" s="84" t="s">
        <v>335</v>
      </c>
      <c r="D5" s="104">
        <v>36</v>
      </c>
      <c r="E5" s="104"/>
      <c r="F5" s="104"/>
    </row>
    <row r="6" spans="1:6" x14ac:dyDescent="0.3">
      <c r="A6" s="1">
        <v>2</v>
      </c>
      <c r="B6" s="15">
        <v>39202</v>
      </c>
      <c r="C6" s="1" t="s">
        <v>335</v>
      </c>
      <c r="D6" s="89">
        <v>36</v>
      </c>
    </row>
    <row r="7" spans="1:6" x14ac:dyDescent="0.3">
      <c r="A7" s="1">
        <v>2</v>
      </c>
      <c r="B7" s="15">
        <v>39224</v>
      </c>
      <c r="C7" s="1" t="s">
        <v>275</v>
      </c>
      <c r="D7" s="89">
        <v>99</v>
      </c>
    </row>
    <row r="8" spans="1:6" x14ac:dyDescent="0.3">
      <c r="A8" s="84">
        <v>2</v>
      </c>
      <c r="B8" s="83">
        <v>39227</v>
      </c>
      <c r="C8" s="84" t="s">
        <v>335</v>
      </c>
      <c r="D8" s="104">
        <v>36</v>
      </c>
      <c r="E8" s="104"/>
      <c r="F8" s="104"/>
    </row>
    <row r="9" spans="1:6" x14ac:dyDescent="0.3">
      <c r="A9" s="1">
        <v>3</v>
      </c>
      <c r="B9" s="15">
        <v>39202</v>
      </c>
      <c r="C9" s="1" t="s">
        <v>335</v>
      </c>
      <c r="D9" s="89">
        <v>36</v>
      </c>
    </row>
    <row r="10" spans="1:6" x14ac:dyDescent="0.3">
      <c r="A10" s="1">
        <v>3</v>
      </c>
      <c r="B10" s="15">
        <v>39224</v>
      </c>
      <c r="C10" s="1" t="s">
        <v>275</v>
      </c>
      <c r="D10" s="89">
        <v>99</v>
      </c>
    </row>
    <row r="11" spans="1:6" x14ac:dyDescent="0.3">
      <c r="A11" s="84">
        <v>3</v>
      </c>
      <c r="B11" s="83">
        <v>39227</v>
      </c>
      <c r="C11" s="84" t="s">
        <v>335</v>
      </c>
      <c r="D11" s="104">
        <v>36</v>
      </c>
      <c r="E11" s="104"/>
      <c r="F11" s="104"/>
    </row>
    <row r="12" spans="1:6" x14ac:dyDescent="0.3">
      <c r="A12" s="1">
        <v>4</v>
      </c>
      <c r="B12" s="15">
        <v>39202</v>
      </c>
      <c r="C12" s="1" t="s">
        <v>335</v>
      </c>
      <c r="D12" s="89">
        <v>36</v>
      </c>
    </row>
    <row r="13" spans="1:6" x14ac:dyDescent="0.3">
      <c r="A13" s="1">
        <v>4</v>
      </c>
      <c r="B13" s="15">
        <v>39224</v>
      </c>
      <c r="C13" s="1" t="s">
        <v>275</v>
      </c>
      <c r="D13" s="89">
        <v>99</v>
      </c>
    </row>
    <row r="14" spans="1:6" x14ac:dyDescent="0.3">
      <c r="A14" s="84">
        <v>4</v>
      </c>
      <c r="B14" s="83">
        <v>39227</v>
      </c>
      <c r="C14" s="84" t="s">
        <v>335</v>
      </c>
      <c r="D14" s="104">
        <v>36</v>
      </c>
      <c r="E14" s="104"/>
      <c r="F14" s="104"/>
    </row>
    <row r="15" spans="1:6" x14ac:dyDescent="0.3">
      <c r="A15" s="1">
        <v>5</v>
      </c>
      <c r="B15" s="15">
        <v>39577</v>
      </c>
      <c r="C15" s="1" t="s">
        <v>335</v>
      </c>
      <c r="D15" s="89">
        <v>36</v>
      </c>
    </row>
    <row r="16" spans="1:6" x14ac:dyDescent="0.3">
      <c r="A16" s="1">
        <v>5</v>
      </c>
      <c r="B16" s="15">
        <v>39579</v>
      </c>
      <c r="C16" s="1" t="s">
        <v>275</v>
      </c>
      <c r="D16" s="89">
        <v>108</v>
      </c>
    </row>
    <row r="17" spans="1:6" x14ac:dyDescent="0.3">
      <c r="A17" s="84">
        <v>5</v>
      </c>
      <c r="B17" s="83">
        <v>39604</v>
      </c>
      <c r="C17" s="84" t="s">
        <v>336</v>
      </c>
      <c r="D17" s="104">
        <v>54</v>
      </c>
      <c r="E17" s="104"/>
      <c r="F17" s="104"/>
    </row>
    <row r="18" spans="1:6" x14ac:dyDescent="0.3">
      <c r="A18" s="1">
        <v>6</v>
      </c>
      <c r="B18" s="15">
        <v>39577</v>
      </c>
      <c r="C18" s="1" t="s">
        <v>335</v>
      </c>
      <c r="D18" s="89">
        <v>36</v>
      </c>
    </row>
    <row r="19" spans="1:6" x14ac:dyDescent="0.3">
      <c r="A19" s="1">
        <v>6</v>
      </c>
      <c r="B19" s="15">
        <v>39579</v>
      </c>
      <c r="C19" s="1" t="s">
        <v>275</v>
      </c>
      <c r="D19" s="89">
        <v>108</v>
      </c>
    </row>
    <row r="20" spans="1:6" x14ac:dyDescent="0.3">
      <c r="A20" s="84">
        <v>6</v>
      </c>
      <c r="B20" s="83">
        <v>39604</v>
      </c>
      <c r="C20" s="84" t="s">
        <v>336</v>
      </c>
      <c r="D20" s="104">
        <v>54</v>
      </c>
      <c r="E20" s="104"/>
      <c r="F20" s="104"/>
    </row>
    <row r="21" spans="1:6" x14ac:dyDescent="0.3">
      <c r="A21" s="1">
        <v>7</v>
      </c>
      <c r="B21" s="15">
        <v>39577</v>
      </c>
      <c r="C21" s="1" t="s">
        <v>335</v>
      </c>
      <c r="D21" s="89">
        <v>36</v>
      </c>
    </row>
    <row r="22" spans="1:6" x14ac:dyDescent="0.3">
      <c r="A22" s="1">
        <v>7</v>
      </c>
      <c r="B22" s="15">
        <v>39579</v>
      </c>
      <c r="C22" s="1" t="s">
        <v>275</v>
      </c>
      <c r="D22" s="89">
        <v>108</v>
      </c>
    </row>
    <row r="23" spans="1:6" x14ac:dyDescent="0.3">
      <c r="A23" s="84">
        <v>7</v>
      </c>
      <c r="B23" s="83">
        <v>39604</v>
      </c>
      <c r="C23" s="84" t="s">
        <v>336</v>
      </c>
      <c r="D23" s="104">
        <v>54</v>
      </c>
      <c r="E23" s="104"/>
      <c r="F23" s="104"/>
    </row>
    <row r="24" spans="1:6" x14ac:dyDescent="0.3">
      <c r="A24" s="1">
        <v>8</v>
      </c>
      <c r="B24" s="15">
        <v>39577</v>
      </c>
      <c r="C24" s="1" t="s">
        <v>335</v>
      </c>
      <c r="D24" s="89">
        <v>36</v>
      </c>
    </row>
    <row r="25" spans="1:6" x14ac:dyDescent="0.3">
      <c r="A25" s="1">
        <v>8</v>
      </c>
      <c r="B25" s="15">
        <v>39579</v>
      </c>
      <c r="C25" s="1" t="s">
        <v>275</v>
      </c>
      <c r="D25" s="89">
        <v>108</v>
      </c>
    </row>
    <row r="26" spans="1:6" x14ac:dyDescent="0.3">
      <c r="A26" s="84">
        <v>8</v>
      </c>
      <c r="B26" s="83">
        <v>39604</v>
      </c>
      <c r="C26" s="84" t="s">
        <v>336</v>
      </c>
      <c r="D26" s="104">
        <v>54</v>
      </c>
      <c r="E26" s="104"/>
      <c r="F26" s="104"/>
    </row>
  </sheetData>
  <sortState xmlns:xlrd2="http://schemas.microsoft.com/office/spreadsheetml/2017/richdata2" ref="A52:F223">
    <sortCondition ref="A52:A223"/>
    <sortCondition ref="B52:B223"/>
  </sortState>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9" tint="0.39997558519241921"/>
  </sheetPr>
  <dimension ref="A1:G6"/>
  <sheetViews>
    <sheetView zoomScale="85" zoomScaleNormal="85" workbookViewId="0">
      <pane ySplit="2" topLeftCell="A3" activePane="bottomLeft" state="frozen"/>
      <selection pane="bottomLeft" activeCell="F15" sqref="F15"/>
    </sheetView>
  </sheetViews>
  <sheetFormatPr defaultColWidth="9.21875" defaultRowHeight="14.4" x14ac:dyDescent="0.3"/>
  <cols>
    <col min="1" max="1" width="14.5546875" style="74" bestFit="1" customWidth="1"/>
    <col min="2" max="2" width="14.21875" style="74" bestFit="1" customWidth="1"/>
    <col min="3" max="3" width="20.77734375" style="74" bestFit="1" customWidth="1"/>
    <col min="4" max="4" width="11.77734375" style="74" bestFit="1" customWidth="1"/>
    <col min="5" max="5" width="12.44140625" style="74" bestFit="1" customWidth="1"/>
    <col min="6" max="6" width="24.77734375" style="74" bestFit="1" customWidth="1"/>
    <col min="7" max="7" width="14.77734375" style="74" bestFit="1" customWidth="1"/>
    <col min="8" max="8" width="12.21875" style="74" bestFit="1" customWidth="1"/>
    <col min="9" max="16384" width="9.21875" style="74"/>
  </cols>
  <sheetData>
    <row r="1" spans="1:7" x14ac:dyDescent="0.3">
      <c r="A1" s="75" t="s">
        <v>113</v>
      </c>
      <c r="B1" s="75" t="s">
        <v>154</v>
      </c>
      <c r="C1" t="s">
        <v>281</v>
      </c>
      <c r="D1" s="75" t="s">
        <v>156</v>
      </c>
      <c r="E1" s="75" t="s">
        <v>158</v>
      </c>
      <c r="F1" s="75" t="s">
        <v>6</v>
      </c>
      <c r="G1" s="146" t="s">
        <v>163</v>
      </c>
    </row>
    <row r="2" spans="1:7" ht="15" thickBot="1" x14ac:dyDescent="0.35">
      <c r="A2" s="81" t="s">
        <v>112</v>
      </c>
      <c r="B2" s="81" t="s">
        <v>245</v>
      </c>
      <c r="C2" s="81" t="s">
        <v>280</v>
      </c>
      <c r="D2" s="81" t="s">
        <v>87</v>
      </c>
      <c r="E2" s="81" t="s">
        <v>246</v>
      </c>
      <c r="F2" s="82" t="s">
        <v>98</v>
      </c>
      <c r="G2" s="81" t="s">
        <v>118</v>
      </c>
    </row>
    <row r="3" spans="1:7" x14ac:dyDescent="0.3">
      <c r="A3" s="74">
        <v>1</v>
      </c>
      <c r="B3" s="3" t="s">
        <v>328</v>
      </c>
      <c r="F3" s="3" t="s">
        <v>328</v>
      </c>
      <c r="G3" s="80">
        <v>60</v>
      </c>
    </row>
    <row r="4" spans="1:7" x14ac:dyDescent="0.3">
      <c r="B4" s="3"/>
      <c r="F4" s="3"/>
      <c r="G4" s="80"/>
    </row>
    <row r="5" spans="1:7" x14ac:dyDescent="0.3">
      <c r="B5" s="3"/>
      <c r="F5" s="3"/>
      <c r="G5" s="80"/>
    </row>
    <row r="6" spans="1:7" x14ac:dyDescent="0.3">
      <c r="B6" s="3"/>
      <c r="F6" s="3"/>
      <c r="G6" s="80"/>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9" tint="0.39997558519241921"/>
  </sheetPr>
  <dimension ref="A1:O313"/>
  <sheetViews>
    <sheetView zoomScale="90" zoomScaleNormal="90" workbookViewId="0">
      <pane ySplit="2" topLeftCell="A3" activePane="bottomLeft" state="frozen"/>
      <selection pane="bottomLeft" activeCell="D9" sqref="D9"/>
    </sheetView>
  </sheetViews>
  <sheetFormatPr defaultColWidth="9.21875" defaultRowHeight="14.4" x14ac:dyDescent="0.3"/>
  <cols>
    <col min="1" max="1" width="14.44140625" style="8" bestFit="1" customWidth="1"/>
    <col min="2" max="2" width="21.44140625" style="77" bestFit="1" customWidth="1"/>
    <col min="3" max="3" width="23" style="77" bestFit="1" customWidth="1"/>
    <col min="4" max="4" width="21.21875" style="77" bestFit="1" customWidth="1"/>
    <col min="5" max="5" width="26.44140625" style="77" bestFit="1" customWidth="1"/>
    <col min="6" max="6" width="21.77734375" style="77" bestFit="1" customWidth="1"/>
    <col min="7" max="7" width="23.77734375" style="77" bestFit="1" customWidth="1"/>
    <col min="8" max="8" width="25.77734375" style="77" bestFit="1" customWidth="1"/>
    <col min="9" max="9" width="17.77734375" style="77" bestFit="1" customWidth="1"/>
    <col min="10" max="10" width="16.44140625" style="77" bestFit="1" customWidth="1"/>
    <col min="11" max="11" width="18.77734375" style="77" bestFit="1" customWidth="1"/>
    <col min="12" max="12" width="20.77734375" style="77" bestFit="1" customWidth="1"/>
    <col min="13" max="13" width="21.77734375" style="77" bestFit="1" customWidth="1"/>
    <col min="14" max="14" width="17.44140625" style="77" bestFit="1" customWidth="1"/>
    <col min="15" max="15" width="16.77734375" style="77" bestFit="1" customWidth="1"/>
    <col min="16" max="16" width="25.77734375" style="77" bestFit="1" customWidth="1"/>
    <col min="17" max="16384" width="9.21875" style="77"/>
  </cols>
  <sheetData>
    <row r="1" spans="1:15" s="73" customFormat="1" ht="15" thickBot="1" x14ac:dyDescent="0.3">
      <c r="A1" s="120" t="s">
        <v>113</v>
      </c>
      <c r="B1" s="46" t="s">
        <v>200</v>
      </c>
      <c r="C1" s="76" t="s">
        <v>166</v>
      </c>
      <c r="D1" s="36" t="s">
        <v>172</v>
      </c>
      <c r="E1" s="36" t="s">
        <v>170</v>
      </c>
      <c r="F1" s="72" t="s">
        <v>167</v>
      </c>
      <c r="G1" s="76" t="s">
        <v>174</v>
      </c>
      <c r="H1" s="72" t="s">
        <v>177</v>
      </c>
      <c r="I1" s="76" t="s">
        <v>180</v>
      </c>
      <c r="J1" s="76" t="s">
        <v>182</v>
      </c>
      <c r="K1" s="72" t="s">
        <v>215</v>
      </c>
      <c r="L1" s="72" t="s">
        <v>184</v>
      </c>
      <c r="M1" s="72" t="s">
        <v>186</v>
      </c>
      <c r="N1" s="76" t="s">
        <v>188</v>
      </c>
      <c r="O1" s="76" t="s">
        <v>285</v>
      </c>
    </row>
    <row r="2" spans="1:15" ht="15" thickBot="1" x14ac:dyDescent="0.35">
      <c r="A2" s="121" t="s">
        <v>112</v>
      </c>
      <c r="B2" s="63" t="s">
        <v>312</v>
      </c>
      <c r="C2" s="63" t="s">
        <v>165</v>
      </c>
      <c r="D2" s="67" t="s">
        <v>247</v>
      </c>
      <c r="E2" s="63" t="s">
        <v>248</v>
      </c>
      <c r="F2" s="63" t="s">
        <v>89</v>
      </c>
      <c r="G2" s="63" t="s">
        <v>249</v>
      </c>
      <c r="H2" s="63" t="s">
        <v>90</v>
      </c>
      <c r="I2" s="63" t="s">
        <v>22</v>
      </c>
      <c r="J2" s="63" t="s">
        <v>23</v>
      </c>
      <c r="K2" s="63" t="s">
        <v>216</v>
      </c>
      <c r="L2" s="63" t="s">
        <v>24</v>
      </c>
      <c r="M2" s="63" t="s">
        <v>91</v>
      </c>
      <c r="N2" s="63" t="s">
        <v>283</v>
      </c>
      <c r="O2" s="63" t="s">
        <v>284</v>
      </c>
    </row>
    <row r="3" spans="1:15" ht="15" customHeight="1" x14ac:dyDescent="0.3">
      <c r="A3" s="8">
        <v>1</v>
      </c>
      <c r="B3" s="77">
        <v>0</v>
      </c>
      <c r="C3" s="77">
        <v>20</v>
      </c>
      <c r="D3" s="129">
        <v>0.43609022556390975</v>
      </c>
      <c r="E3" s="77">
        <v>0.24</v>
      </c>
      <c r="F3" s="127">
        <v>0.06</v>
      </c>
      <c r="G3" s="77">
        <v>1.5</v>
      </c>
      <c r="H3" s="130">
        <v>1.1000000000000001</v>
      </c>
      <c r="I3" s="77">
        <v>6.5</v>
      </c>
      <c r="J3" s="77">
        <v>28</v>
      </c>
      <c r="K3" s="77">
        <v>65</v>
      </c>
      <c r="L3" s="77">
        <v>3</v>
      </c>
      <c r="M3" s="132">
        <v>0.1</v>
      </c>
      <c r="N3" s="130">
        <v>6.5</v>
      </c>
      <c r="O3" s="77">
        <v>1.85</v>
      </c>
    </row>
    <row r="4" spans="1:15" ht="15" customHeight="1" x14ac:dyDescent="0.3">
      <c r="A4" s="8">
        <v>1</v>
      </c>
      <c r="B4" s="77">
        <v>20</v>
      </c>
      <c r="C4" s="77">
        <v>40</v>
      </c>
      <c r="D4" s="129">
        <v>0.39849624060150379</v>
      </c>
      <c r="E4" s="77">
        <v>0.24</v>
      </c>
      <c r="F4" s="127">
        <v>0.05</v>
      </c>
      <c r="G4" s="77">
        <v>1.6</v>
      </c>
      <c r="H4" s="130">
        <v>1.1000000000000001</v>
      </c>
      <c r="I4" s="77">
        <v>6.5</v>
      </c>
      <c r="J4" s="77">
        <v>28</v>
      </c>
      <c r="K4" s="77">
        <v>65</v>
      </c>
      <c r="L4" s="77">
        <v>3</v>
      </c>
      <c r="M4" s="132">
        <v>0.1</v>
      </c>
      <c r="N4" s="130">
        <v>6.5</v>
      </c>
      <c r="O4" s="77">
        <v>2.0099999999999998</v>
      </c>
    </row>
    <row r="5" spans="1:15" ht="15" customHeight="1" x14ac:dyDescent="0.3">
      <c r="A5" s="8">
        <v>1</v>
      </c>
      <c r="B5" s="77">
        <v>40</v>
      </c>
      <c r="C5" s="77">
        <v>60</v>
      </c>
      <c r="D5" s="129">
        <v>0.37969924812030087</v>
      </c>
      <c r="E5" s="77">
        <v>0.17</v>
      </c>
      <c r="F5" s="127">
        <v>0.04</v>
      </c>
      <c r="G5" s="77">
        <v>1.65</v>
      </c>
      <c r="H5" s="142"/>
      <c r="I5" s="141"/>
      <c r="J5" s="141"/>
      <c r="K5" s="141"/>
      <c r="L5" s="77">
        <v>3</v>
      </c>
      <c r="M5" s="133"/>
      <c r="N5" s="130">
        <v>6.5</v>
      </c>
      <c r="O5" s="77">
        <v>1.57</v>
      </c>
    </row>
    <row r="6" spans="1:15" ht="15" customHeight="1" x14ac:dyDescent="0.3">
      <c r="E6" s="128"/>
      <c r="I6" s="134"/>
      <c r="J6" s="134"/>
      <c r="K6" s="134"/>
    </row>
    <row r="7" spans="1:15" ht="15" customHeight="1" x14ac:dyDescent="0.3">
      <c r="E7" s="128"/>
      <c r="I7" s="134"/>
      <c r="J7" s="134"/>
      <c r="K7" s="134"/>
    </row>
    <row r="8" spans="1:15" ht="15" customHeight="1" x14ac:dyDescent="0.3"/>
    <row r="9" spans="1:15" ht="15" customHeight="1" x14ac:dyDescent="0.3"/>
    <row r="10" spans="1:15" ht="15" customHeight="1" x14ac:dyDescent="0.3"/>
    <row r="11" spans="1:15" ht="15" customHeight="1" x14ac:dyDescent="0.3"/>
    <row r="12" spans="1:15" ht="15" customHeight="1" x14ac:dyDescent="0.3"/>
    <row r="13" spans="1:15" ht="15" customHeight="1" x14ac:dyDescent="0.3"/>
    <row r="14" spans="1:15" ht="15" customHeight="1" x14ac:dyDescent="0.3"/>
    <row r="15" spans="1:15" ht="15" customHeight="1" x14ac:dyDescent="0.3"/>
    <row r="16" spans="1:15" ht="15" customHeight="1" x14ac:dyDescent="0.3"/>
    <row r="17" ht="15" customHeight="1" x14ac:dyDescent="0.3"/>
    <row r="18" ht="15" customHeight="1" x14ac:dyDescent="0.3"/>
    <row r="19" ht="15" customHeight="1" x14ac:dyDescent="0.3"/>
    <row r="20" ht="15" customHeight="1" x14ac:dyDescent="0.3"/>
    <row r="21" ht="15" customHeight="1" x14ac:dyDescent="0.3"/>
    <row r="22" ht="15" customHeight="1" x14ac:dyDescent="0.3"/>
    <row r="23" ht="15" customHeight="1" x14ac:dyDescent="0.3"/>
    <row r="25" ht="15" customHeight="1" x14ac:dyDescent="0.3"/>
    <row r="26" ht="15" customHeight="1" x14ac:dyDescent="0.3"/>
    <row r="27" ht="15.75" customHeight="1" x14ac:dyDescent="0.3"/>
    <row r="28" ht="15" customHeight="1" x14ac:dyDescent="0.3"/>
    <row r="29" ht="15" customHeight="1" x14ac:dyDescent="0.3"/>
    <row r="30" ht="15" customHeight="1" x14ac:dyDescent="0.3"/>
    <row r="31" ht="15" customHeight="1" x14ac:dyDescent="0.3"/>
    <row r="32" ht="15" customHeight="1" x14ac:dyDescent="0.3"/>
    <row r="33" ht="15" customHeight="1" x14ac:dyDescent="0.3"/>
    <row r="34" ht="15" customHeight="1" x14ac:dyDescent="0.3"/>
    <row r="35" ht="15" customHeight="1" x14ac:dyDescent="0.3"/>
    <row r="36" ht="15" customHeight="1" x14ac:dyDescent="0.3"/>
    <row r="37" ht="15" customHeight="1" x14ac:dyDescent="0.3"/>
    <row r="38" ht="15" customHeight="1" x14ac:dyDescent="0.3"/>
    <row r="39" ht="15" customHeight="1" x14ac:dyDescent="0.3"/>
    <row r="40" ht="15" customHeight="1" x14ac:dyDescent="0.3"/>
    <row r="41" ht="15" customHeight="1" x14ac:dyDescent="0.3"/>
    <row r="42" ht="15" customHeight="1" x14ac:dyDescent="0.3"/>
    <row r="43" ht="15" customHeight="1" x14ac:dyDescent="0.3"/>
    <row r="44" ht="15" customHeight="1" x14ac:dyDescent="0.3"/>
    <row r="45" ht="15" customHeight="1" x14ac:dyDescent="0.3"/>
    <row r="46" ht="15" customHeight="1" x14ac:dyDescent="0.3"/>
    <row r="47" ht="15" customHeight="1" x14ac:dyDescent="0.3"/>
    <row r="49" ht="15" customHeight="1" x14ac:dyDescent="0.3"/>
    <row r="50" ht="15" customHeight="1" x14ac:dyDescent="0.3"/>
    <row r="51" ht="15" customHeight="1" x14ac:dyDescent="0.3"/>
    <row r="52" ht="15" customHeight="1" x14ac:dyDescent="0.3"/>
    <row r="53" ht="15" customHeight="1" x14ac:dyDescent="0.3"/>
    <row r="54" ht="15" customHeight="1" x14ac:dyDescent="0.3"/>
    <row r="55" ht="15" customHeight="1" x14ac:dyDescent="0.3"/>
    <row r="56" ht="15" customHeight="1" x14ac:dyDescent="0.3"/>
    <row r="57" ht="15" customHeight="1" x14ac:dyDescent="0.3"/>
    <row r="58" ht="15" customHeight="1" x14ac:dyDescent="0.3"/>
    <row r="59" ht="15" customHeight="1" x14ac:dyDescent="0.3"/>
    <row r="60" ht="15" customHeight="1" x14ac:dyDescent="0.3"/>
    <row r="61" ht="15" customHeight="1" x14ac:dyDescent="0.3"/>
    <row r="62" ht="15" customHeight="1" x14ac:dyDescent="0.3"/>
    <row r="63" ht="15" customHeight="1" x14ac:dyDescent="0.3"/>
    <row r="64" ht="15" customHeight="1" x14ac:dyDescent="0.3"/>
    <row r="65" ht="15" customHeight="1" x14ac:dyDescent="0.3"/>
    <row r="66" ht="15" customHeight="1" x14ac:dyDescent="0.3"/>
    <row r="67" ht="15" customHeight="1" x14ac:dyDescent="0.3"/>
    <row r="68" ht="15" customHeight="1" x14ac:dyDescent="0.3"/>
    <row r="69" ht="15" customHeight="1" x14ac:dyDescent="0.3"/>
    <row r="70" ht="15" customHeight="1" x14ac:dyDescent="0.3"/>
    <row r="71" ht="15" customHeight="1" x14ac:dyDescent="0.3"/>
    <row r="72" ht="15" customHeight="1" x14ac:dyDescent="0.3"/>
    <row r="73" ht="15" customHeight="1" x14ac:dyDescent="0.3"/>
    <row r="74" ht="15" customHeight="1" x14ac:dyDescent="0.3"/>
    <row r="75" ht="15" customHeight="1" x14ac:dyDescent="0.3"/>
    <row r="76" ht="15" customHeight="1" x14ac:dyDescent="0.3"/>
    <row r="77" ht="15" customHeight="1" x14ac:dyDescent="0.3"/>
    <row r="78" ht="15" customHeight="1" x14ac:dyDescent="0.3"/>
    <row r="79" ht="15" customHeight="1" x14ac:dyDescent="0.3"/>
    <row r="80" ht="15" customHeight="1" x14ac:dyDescent="0.3"/>
    <row r="81" ht="15" customHeight="1" x14ac:dyDescent="0.3"/>
    <row r="82" ht="15" customHeight="1" x14ac:dyDescent="0.3"/>
    <row r="83" ht="15" customHeight="1" x14ac:dyDescent="0.3"/>
    <row r="84" ht="15" customHeight="1" x14ac:dyDescent="0.3"/>
    <row r="85" ht="15" customHeight="1" x14ac:dyDescent="0.3"/>
    <row r="86" ht="15" customHeight="1" x14ac:dyDescent="0.3"/>
    <row r="87" ht="15" customHeight="1" x14ac:dyDescent="0.3"/>
    <row r="88" ht="15" customHeight="1" x14ac:dyDescent="0.3"/>
    <row r="89" ht="15" customHeight="1" x14ac:dyDescent="0.3"/>
    <row r="90" ht="15" customHeight="1" x14ac:dyDescent="0.3"/>
    <row r="91" ht="15" customHeight="1" x14ac:dyDescent="0.3"/>
    <row r="92" ht="15" customHeight="1" x14ac:dyDescent="0.3"/>
    <row r="93" ht="15" customHeight="1" x14ac:dyDescent="0.3"/>
    <row r="94" ht="15" customHeight="1" x14ac:dyDescent="0.3"/>
    <row r="95" ht="15" customHeight="1" x14ac:dyDescent="0.3"/>
    <row r="96" ht="15" customHeight="1" x14ac:dyDescent="0.3"/>
    <row r="97" ht="15" customHeight="1" x14ac:dyDescent="0.3"/>
    <row r="98" ht="15" customHeight="1" x14ac:dyDescent="0.3"/>
    <row r="99" ht="15" customHeight="1" x14ac:dyDescent="0.3"/>
    <row r="100" ht="15" customHeight="1" x14ac:dyDescent="0.3"/>
    <row r="101" ht="15" customHeight="1" x14ac:dyDescent="0.3"/>
    <row r="102" ht="15" customHeight="1" x14ac:dyDescent="0.3"/>
    <row r="103" ht="15.75" customHeight="1" x14ac:dyDescent="0.3"/>
    <row r="104" ht="15" customHeight="1" x14ac:dyDescent="0.3"/>
    <row r="105" ht="15" customHeight="1" x14ac:dyDescent="0.3"/>
    <row r="106" ht="15" customHeight="1" x14ac:dyDescent="0.3"/>
    <row r="107" ht="15" customHeight="1" x14ac:dyDescent="0.3"/>
    <row r="108" ht="15" customHeight="1" x14ac:dyDescent="0.3"/>
    <row r="109" ht="15" customHeight="1" x14ac:dyDescent="0.3"/>
    <row r="110" ht="15" customHeight="1" x14ac:dyDescent="0.3"/>
    <row r="111" ht="15" customHeight="1" x14ac:dyDescent="0.3"/>
    <row r="112" ht="15" customHeight="1" x14ac:dyDescent="0.3"/>
    <row r="113" ht="15" customHeight="1" x14ac:dyDescent="0.3"/>
    <row r="114" ht="15" customHeight="1" x14ac:dyDescent="0.3"/>
    <row r="115" ht="15" customHeight="1" x14ac:dyDescent="0.3"/>
    <row r="116" ht="15" customHeight="1" x14ac:dyDescent="0.3"/>
    <row r="117" ht="15" customHeight="1" x14ac:dyDescent="0.3"/>
    <row r="118" ht="15" customHeight="1" x14ac:dyDescent="0.3"/>
    <row r="119" ht="15" customHeight="1" x14ac:dyDescent="0.3"/>
    <row r="120" ht="15" customHeight="1" x14ac:dyDescent="0.3"/>
    <row r="121" ht="15" customHeight="1" x14ac:dyDescent="0.3"/>
    <row r="122" ht="15" customHeight="1" x14ac:dyDescent="0.3"/>
    <row r="123" ht="15" customHeight="1" x14ac:dyDescent="0.3"/>
    <row r="124" ht="15" customHeight="1" x14ac:dyDescent="0.3"/>
    <row r="125" ht="15" customHeight="1" x14ac:dyDescent="0.3"/>
    <row r="126" ht="15" customHeight="1" x14ac:dyDescent="0.3"/>
    <row r="127" ht="15" customHeight="1" x14ac:dyDescent="0.3"/>
    <row r="128" ht="15" customHeight="1" x14ac:dyDescent="0.3"/>
    <row r="129" ht="15" customHeight="1" x14ac:dyDescent="0.3"/>
    <row r="130" ht="15" customHeight="1" x14ac:dyDescent="0.3"/>
    <row r="131" ht="15" customHeight="1" x14ac:dyDescent="0.3"/>
    <row r="132" ht="15" customHeight="1" x14ac:dyDescent="0.3"/>
    <row r="133" ht="15" customHeight="1" x14ac:dyDescent="0.3"/>
    <row r="134" ht="15" customHeight="1" x14ac:dyDescent="0.3"/>
    <row r="135" ht="15" customHeight="1" x14ac:dyDescent="0.3"/>
    <row r="136" ht="15" customHeight="1" x14ac:dyDescent="0.3"/>
    <row r="137" ht="15" customHeight="1" x14ac:dyDescent="0.3"/>
    <row r="138" ht="15" customHeight="1" x14ac:dyDescent="0.3"/>
    <row r="139" ht="15" customHeight="1" x14ac:dyDescent="0.3"/>
    <row r="140" ht="15" customHeight="1" x14ac:dyDescent="0.3"/>
    <row r="141" ht="15" customHeight="1" x14ac:dyDescent="0.3"/>
    <row r="142" ht="15" customHeight="1" x14ac:dyDescent="0.3"/>
    <row r="143" ht="15" customHeight="1" x14ac:dyDescent="0.3"/>
    <row r="144" ht="15" customHeight="1" x14ac:dyDescent="0.3"/>
    <row r="145" ht="15" customHeight="1" x14ac:dyDescent="0.3"/>
    <row r="146" ht="15" customHeight="1" x14ac:dyDescent="0.3"/>
    <row r="147" ht="15" customHeight="1" x14ac:dyDescent="0.3"/>
    <row r="148" ht="15" customHeight="1" x14ac:dyDescent="0.3"/>
    <row r="149" ht="15" customHeight="1" x14ac:dyDescent="0.3"/>
    <row r="150" ht="15" customHeight="1" x14ac:dyDescent="0.3"/>
    <row r="151" ht="15" customHeight="1" x14ac:dyDescent="0.3"/>
    <row r="152" ht="15" customHeight="1" x14ac:dyDescent="0.3"/>
    <row r="153" ht="15" customHeight="1" x14ac:dyDescent="0.3"/>
    <row r="154" ht="15" customHeight="1" x14ac:dyDescent="0.3"/>
    <row r="155" ht="15" customHeight="1" x14ac:dyDescent="0.3"/>
    <row r="156" ht="15" customHeight="1" x14ac:dyDescent="0.3"/>
    <row r="157" ht="15" customHeight="1" x14ac:dyDescent="0.3"/>
    <row r="158" ht="15" customHeight="1" x14ac:dyDescent="0.3"/>
    <row r="159" ht="15" customHeight="1" x14ac:dyDescent="0.3"/>
    <row r="160" ht="15" customHeight="1" x14ac:dyDescent="0.3"/>
    <row r="161" ht="15" customHeight="1" x14ac:dyDescent="0.3"/>
    <row r="162" ht="15" customHeight="1" x14ac:dyDescent="0.3"/>
    <row r="163" ht="15" customHeight="1" x14ac:dyDescent="0.3"/>
    <row r="164" ht="15" customHeight="1" x14ac:dyDescent="0.3"/>
    <row r="165" ht="15" customHeight="1" x14ac:dyDescent="0.3"/>
    <row r="166" ht="15" customHeight="1" x14ac:dyDescent="0.3"/>
    <row r="167" ht="15" customHeight="1" x14ac:dyDescent="0.3"/>
    <row r="168" ht="15" customHeight="1" x14ac:dyDescent="0.3"/>
    <row r="169" ht="15" customHeight="1" x14ac:dyDescent="0.3"/>
    <row r="170" ht="15" customHeight="1" x14ac:dyDescent="0.3"/>
    <row r="171" ht="15" customHeight="1" x14ac:dyDescent="0.3"/>
    <row r="172" ht="15" customHeight="1" x14ac:dyDescent="0.3"/>
    <row r="173" ht="15" customHeight="1" x14ac:dyDescent="0.3"/>
    <row r="174" ht="15" customHeight="1" x14ac:dyDescent="0.3"/>
    <row r="175" ht="15" customHeight="1" x14ac:dyDescent="0.3"/>
    <row r="176" ht="15" customHeight="1" x14ac:dyDescent="0.3"/>
    <row r="177" ht="15" customHeight="1" x14ac:dyDescent="0.3"/>
    <row r="178" ht="15" customHeight="1" x14ac:dyDescent="0.3"/>
    <row r="179" ht="15" customHeight="1" x14ac:dyDescent="0.3"/>
    <row r="180" ht="15" customHeight="1" x14ac:dyDescent="0.3"/>
    <row r="181" ht="15" customHeight="1" x14ac:dyDescent="0.3"/>
    <row r="182" ht="15" customHeight="1" x14ac:dyDescent="0.3"/>
    <row r="183" ht="15" customHeight="1" x14ac:dyDescent="0.3"/>
    <row r="184" ht="15" customHeight="1" x14ac:dyDescent="0.3"/>
    <row r="185" ht="15" customHeight="1" x14ac:dyDescent="0.3"/>
    <row r="186" ht="15" customHeight="1" x14ac:dyDescent="0.3"/>
    <row r="187" ht="15" customHeight="1" x14ac:dyDescent="0.3"/>
    <row r="188" ht="15" customHeight="1" x14ac:dyDescent="0.3"/>
    <row r="189" ht="15" customHeight="1" x14ac:dyDescent="0.3"/>
    <row r="190" ht="15" customHeight="1" x14ac:dyDescent="0.3"/>
    <row r="191" ht="15" customHeight="1" x14ac:dyDescent="0.3"/>
    <row r="192" ht="15" customHeight="1" x14ac:dyDescent="0.3"/>
    <row r="193" ht="15" customHeight="1" x14ac:dyDescent="0.3"/>
    <row r="194" ht="15" customHeight="1" x14ac:dyDescent="0.3"/>
    <row r="195" ht="15" customHeight="1" x14ac:dyDescent="0.3"/>
    <row r="196" ht="15" customHeight="1" x14ac:dyDescent="0.3"/>
    <row r="197" ht="15" customHeight="1" x14ac:dyDescent="0.3"/>
    <row r="198" ht="15" customHeight="1" x14ac:dyDescent="0.3"/>
    <row r="199" ht="15" customHeight="1" x14ac:dyDescent="0.3"/>
    <row r="200" ht="15" customHeight="1" x14ac:dyDescent="0.3"/>
    <row r="201" ht="15" customHeight="1" x14ac:dyDescent="0.3"/>
    <row r="202" ht="15" customHeight="1" x14ac:dyDescent="0.3"/>
    <row r="203" ht="15" customHeight="1" x14ac:dyDescent="0.3"/>
    <row r="204" ht="15" customHeight="1" x14ac:dyDescent="0.3"/>
    <row r="205" ht="15" customHeight="1" x14ac:dyDescent="0.3"/>
    <row r="206" ht="15" customHeight="1" x14ac:dyDescent="0.3"/>
    <row r="207" ht="15" customHeight="1" x14ac:dyDescent="0.3"/>
    <row r="208" ht="15" customHeight="1" x14ac:dyDescent="0.3"/>
    <row r="209" ht="15" customHeight="1" x14ac:dyDescent="0.3"/>
    <row r="210" ht="15" customHeight="1" x14ac:dyDescent="0.3"/>
    <row r="211" ht="15" customHeight="1" x14ac:dyDescent="0.3"/>
    <row r="212" ht="15" customHeight="1" x14ac:dyDescent="0.3"/>
    <row r="213" ht="15" customHeight="1" x14ac:dyDescent="0.3"/>
    <row r="214" ht="15" customHeight="1" x14ac:dyDescent="0.3"/>
    <row r="215" ht="15" customHeight="1" x14ac:dyDescent="0.3"/>
    <row r="216" ht="15" customHeight="1" x14ac:dyDescent="0.3"/>
    <row r="217" ht="15" customHeight="1" x14ac:dyDescent="0.3"/>
    <row r="218" ht="15" customHeight="1" x14ac:dyDescent="0.3"/>
    <row r="219" ht="15" customHeight="1" x14ac:dyDescent="0.3"/>
    <row r="220" ht="15" customHeight="1" x14ac:dyDescent="0.3"/>
    <row r="221" ht="15" customHeight="1" x14ac:dyDescent="0.3"/>
    <row r="222" ht="15" customHeight="1" x14ac:dyDescent="0.3"/>
    <row r="223" ht="15" customHeight="1" x14ac:dyDescent="0.3"/>
    <row r="224" ht="15" customHeight="1" x14ac:dyDescent="0.3"/>
    <row r="225" ht="15" customHeight="1" x14ac:dyDescent="0.3"/>
    <row r="226" ht="15" customHeight="1" x14ac:dyDescent="0.3"/>
    <row r="227" ht="15" customHeight="1" x14ac:dyDescent="0.3"/>
    <row r="228" ht="15" customHeight="1" x14ac:dyDescent="0.3"/>
    <row r="229" ht="15" customHeight="1" x14ac:dyDescent="0.3"/>
    <row r="230" ht="15" customHeight="1" x14ac:dyDescent="0.3"/>
    <row r="231" ht="15" customHeight="1" x14ac:dyDescent="0.3"/>
    <row r="232" ht="15" customHeight="1" x14ac:dyDescent="0.3"/>
    <row r="233" ht="15" customHeight="1" x14ac:dyDescent="0.3"/>
    <row r="234" ht="15" customHeight="1" x14ac:dyDescent="0.3"/>
    <row r="235" ht="15" customHeight="1" x14ac:dyDescent="0.3"/>
    <row r="236" ht="15" customHeight="1" x14ac:dyDescent="0.3"/>
    <row r="237" ht="15" customHeight="1" x14ac:dyDescent="0.3"/>
    <row r="238" ht="15" customHeight="1" x14ac:dyDescent="0.3"/>
    <row r="239" ht="15" customHeight="1" x14ac:dyDescent="0.3"/>
    <row r="240" ht="15" customHeight="1" x14ac:dyDescent="0.3"/>
    <row r="241" ht="15" customHeight="1" x14ac:dyDescent="0.3"/>
    <row r="242" ht="15" customHeight="1" x14ac:dyDescent="0.3"/>
    <row r="243" ht="15" customHeight="1" x14ac:dyDescent="0.3"/>
    <row r="244" ht="15" customHeight="1" x14ac:dyDescent="0.3"/>
    <row r="245" ht="15" customHeight="1" x14ac:dyDescent="0.3"/>
    <row r="246" ht="15" customHeight="1" x14ac:dyDescent="0.3"/>
    <row r="247" ht="15" customHeight="1" x14ac:dyDescent="0.3"/>
    <row r="248" ht="15" customHeight="1" x14ac:dyDescent="0.3"/>
    <row r="249" ht="15" customHeight="1" x14ac:dyDescent="0.3"/>
    <row r="250" ht="15" customHeight="1" x14ac:dyDescent="0.3"/>
    <row r="251" ht="15" customHeight="1" x14ac:dyDescent="0.3"/>
    <row r="252" ht="15" customHeight="1" x14ac:dyDescent="0.3"/>
    <row r="253" ht="15" customHeight="1" x14ac:dyDescent="0.3"/>
    <row r="254" ht="15" customHeight="1" x14ac:dyDescent="0.3"/>
    <row r="255" ht="15" customHeight="1" x14ac:dyDescent="0.3"/>
    <row r="256" ht="15" customHeight="1" x14ac:dyDescent="0.3"/>
    <row r="257" ht="15" customHeight="1" x14ac:dyDescent="0.3"/>
    <row r="258" ht="15" customHeight="1" x14ac:dyDescent="0.3"/>
    <row r="259" ht="15" customHeight="1" x14ac:dyDescent="0.3"/>
    <row r="260" ht="15" customHeight="1" x14ac:dyDescent="0.3"/>
    <row r="261" ht="15" customHeight="1" x14ac:dyDescent="0.3"/>
    <row r="262" ht="15" customHeight="1" x14ac:dyDescent="0.3"/>
    <row r="263" ht="15" customHeight="1" x14ac:dyDescent="0.3"/>
    <row r="264" ht="15" customHeight="1" x14ac:dyDescent="0.3"/>
    <row r="265" ht="15" customHeight="1" x14ac:dyDescent="0.3"/>
    <row r="266" ht="15" customHeight="1" x14ac:dyDescent="0.3"/>
    <row r="267" ht="15" customHeight="1" x14ac:dyDescent="0.3"/>
    <row r="268" ht="15" customHeight="1" x14ac:dyDescent="0.3"/>
    <row r="269" ht="15" customHeight="1" x14ac:dyDescent="0.3"/>
    <row r="270" ht="15" customHeight="1" x14ac:dyDescent="0.3"/>
    <row r="271" ht="15" customHeight="1" x14ac:dyDescent="0.3"/>
    <row r="272" ht="15" customHeight="1" x14ac:dyDescent="0.3"/>
    <row r="273" ht="15" customHeight="1" x14ac:dyDescent="0.3"/>
    <row r="274" ht="15" customHeight="1" x14ac:dyDescent="0.3"/>
    <row r="275" ht="15" customHeight="1" x14ac:dyDescent="0.3"/>
    <row r="276" ht="15" customHeight="1" x14ac:dyDescent="0.3"/>
    <row r="277" ht="15" customHeight="1" x14ac:dyDescent="0.3"/>
    <row r="278" ht="15" customHeight="1" x14ac:dyDescent="0.3"/>
    <row r="279" ht="15" customHeight="1" x14ac:dyDescent="0.3"/>
    <row r="280" ht="15" customHeight="1" x14ac:dyDescent="0.3"/>
    <row r="281" ht="15" customHeight="1" x14ac:dyDescent="0.3"/>
    <row r="282" ht="15" customHeight="1" x14ac:dyDescent="0.3"/>
    <row r="283" ht="15" customHeight="1" x14ac:dyDescent="0.3"/>
    <row r="284" ht="15" customHeight="1" x14ac:dyDescent="0.3"/>
    <row r="285" ht="15" customHeight="1" x14ac:dyDescent="0.3"/>
    <row r="286" ht="15" customHeight="1" x14ac:dyDescent="0.3"/>
    <row r="287" ht="15" customHeight="1" x14ac:dyDescent="0.3"/>
    <row r="288" ht="15" customHeight="1" x14ac:dyDescent="0.3"/>
    <row r="289" ht="15" customHeight="1" x14ac:dyDescent="0.3"/>
    <row r="290" ht="15" customHeight="1" x14ac:dyDescent="0.3"/>
    <row r="291" ht="15" customHeight="1" x14ac:dyDescent="0.3"/>
    <row r="292" ht="15" customHeight="1" x14ac:dyDescent="0.3"/>
    <row r="293" ht="15" customHeight="1" x14ac:dyDescent="0.3"/>
    <row r="294" ht="15" customHeight="1" x14ac:dyDescent="0.3"/>
    <row r="295" ht="15" customHeight="1" x14ac:dyDescent="0.3"/>
    <row r="296" ht="15" customHeight="1" x14ac:dyDescent="0.3"/>
    <row r="297" ht="15" customHeight="1" x14ac:dyDescent="0.3"/>
    <row r="298" ht="15" customHeight="1" x14ac:dyDescent="0.3"/>
    <row r="299" ht="15" customHeight="1" x14ac:dyDescent="0.3"/>
    <row r="300" ht="15" customHeight="1" x14ac:dyDescent="0.3"/>
    <row r="301" ht="15" customHeight="1" x14ac:dyDescent="0.3"/>
    <row r="302" ht="15" customHeight="1" x14ac:dyDescent="0.3"/>
    <row r="303" ht="15" customHeight="1" x14ac:dyDescent="0.3"/>
    <row r="304" ht="15" customHeight="1" x14ac:dyDescent="0.3"/>
    <row r="305" ht="15" customHeight="1" x14ac:dyDescent="0.3"/>
    <row r="306" ht="15" customHeight="1" x14ac:dyDescent="0.3"/>
    <row r="307" ht="15" customHeight="1" x14ac:dyDescent="0.3"/>
    <row r="308" ht="15" customHeight="1" x14ac:dyDescent="0.3"/>
    <row r="309" ht="15" customHeight="1" x14ac:dyDescent="0.3"/>
    <row r="310" ht="15" customHeight="1" x14ac:dyDescent="0.3"/>
    <row r="311" ht="15" customHeight="1" x14ac:dyDescent="0.3"/>
    <row r="312" ht="15" customHeight="1" x14ac:dyDescent="0.3"/>
    <row r="313" ht="15.75" customHeight="1" x14ac:dyDescent="0.3"/>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2" tint="-0.249977111117893"/>
  </sheetPr>
  <dimension ref="A1:L7"/>
  <sheetViews>
    <sheetView workbookViewId="0">
      <pane ySplit="2" topLeftCell="A3" activePane="bottomLeft" state="frozen"/>
      <selection pane="bottomLeft" activeCell="H2" sqref="H2"/>
    </sheetView>
  </sheetViews>
  <sheetFormatPr defaultColWidth="8.77734375" defaultRowHeight="14.4" x14ac:dyDescent="0.3"/>
  <cols>
    <col min="1" max="1" width="21.77734375" style="3" bestFit="1" customWidth="1"/>
    <col min="2" max="2" width="22.44140625" style="3" bestFit="1" customWidth="1"/>
    <col min="3" max="3" width="20.21875" style="3" bestFit="1" customWidth="1"/>
    <col min="4" max="4" width="22.21875" style="3" bestFit="1" customWidth="1"/>
    <col min="5" max="5" width="22" style="3" bestFit="1" customWidth="1"/>
    <col min="6" max="6" width="25.44140625" style="3" bestFit="1" customWidth="1"/>
    <col min="7" max="7" width="24.5546875" style="3" bestFit="1" customWidth="1"/>
    <col min="8" max="8" width="26.77734375" style="3" bestFit="1" customWidth="1"/>
    <col min="9" max="9" width="8.77734375" style="3"/>
    <col min="10" max="10" width="10.77734375" style="3" customWidth="1"/>
    <col min="11" max="16384" width="8.77734375" style="3"/>
  </cols>
  <sheetData>
    <row r="1" spans="1:12" s="1" customFormat="1" ht="15" customHeight="1" x14ac:dyDescent="0.3">
      <c r="A1" s="46" t="s">
        <v>110</v>
      </c>
      <c r="B1" s="46" t="s">
        <v>191</v>
      </c>
      <c r="C1" s="46" t="s">
        <v>123</v>
      </c>
      <c r="D1" s="46" t="s">
        <v>125</v>
      </c>
      <c r="E1" s="46" t="s">
        <v>127</v>
      </c>
      <c r="F1" s="46" t="s">
        <v>129</v>
      </c>
      <c r="G1" s="46" t="s">
        <v>131</v>
      </c>
      <c r="H1" s="54" t="s">
        <v>133</v>
      </c>
    </row>
    <row r="2" spans="1:12" s="1" customFormat="1" ht="15" thickBot="1" x14ac:dyDescent="0.35">
      <c r="A2" s="63" t="s">
        <v>37</v>
      </c>
      <c r="B2" s="64" t="s">
        <v>33</v>
      </c>
      <c r="C2" s="63" t="s">
        <v>34</v>
      </c>
      <c r="D2" s="63" t="s">
        <v>35</v>
      </c>
      <c r="E2" s="63" t="s">
        <v>36</v>
      </c>
      <c r="F2" s="63" t="s">
        <v>82</v>
      </c>
      <c r="G2" s="63" t="s">
        <v>83</v>
      </c>
      <c r="H2" s="67" t="s">
        <v>52</v>
      </c>
      <c r="I2" s="44"/>
    </row>
    <row r="3" spans="1:12" x14ac:dyDescent="0.3">
      <c r="A3" s="88" t="s">
        <v>481</v>
      </c>
      <c r="B3" s="3" t="s">
        <v>485</v>
      </c>
      <c r="C3" s="135">
        <v>10.45</v>
      </c>
      <c r="D3" s="3">
        <v>52.29</v>
      </c>
      <c r="E3" s="3">
        <v>81</v>
      </c>
      <c r="F3" s="3">
        <v>2</v>
      </c>
      <c r="G3" s="3">
        <v>2</v>
      </c>
      <c r="H3" s="3">
        <v>385</v>
      </c>
      <c r="K3" s="23"/>
      <c r="L3" s="23"/>
    </row>
    <row r="4" spans="1:12" x14ac:dyDescent="0.3">
      <c r="A4" s="3" t="s">
        <v>482</v>
      </c>
      <c r="B4" s="3" t="s">
        <v>488</v>
      </c>
      <c r="C4" s="135">
        <v>10.45</v>
      </c>
      <c r="D4" s="3">
        <v>52.29</v>
      </c>
      <c r="E4" s="3">
        <v>81</v>
      </c>
      <c r="F4" s="3">
        <v>2</v>
      </c>
      <c r="G4" s="3">
        <v>2</v>
      </c>
      <c r="H4" s="3">
        <v>550</v>
      </c>
      <c r="J4" s="23"/>
      <c r="K4" s="23"/>
      <c r="L4" s="23"/>
    </row>
    <row r="5" spans="1:12" x14ac:dyDescent="0.3">
      <c r="A5" s="3" t="s">
        <v>483</v>
      </c>
      <c r="B5" s="3" t="s">
        <v>486</v>
      </c>
      <c r="C5" s="135">
        <v>10.45</v>
      </c>
      <c r="D5" s="3">
        <v>52.29</v>
      </c>
      <c r="E5" s="3">
        <v>81</v>
      </c>
      <c r="F5" s="3">
        <v>2</v>
      </c>
      <c r="G5" s="3">
        <v>2</v>
      </c>
      <c r="H5" s="3">
        <v>385</v>
      </c>
      <c r="J5" s="23"/>
      <c r="K5" s="23"/>
      <c r="L5" s="23"/>
    </row>
    <row r="6" spans="1:12" s="26" customFormat="1" x14ac:dyDescent="0.3">
      <c r="A6" s="3" t="s">
        <v>484</v>
      </c>
      <c r="B6" s="3" t="s">
        <v>487</v>
      </c>
      <c r="C6" s="135">
        <v>10.45</v>
      </c>
      <c r="D6" s="3">
        <v>52.29</v>
      </c>
      <c r="E6" s="3">
        <v>81</v>
      </c>
      <c r="F6" s="3">
        <v>2</v>
      </c>
      <c r="G6" s="3">
        <v>2</v>
      </c>
      <c r="H6" s="3">
        <v>550</v>
      </c>
      <c r="J6" s="23"/>
      <c r="K6" s="23"/>
      <c r="L6" s="23"/>
    </row>
    <row r="7" spans="1:12" x14ac:dyDescent="0.3">
      <c r="A7" s="11"/>
      <c r="B7" s="11"/>
      <c r="C7" s="8"/>
      <c r="D7" s="8"/>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2" tint="-0.249977111117893"/>
  </sheetPr>
  <dimension ref="A1:L2926"/>
  <sheetViews>
    <sheetView topLeftCell="D1" workbookViewId="0">
      <pane ySplit="2" topLeftCell="A3" activePane="bottomLeft" state="frozen"/>
      <selection pane="bottomLeft" activeCell="H3" sqref="H3"/>
    </sheetView>
  </sheetViews>
  <sheetFormatPr defaultColWidth="9.21875" defaultRowHeight="14.4" x14ac:dyDescent="0.3"/>
  <cols>
    <col min="1" max="1" width="21.77734375" bestFit="1" customWidth="1"/>
    <col min="2" max="2" width="13.5546875" bestFit="1" customWidth="1"/>
    <col min="3" max="3" width="14.5546875" bestFit="1" customWidth="1"/>
    <col min="4" max="4" width="23" bestFit="1" customWidth="1"/>
    <col min="5" max="5" width="22.44140625" bestFit="1" customWidth="1"/>
    <col min="6" max="6" width="14.21875" bestFit="1" customWidth="1"/>
    <col min="7" max="8" width="14.21875" customWidth="1"/>
    <col min="9" max="9" width="17.5546875" bestFit="1" customWidth="1"/>
    <col min="10" max="10" width="21" bestFit="1" customWidth="1"/>
  </cols>
  <sheetData>
    <row r="1" spans="1:12" s="4" customFormat="1" x14ac:dyDescent="0.3">
      <c r="A1" s="46" t="s">
        <v>110</v>
      </c>
      <c r="B1" s="46" t="s">
        <v>136</v>
      </c>
      <c r="C1" s="46" t="s">
        <v>138</v>
      </c>
      <c r="D1" s="46" t="s">
        <v>140</v>
      </c>
      <c r="E1" s="46" t="s">
        <v>142</v>
      </c>
      <c r="F1" s="46" t="s">
        <v>144</v>
      </c>
      <c r="G1" s="43" t="s">
        <v>150</v>
      </c>
      <c r="H1" s="43" t="s">
        <v>253</v>
      </c>
      <c r="I1" s="43" t="s">
        <v>147</v>
      </c>
      <c r="J1" s="46" t="s">
        <v>152</v>
      </c>
      <c r="K1" s="54" t="s">
        <v>489</v>
      </c>
    </row>
    <row r="2" spans="1:12" s="4" customFormat="1" ht="15" thickBot="1" x14ac:dyDescent="0.35">
      <c r="A2" s="63" t="s">
        <v>37</v>
      </c>
      <c r="B2" s="63" t="s">
        <v>25</v>
      </c>
      <c r="C2" s="63" t="s">
        <v>26</v>
      </c>
      <c r="D2" s="63" t="s">
        <v>27</v>
      </c>
      <c r="E2" s="63" t="s">
        <v>28</v>
      </c>
      <c r="F2" s="63" t="s">
        <v>29</v>
      </c>
      <c r="G2" s="64" t="s">
        <v>31</v>
      </c>
      <c r="H2" s="64" t="s">
        <v>252</v>
      </c>
      <c r="I2" s="63" t="s">
        <v>30</v>
      </c>
      <c r="J2" s="63" t="s">
        <v>85</v>
      </c>
      <c r="K2" s="54" t="s">
        <v>489</v>
      </c>
    </row>
    <row r="3" spans="1:12" x14ac:dyDescent="0.3">
      <c r="A3" s="88" t="s">
        <v>481</v>
      </c>
      <c r="B3" s="24">
        <v>39083</v>
      </c>
      <c r="C3" s="32">
        <v>1.5282097805425956</v>
      </c>
      <c r="D3">
        <v>11.2</v>
      </c>
      <c r="E3">
        <v>5.0999999999999996</v>
      </c>
      <c r="F3" s="126">
        <v>2.48</v>
      </c>
      <c r="G3" s="126"/>
      <c r="H3" s="126">
        <f>0.611*EXP((17.27*E3)/(E3+237.3))</f>
        <v>0.87870648225166126</v>
      </c>
      <c r="I3" s="89">
        <v>542.97</v>
      </c>
      <c r="J3" s="126">
        <v>85.731250000000003</v>
      </c>
      <c r="L3" s="137"/>
    </row>
    <row r="4" spans="1:12" x14ac:dyDescent="0.3">
      <c r="A4" s="88" t="s">
        <v>481</v>
      </c>
      <c r="B4" s="24">
        <v>39084</v>
      </c>
      <c r="C4" s="32">
        <v>0.90630580035712238</v>
      </c>
      <c r="D4">
        <v>6.1</v>
      </c>
      <c r="E4">
        <v>4</v>
      </c>
      <c r="F4" s="126">
        <v>1.615</v>
      </c>
      <c r="G4" s="126"/>
      <c r="H4" s="126">
        <f t="shared" ref="H4:H67" si="0">0.611*EXP((17.27*E4)/(E4+237.3))</f>
        <v>0.81352738957079329</v>
      </c>
      <c r="I4" s="89">
        <v>398.43000000000006</v>
      </c>
      <c r="J4" s="126">
        <v>89.953125</v>
      </c>
    </row>
    <row r="5" spans="1:12" x14ac:dyDescent="0.3">
      <c r="A5" s="88" t="s">
        <v>481</v>
      </c>
      <c r="B5" s="24">
        <v>39085</v>
      </c>
      <c r="C5" s="32">
        <v>2.1771139335291747</v>
      </c>
      <c r="D5">
        <v>6.6</v>
      </c>
      <c r="E5">
        <v>4.0999999999999996</v>
      </c>
      <c r="F5" s="126">
        <v>1.115</v>
      </c>
      <c r="G5" s="126"/>
      <c r="H5" s="126">
        <f t="shared" si="0"/>
        <v>0.81927114982761395</v>
      </c>
      <c r="I5" s="89">
        <v>365.58000000000004</v>
      </c>
      <c r="J5" s="126">
        <v>91.71875</v>
      </c>
    </row>
    <row r="6" spans="1:12" x14ac:dyDescent="0.3">
      <c r="A6" s="88" t="s">
        <v>481</v>
      </c>
      <c r="B6" s="24">
        <v>39086</v>
      </c>
      <c r="C6" s="32">
        <v>0.722704625309602</v>
      </c>
      <c r="D6">
        <v>8.9</v>
      </c>
      <c r="E6">
        <v>6.2</v>
      </c>
      <c r="F6" s="126">
        <v>2.8650000000000002</v>
      </c>
      <c r="G6" s="126"/>
      <c r="H6" s="126">
        <f t="shared" si="0"/>
        <v>0.94844700173703456</v>
      </c>
      <c r="I6" s="89">
        <v>442.53000000000009</v>
      </c>
      <c r="J6" s="126">
        <v>89.741666666666688</v>
      </c>
    </row>
    <row r="7" spans="1:12" x14ac:dyDescent="0.3">
      <c r="A7" s="88" t="s">
        <v>481</v>
      </c>
      <c r="B7" s="24">
        <v>39087</v>
      </c>
      <c r="C7" s="32">
        <v>0.85140544899487358</v>
      </c>
      <c r="D7">
        <v>9.4</v>
      </c>
      <c r="E7">
        <v>6.8</v>
      </c>
      <c r="F7" s="126">
        <v>0.15</v>
      </c>
      <c r="G7" s="126"/>
      <c r="H7" s="126">
        <f t="shared" si="0"/>
        <v>0.98850615565901678</v>
      </c>
      <c r="I7" s="89">
        <v>504.72000000000025</v>
      </c>
      <c r="J7" s="126">
        <v>88.967708333333348</v>
      </c>
    </row>
    <row r="8" spans="1:12" x14ac:dyDescent="0.3">
      <c r="A8" s="88" t="s">
        <v>481</v>
      </c>
      <c r="B8" s="24">
        <v>39088</v>
      </c>
      <c r="C8" s="32">
        <v>1.804511548873913</v>
      </c>
      <c r="D8">
        <v>9.6</v>
      </c>
      <c r="E8">
        <v>6.4</v>
      </c>
      <c r="F8" s="126">
        <v>9.17</v>
      </c>
      <c r="G8" s="126"/>
      <c r="H8" s="126">
        <f t="shared" si="0"/>
        <v>0.96163811340513428</v>
      </c>
      <c r="I8" s="89">
        <v>222.75</v>
      </c>
      <c r="J8" s="126">
        <v>92.739583333333357</v>
      </c>
    </row>
    <row r="9" spans="1:12" x14ac:dyDescent="0.3">
      <c r="A9" s="88" t="s">
        <v>481</v>
      </c>
      <c r="B9" s="24">
        <v>39089</v>
      </c>
      <c r="C9" s="32">
        <v>1.4481092678993146</v>
      </c>
      <c r="D9">
        <v>9.5</v>
      </c>
      <c r="E9">
        <v>5.0999999999999996</v>
      </c>
      <c r="F9" s="126">
        <v>8.85</v>
      </c>
      <c r="G9" s="126"/>
      <c r="H9" s="126">
        <f t="shared" si="0"/>
        <v>0.87870648225166126</v>
      </c>
      <c r="I9" s="89">
        <v>273.96000000000004</v>
      </c>
      <c r="J9" s="126">
        <v>89.496875000000003</v>
      </c>
    </row>
    <row r="10" spans="1:12" x14ac:dyDescent="0.3">
      <c r="A10" s="88" t="s">
        <v>481</v>
      </c>
      <c r="B10" s="24">
        <v>39090</v>
      </c>
      <c r="C10" s="32">
        <v>0.87930562755601638</v>
      </c>
      <c r="D10">
        <v>10.6</v>
      </c>
      <c r="E10">
        <v>6.3</v>
      </c>
      <c r="F10" s="126">
        <v>0.48</v>
      </c>
      <c r="G10" s="126"/>
      <c r="H10" s="126">
        <f t="shared" si="0"/>
        <v>0.95502249025252561</v>
      </c>
      <c r="I10" s="89">
        <v>284.13</v>
      </c>
      <c r="J10" s="126">
        <v>84.368750000000006</v>
      </c>
    </row>
    <row r="11" spans="1:12" x14ac:dyDescent="0.3">
      <c r="A11" s="88" t="s">
        <v>481</v>
      </c>
      <c r="B11" s="24">
        <v>39091</v>
      </c>
      <c r="C11" s="32">
        <v>0.64170410690628421</v>
      </c>
      <c r="D11">
        <v>14</v>
      </c>
      <c r="E11">
        <v>8.1</v>
      </c>
      <c r="F11" s="126">
        <v>0.70499999999999996</v>
      </c>
      <c r="G11" s="126"/>
      <c r="H11" s="126">
        <f t="shared" si="0"/>
        <v>1.080450793034103</v>
      </c>
      <c r="I11" s="89">
        <v>471.51000000000005</v>
      </c>
      <c r="J11" s="126">
        <v>81.240624999999994</v>
      </c>
    </row>
    <row r="12" spans="1:12" x14ac:dyDescent="0.3">
      <c r="A12" s="88" t="s">
        <v>481</v>
      </c>
      <c r="B12" s="24">
        <v>39092</v>
      </c>
      <c r="C12" s="32">
        <v>2.2500144000921609</v>
      </c>
      <c r="D12">
        <v>13.4</v>
      </c>
      <c r="E12">
        <v>6.6</v>
      </c>
      <c r="F12" s="126">
        <v>4.49</v>
      </c>
      <c r="G12" s="126"/>
      <c r="H12" s="126">
        <f t="shared" si="0"/>
        <v>0.97499060249070812</v>
      </c>
      <c r="I12" s="89">
        <v>423.36</v>
      </c>
      <c r="J12" s="126">
        <v>77.474999999999994</v>
      </c>
    </row>
    <row r="13" spans="1:12" x14ac:dyDescent="0.3">
      <c r="A13" s="88" t="s">
        <v>481</v>
      </c>
      <c r="B13" s="24">
        <v>39093</v>
      </c>
      <c r="C13" s="32">
        <v>0.39150250561603595</v>
      </c>
      <c r="D13">
        <v>8.9</v>
      </c>
      <c r="E13">
        <v>4.5999999999999996</v>
      </c>
      <c r="F13" s="126">
        <v>6.26</v>
      </c>
      <c r="G13" s="126"/>
      <c r="H13" s="126">
        <f t="shared" si="0"/>
        <v>0.84852995914135099</v>
      </c>
      <c r="I13" s="89">
        <v>616.86</v>
      </c>
      <c r="J13" s="126">
        <v>82.347916666666677</v>
      </c>
    </row>
    <row r="14" spans="1:12" x14ac:dyDescent="0.3">
      <c r="A14" s="88" t="s">
        <v>481</v>
      </c>
      <c r="B14" s="24">
        <v>39094</v>
      </c>
      <c r="C14" s="32">
        <v>1.9935127584816543</v>
      </c>
      <c r="D14">
        <v>11.6</v>
      </c>
      <c r="E14">
        <v>6.3</v>
      </c>
      <c r="F14" s="126">
        <v>0.55500000000000005</v>
      </c>
      <c r="G14" s="126"/>
      <c r="H14" s="126">
        <f t="shared" si="0"/>
        <v>0.95502249025252561</v>
      </c>
      <c r="I14" s="89">
        <v>687.68999999999994</v>
      </c>
      <c r="J14" s="126">
        <v>79.804166666666703</v>
      </c>
    </row>
    <row r="15" spans="1:12" x14ac:dyDescent="0.3">
      <c r="A15" s="88" t="s">
        <v>481</v>
      </c>
      <c r="B15" s="24">
        <v>39095</v>
      </c>
      <c r="C15" s="32">
        <v>0.83250532803409938</v>
      </c>
      <c r="D15">
        <v>12.2</v>
      </c>
      <c r="E15">
        <v>10.5</v>
      </c>
      <c r="F15" s="126">
        <v>1.4999999999999999E-2</v>
      </c>
      <c r="G15" s="126"/>
      <c r="H15" s="126">
        <f t="shared" si="0"/>
        <v>1.2701326466613394</v>
      </c>
      <c r="I15" s="89">
        <v>547.20000000000005</v>
      </c>
      <c r="J15" s="126">
        <v>81.792708333333337</v>
      </c>
    </row>
    <row r="16" spans="1:12" x14ac:dyDescent="0.3">
      <c r="A16" s="88" t="s">
        <v>481</v>
      </c>
      <c r="B16" s="24">
        <v>39096</v>
      </c>
      <c r="C16" s="32">
        <v>3.3795216289384253</v>
      </c>
      <c r="D16">
        <v>11.8</v>
      </c>
      <c r="E16">
        <v>5</v>
      </c>
      <c r="F16" s="126">
        <v>0.68500000000000005</v>
      </c>
      <c r="G16" s="126"/>
      <c r="H16" s="126">
        <f t="shared" si="0"/>
        <v>0.87259658934786222</v>
      </c>
      <c r="I16" s="89">
        <v>614.16</v>
      </c>
      <c r="J16" s="126">
        <v>76.560416666666654</v>
      </c>
    </row>
    <row r="17" spans="1:10" x14ac:dyDescent="0.3">
      <c r="A17" s="88" t="s">
        <v>481</v>
      </c>
      <c r="B17" s="24">
        <v>39097</v>
      </c>
      <c r="C17" s="32">
        <v>4.0383258452854101</v>
      </c>
      <c r="D17">
        <v>7.8</v>
      </c>
      <c r="E17">
        <v>2.4</v>
      </c>
      <c r="F17" s="126">
        <v>0</v>
      </c>
      <c r="G17" s="126"/>
      <c r="H17" s="126">
        <f t="shared" si="0"/>
        <v>0.7263362808555901</v>
      </c>
      <c r="I17" s="89">
        <v>252.71999999999997</v>
      </c>
      <c r="J17" s="126">
        <v>81.232291666666654</v>
      </c>
    </row>
    <row r="18" spans="1:10" x14ac:dyDescent="0.3">
      <c r="A18" s="88" t="s">
        <v>481</v>
      </c>
      <c r="B18" s="24">
        <v>39098</v>
      </c>
      <c r="C18" s="32">
        <v>0.88020563331605328</v>
      </c>
      <c r="D18">
        <v>7.1</v>
      </c>
      <c r="E18">
        <v>2.2999999999999998</v>
      </c>
      <c r="F18" s="126">
        <v>1.19</v>
      </c>
      <c r="G18" s="126"/>
      <c r="H18" s="126">
        <f t="shared" si="0"/>
        <v>0.72117182708011951</v>
      </c>
      <c r="I18" s="89">
        <v>287.28000000000003</v>
      </c>
      <c r="J18" s="126">
        <v>84.579166666666666</v>
      </c>
    </row>
    <row r="19" spans="1:10" x14ac:dyDescent="0.3">
      <c r="A19" s="88" t="s">
        <v>481</v>
      </c>
      <c r="B19" s="24">
        <v>39099</v>
      </c>
      <c r="C19" s="32">
        <v>2.4669157882610446</v>
      </c>
      <c r="D19">
        <v>11.2</v>
      </c>
      <c r="E19">
        <v>6.3</v>
      </c>
      <c r="F19" s="126">
        <v>0.52500000000000002</v>
      </c>
      <c r="G19" s="126"/>
      <c r="H19" s="126">
        <f t="shared" si="0"/>
        <v>0.95502249025252561</v>
      </c>
      <c r="I19" s="89">
        <v>353.78999999999985</v>
      </c>
      <c r="J19" s="126">
        <v>81.556250000000006</v>
      </c>
    </row>
    <row r="20" spans="1:10" x14ac:dyDescent="0.3">
      <c r="A20" s="88" t="s">
        <v>481</v>
      </c>
      <c r="B20" s="24">
        <v>39100</v>
      </c>
      <c r="C20" s="32">
        <v>8.9100570243649563E-2</v>
      </c>
      <c r="D20">
        <v>12.9</v>
      </c>
      <c r="E20">
        <v>6.5</v>
      </c>
      <c r="F20" s="126">
        <v>23.635000000000002</v>
      </c>
      <c r="G20" s="126"/>
      <c r="H20" s="126">
        <f t="shared" si="0"/>
        <v>0.96829408068935052</v>
      </c>
      <c r="I20" s="89">
        <v>599.85000000000014</v>
      </c>
      <c r="J20" s="126">
        <v>83.87604166666668</v>
      </c>
    </row>
    <row r="21" spans="1:10" x14ac:dyDescent="0.3">
      <c r="A21" s="88" t="s">
        <v>481</v>
      </c>
      <c r="B21" s="24">
        <v>39101</v>
      </c>
      <c r="C21" s="32">
        <v>1.683910777028973</v>
      </c>
      <c r="D21">
        <v>9.6999999999999993</v>
      </c>
      <c r="E21">
        <v>6.2</v>
      </c>
      <c r="F21" s="126">
        <v>1.575</v>
      </c>
      <c r="G21" s="126"/>
      <c r="H21" s="126">
        <f t="shared" si="0"/>
        <v>0.94844700173703456</v>
      </c>
      <c r="I21" s="89">
        <v>673.20000000000016</v>
      </c>
      <c r="J21" s="126">
        <v>78.592708333333334</v>
      </c>
    </row>
    <row r="22" spans="1:10" x14ac:dyDescent="0.3">
      <c r="A22" s="88" t="s">
        <v>481</v>
      </c>
      <c r="B22" s="24">
        <v>39102</v>
      </c>
      <c r="C22" s="32">
        <v>1.152907378607223</v>
      </c>
      <c r="D22">
        <v>13.9</v>
      </c>
      <c r="E22">
        <v>6.6</v>
      </c>
      <c r="F22" s="126">
        <v>3.6549999999999998</v>
      </c>
      <c r="G22" s="126"/>
      <c r="H22" s="126">
        <f t="shared" si="0"/>
        <v>0.97499060249070812</v>
      </c>
      <c r="I22" s="89">
        <v>478.71000000000004</v>
      </c>
      <c r="J22" s="126">
        <v>80.643749999999997</v>
      </c>
    </row>
    <row r="23" spans="1:10" x14ac:dyDescent="0.3">
      <c r="A23" s="88" t="s">
        <v>481</v>
      </c>
      <c r="B23" s="24">
        <v>39103</v>
      </c>
      <c r="C23" s="32">
        <v>1.3041083462934162</v>
      </c>
      <c r="D23">
        <v>6.8</v>
      </c>
      <c r="E23">
        <v>3.8</v>
      </c>
      <c r="F23" s="126">
        <v>2.4350000000000001</v>
      </c>
      <c r="G23" s="126"/>
      <c r="H23" s="126">
        <f t="shared" si="0"/>
        <v>0.80214634758046521</v>
      </c>
      <c r="I23" s="89">
        <v>534.96</v>
      </c>
      <c r="J23" s="126">
        <v>78.643749999999997</v>
      </c>
    </row>
    <row r="24" spans="1:10" x14ac:dyDescent="0.3">
      <c r="A24" s="88" t="s">
        <v>481</v>
      </c>
      <c r="B24" s="24">
        <v>39104</v>
      </c>
      <c r="C24" s="32">
        <v>1.5093096595818214</v>
      </c>
      <c r="D24">
        <v>4.7</v>
      </c>
      <c r="E24">
        <v>-3.7</v>
      </c>
      <c r="F24" s="126">
        <v>0.08</v>
      </c>
      <c r="G24" s="126"/>
      <c r="H24" s="126">
        <f t="shared" si="0"/>
        <v>0.46477653465671803</v>
      </c>
      <c r="I24" s="89">
        <v>386.81999999999994</v>
      </c>
      <c r="J24" s="126">
        <v>80.601041666666646</v>
      </c>
    </row>
    <row r="25" spans="1:10" x14ac:dyDescent="0.3">
      <c r="A25" s="88" t="s">
        <v>481</v>
      </c>
      <c r="B25" s="24">
        <v>39105</v>
      </c>
      <c r="C25" s="32">
        <v>5.8806376360808708</v>
      </c>
      <c r="D25">
        <v>-1.1000000000000001</v>
      </c>
      <c r="E25">
        <v>-7.3</v>
      </c>
      <c r="F25" s="126">
        <v>0</v>
      </c>
      <c r="G25" s="126"/>
      <c r="H25" s="126">
        <f t="shared" si="0"/>
        <v>0.35317446732956626</v>
      </c>
      <c r="I25" s="89">
        <v>93.870000000000019</v>
      </c>
      <c r="J25" s="126">
        <v>88.554166666666632</v>
      </c>
    </row>
    <row r="26" spans="1:10" x14ac:dyDescent="0.3">
      <c r="A26" s="88" t="s">
        <v>481</v>
      </c>
      <c r="B26" s="24">
        <v>39106</v>
      </c>
      <c r="C26" s="32">
        <v>2.8467182189966014</v>
      </c>
      <c r="D26">
        <v>-2.4</v>
      </c>
      <c r="E26">
        <v>-8.1</v>
      </c>
      <c r="F26" s="126">
        <v>0</v>
      </c>
      <c r="G26" s="126"/>
      <c r="H26" s="126">
        <f t="shared" si="0"/>
        <v>0.33187876416236572</v>
      </c>
      <c r="I26" s="89">
        <v>194.49000000000004</v>
      </c>
      <c r="J26" s="126">
        <v>92.821875000000006</v>
      </c>
    </row>
    <row r="27" spans="1:10" x14ac:dyDescent="0.3">
      <c r="A27" s="88" t="s">
        <v>481</v>
      </c>
      <c r="B27" s="24">
        <v>39107</v>
      </c>
      <c r="C27" s="32">
        <v>5.1030326594090205</v>
      </c>
      <c r="D27">
        <v>-1.1000000000000001</v>
      </c>
      <c r="E27">
        <v>-6.8</v>
      </c>
      <c r="F27" s="126">
        <v>0</v>
      </c>
      <c r="G27" s="126"/>
      <c r="H27" s="126">
        <f t="shared" si="0"/>
        <v>0.36709226809247852</v>
      </c>
      <c r="I27" s="89">
        <v>223.02</v>
      </c>
      <c r="J27" s="126">
        <v>92.094791666666694</v>
      </c>
    </row>
    <row r="28" spans="1:10" x14ac:dyDescent="0.3">
      <c r="A28" s="88" t="s">
        <v>481</v>
      </c>
      <c r="B28" s="24">
        <v>39108</v>
      </c>
      <c r="C28" s="32">
        <v>1.7973115027936177</v>
      </c>
      <c r="D28">
        <v>1.7</v>
      </c>
      <c r="E28">
        <v>-6.9</v>
      </c>
      <c r="F28" s="126">
        <v>0.46</v>
      </c>
      <c r="G28" s="126"/>
      <c r="H28" s="126">
        <f t="shared" si="0"/>
        <v>0.36427039611704592</v>
      </c>
      <c r="I28" s="89">
        <v>389.88</v>
      </c>
      <c r="J28" s="126">
        <v>92.030208333333292</v>
      </c>
    </row>
    <row r="29" spans="1:10" x14ac:dyDescent="0.3">
      <c r="A29" s="88" t="s">
        <v>481</v>
      </c>
      <c r="B29" s="24">
        <v>39109</v>
      </c>
      <c r="C29" s="32">
        <v>4.131026438569207</v>
      </c>
      <c r="D29">
        <v>3</v>
      </c>
      <c r="E29">
        <v>0.4</v>
      </c>
      <c r="F29" s="126">
        <v>0</v>
      </c>
      <c r="G29" s="126"/>
      <c r="H29" s="126">
        <f t="shared" si="0"/>
        <v>0.62901732612537431</v>
      </c>
      <c r="I29" s="89">
        <v>482.84999999999991</v>
      </c>
      <c r="J29" s="126">
        <v>86.083333333333329</v>
      </c>
    </row>
    <row r="30" spans="1:10" x14ac:dyDescent="0.3">
      <c r="A30" s="88" t="s">
        <v>481</v>
      </c>
      <c r="B30" s="24">
        <v>39110</v>
      </c>
      <c r="C30" s="32">
        <v>0.7254046425897126</v>
      </c>
      <c r="D30">
        <v>6.4</v>
      </c>
      <c r="E30">
        <v>1.7</v>
      </c>
      <c r="F30" s="126">
        <v>3.6549999999999998</v>
      </c>
      <c r="G30" s="126"/>
      <c r="H30" s="126">
        <f t="shared" si="0"/>
        <v>0.69086052853268343</v>
      </c>
      <c r="I30" s="89">
        <v>602.46</v>
      </c>
      <c r="J30" s="126">
        <v>89</v>
      </c>
    </row>
    <row r="31" spans="1:10" x14ac:dyDescent="0.3">
      <c r="A31" s="88" t="s">
        <v>481</v>
      </c>
      <c r="B31" s="24">
        <v>39111</v>
      </c>
      <c r="C31" s="32">
        <v>2.9754190426818732</v>
      </c>
      <c r="D31">
        <v>6.9</v>
      </c>
      <c r="E31">
        <v>3.4</v>
      </c>
      <c r="F31" s="126">
        <v>6.665</v>
      </c>
      <c r="G31" s="126"/>
      <c r="H31" s="126">
        <f t="shared" si="0"/>
        <v>0.77980491618110859</v>
      </c>
      <c r="I31" s="89">
        <v>452.87999999999994</v>
      </c>
      <c r="J31" s="126">
        <v>84.248958333333334</v>
      </c>
    </row>
    <row r="32" spans="1:10" x14ac:dyDescent="0.3">
      <c r="A32" s="88" t="s">
        <v>481</v>
      </c>
      <c r="B32" s="24">
        <v>39112</v>
      </c>
      <c r="C32" s="32">
        <v>1.7199110074304476</v>
      </c>
      <c r="D32">
        <v>7.7</v>
      </c>
      <c r="E32">
        <v>3.3</v>
      </c>
      <c r="F32" s="126">
        <v>0.215</v>
      </c>
      <c r="G32" s="126"/>
      <c r="H32" s="126">
        <f t="shared" si="0"/>
        <v>0.77430610767805441</v>
      </c>
      <c r="I32" s="89">
        <v>387.36000000000018</v>
      </c>
      <c r="J32" s="126">
        <v>84.856250000000003</v>
      </c>
    </row>
    <row r="33" spans="1:10" x14ac:dyDescent="0.3">
      <c r="A33" s="88" t="s">
        <v>481</v>
      </c>
      <c r="B33" s="24">
        <v>39113</v>
      </c>
      <c r="C33" s="32">
        <v>3.6198231668682683</v>
      </c>
      <c r="D33">
        <v>7.7</v>
      </c>
      <c r="E33">
        <v>5.7</v>
      </c>
      <c r="F33" s="126">
        <v>0.04</v>
      </c>
      <c r="G33" s="126"/>
      <c r="H33" s="126">
        <f t="shared" si="0"/>
        <v>0.91616430843021424</v>
      </c>
      <c r="I33" s="89">
        <v>561.51</v>
      </c>
      <c r="J33" s="126">
        <v>79.887500000000003</v>
      </c>
    </row>
    <row r="34" spans="1:10" x14ac:dyDescent="0.3">
      <c r="A34" s="88" t="s">
        <v>481</v>
      </c>
      <c r="B34" s="24">
        <v>39114</v>
      </c>
      <c r="C34" s="32">
        <v>3.1104199066874028</v>
      </c>
      <c r="D34">
        <v>7.8</v>
      </c>
      <c r="E34">
        <v>5.5</v>
      </c>
      <c r="F34" s="126">
        <v>0.68</v>
      </c>
      <c r="G34" s="126"/>
      <c r="H34" s="126">
        <f t="shared" si="0"/>
        <v>0.90352494025987484</v>
      </c>
      <c r="I34" s="89">
        <v>330.92999999999995</v>
      </c>
      <c r="J34" s="126">
        <v>86.661458333333314</v>
      </c>
    </row>
    <row r="35" spans="1:10" x14ac:dyDescent="0.3">
      <c r="A35" s="88" t="s">
        <v>481</v>
      </c>
      <c r="B35" s="24">
        <v>39115</v>
      </c>
      <c r="C35" s="32">
        <v>1.2168077875698404</v>
      </c>
      <c r="D35">
        <v>8.6</v>
      </c>
      <c r="E35">
        <v>6.1</v>
      </c>
      <c r="F35" s="126">
        <v>1.1599999999999999</v>
      </c>
      <c r="G35" s="126"/>
      <c r="H35" s="126">
        <f t="shared" si="0"/>
        <v>0.94191143925241705</v>
      </c>
      <c r="I35" s="89">
        <v>388.43999999999988</v>
      </c>
      <c r="J35" s="126">
        <v>93.151041666666643</v>
      </c>
    </row>
    <row r="36" spans="1:10" x14ac:dyDescent="0.3">
      <c r="A36" s="88" t="s">
        <v>481</v>
      </c>
      <c r="B36" s="24">
        <v>39116</v>
      </c>
      <c r="C36" s="32">
        <v>1.5201097287022638</v>
      </c>
      <c r="D36">
        <v>7.8</v>
      </c>
      <c r="E36">
        <v>5.5</v>
      </c>
      <c r="F36" s="126">
        <v>1.425</v>
      </c>
      <c r="G36" s="126"/>
      <c r="H36" s="126">
        <f t="shared" si="0"/>
        <v>0.90352494025987484</v>
      </c>
      <c r="I36" s="89">
        <v>409.94999999999993</v>
      </c>
      <c r="J36" s="126">
        <v>88.445833333333326</v>
      </c>
    </row>
    <row r="37" spans="1:10" x14ac:dyDescent="0.3">
      <c r="A37" s="88" t="s">
        <v>481</v>
      </c>
      <c r="B37" s="24">
        <v>39117</v>
      </c>
      <c r="C37" s="32">
        <v>3.1824203674903524</v>
      </c>
      <c r="D37">
        <v>6.7</v>
      </c>
      <c r="E37">
        <v>1.4</v>
      </c>
      <c r="F37" s="126">
        <v>1.4999999999999999E-2</v>
      </c>
      <c r="G37" s="126"/>
      <c r="H37" s="126">
        <f t="shared" si="0"/>
        <v>0.67613129580825593</v>
      </c>
      <c r="I37" s="89">
        <v>267.48</v>
      </c>
      <c r="J37" s="126">
        <v>89.05</v>
      </c>
    </row>
    <row r="38" spans="1:10" x14ac:dyDescent="0.3">
      <c r="A38" s="88" t="s">
        <v>481</v>
      </c>
      <c r="B38" s="24">
        <v>39118</v>
      </c>
      <c r="C38" s="32">
        <v>2.6037166637866482</v>
      </c>
      <c r="D38">
        <v>4.0999999999999996</v>
      </c>
      <c r="E38">
        <v>0.1</v>
      </c>
      <c r="F38" s="126">
        <v>0.21</v>
      </c>
      <c r="G38" s="126"/>
      <c r="H38" s="126">
        <f t="shared" si="0"/>
        <v>0.61546101269605991</v>
      </c>
      <c r="I38" s="89">
        <v>251.36999999999998</v>
      </c>
      <c r="J38" s="126">
        <v>93.837500000000048</v>
      </c>
    </row>
    <row r="39" spans="1:10" x14ac:dyDescent="0.3">
      <c r="A39" s="88" t="s">
        <v>481</v>
      </c>
      <c r="B39" s="24">
        <v>39119</v>
      </c>
      <c r="C39" s="32">
        <v>3.5532227406255399</v>
      </c>
      <c r="D39">
        <v>3.9</v>
      </c>
      <c r="E39">
        <v>0.1</v>
      </c>
      <c r="F39" s="126">
        <v>0.19500000000000001</v>
      </c>
      <c r="G39" s="126"/>
      <c r="H39" s="126">
        <f t="shared" si="0"/>
        <v>0.61546101269605991</v>
      </c>
      <c r="I39" s="89">
        <v>238.85999999999979</v>
      </c>
      <c r="J39" s="126">
        <v>86.713541666666643</v>
      </c>
    </row>
    <row r="40" spans="1:10" x14ac:dyDescent="0.3">
      <c r="A40" s="88" t="s">
        <v>481</v>
      </c>
      <c r="B40" s="24">
        <v>39120</v>
      </c>
      <c r="C40" s="32">
        <v>6.1803395541731465</v>
      </c>
      <c r="D40">
        <v>3.6</v>
      </c>
      <c r="E40">
        <v>0</v>
      </c>
      <c r="F40" s="126">
        <v>0</v>
      </c>
      <c r="G40" s="126"/>
      <c r="H40" s="126">
        <f t="shared" si="0"/>
        <v>0.61099999999999999</v>
      </c>
      <c r="I40" s="89">
        <v>136.89000000000001</v>
      </c>
      <c r="J40" s="126">
        <v>86.282291666666666</v>
      </c>
    </row>
    <row r="41" spans="1:10" x14ac:dyDescent="0.3">
      <c r="A41" s="88" t="s">
        <v>481</v>
      </c>
      <c r="B41" s="24">
        <v>39121</v>
      </c>
      <c r="C41" s="32">
        <v>1.8108115891941707</v>
      </c>
      <c r="D41">
        <v>3</v>
      </c>
      <c r="E41">
        <v>0</v>
      </c>
      <c r="F41" s="126">
        <v>4.5750000000000002</v>
      </c>
      <c r="G41" s="126"/>
      <c r="H41" s="126">
        <f t="shared" si="0"/>
        <v>0.61099999999999999</v>
      </c>
      <c r="I41" s="89">
        <v>221.57999999999998</v>
      </c>
      <c r="J41" s="126">
        <v>92.679166666666632</v>
      </c>
    </row>
    <row r="42" spans="1:10" x14ac:dyDescent="0.3">
      <c r="A42" s="88" t="s">
        <v>481</v>
      </c>
      <c r="B42" s="24">
        <v>39122</v>
      </c>
      <c r="C42" s="32">
        <v>1.3266084902943378</v>
      </c>
      <c r="D42">
        <v>3.8</v>
      </c>
      <c r="E42">
        <v>0</v>
      </c>
      <c r="F42" s="126">
        <v>2.0249999999999999</v>
      </c>
      <c r="G42" s="126"/>
      <c r="H42" s="126">
        <f t="shared" si="0"/>
        <v>0.61099999999999999</v>
      </c>
      <c r="I42" s="89">
        <v>175.05000000000007</v>
      </c>
      <c r="J42" s="126">
        <v>92.698958333333351</v>
      </c>
    </row>
    <row r="43" spans="1:10" x14ac:dyDescent="0.3">
      <c r="A43" s="88" t="s">
        <v>481</v>
      </c>
      <c r="B43" s="24">
        <v>39123</v>
      </c>
      <c r="C43" s="32">
        <v>0.84060537987443118</v>
      </c>
      <c r="D43">
        <v>2.2999999999999998</v>
      </c>
      <c r="E43">
        <v>0.1</v>
      </c>
      <c r="F43" s="126">
        <v>5.0000000000000001E-3</v>
      </c>
      <c r="G43" s="126"/>
      <c r="H43" s="126">
        <f t="shared" si="0"/>
        <v>0.61546101269605991</v>
      </c>
      <c r="I43" s="89">
        <v>446.22</v>
      </c>
      <c r="J43" s="126">
        <v>94.826041666666626</v>
      </c>
    </row>
    <row r="44" spans="1:10" x14ac:dyDescent="0.3">
      <c r="A44" s="88" t="s">
        <v>481</v>
      </c>
      <c r="B44" s="24">
        <v>39124</v>
      </c>
      <c r="C44" s="32">
        <v>2.6496169575485284</v>
      </c>
      <c r="D44">
        <v>5.5</v>
      </c>
      <c r="E44">
        <v>0.2</v>
      </c>
      <c r="F44" s="126">
        <v>2.2999999999999998</v>
      </c>
      <c r="G44" s="126"/>
      <c r="H44" s="126">
        <f t="shared" si="0"/>
        <v>0.61995079814923992</v>
      </c>
      <c r="I44" s="89">
        <v>328.77</v>
      </c>
      <c r="J44" s="126">
        <v>92.719791666666609</v>
      </c>
    </row>
    <row r="45" spans="1:10" x14ac:dyDescent="0.3">
      <c r="A45" s="88" t="s">
        <v>481</v>
      </c>
      <c r="B45" s="24">
        <v>39125</v>
      </c>
      <c r="C45" s="32">
        <v>2.0907133805656359</v>
      </c>
      <c r="D45">
        <v>7.5</v>
      </c>
      <c r="E45">
        <v>2.7</v>
      </c>
      <c r="F45" s="126">
        <v>6.2249999999999996</v>
      </c>
      <c r="G45" s="126"/>
      <c r="H45" s="126">
        <f t="shared" si="0"/>
        <v>0.74202613073523482</v>
      </c>
      <c r="I45" s="89">
        <v>156.78000000000006</v>
      </c>
      <c r="J45" s="126">
        <v>91.915625000000006</v>
      </c>
    </row>
    <row r="46" spans="1:10" x14ac:dyDescent="0.3">
      <c r="A46" s="88" t="s">
        <v>481</v>
      </c>
      <c r="B46" s="24">
        <v>39126</v>
      </c>
      <c r="C46" s="32">
        <v>1.0296065894821727</v>
      </c>
      <c r="D46">
        <v>7.4</v>
      </c>
      <c r="E46">
        <v>5.5</v>
      </c>
      <c r="F46" s="126">
        <v>5.22</v>
      </c>
      <c r="G46" s="126"/>
      <c r="H46" s="126">
        <f t="shared" si="0"/>
        <v>0.90352494025987484</v>
      </c>
      <c r="I46" s="89">
        <v>387.98999999999995</v>
      </c>
      <c r="J46" s="126">
        <v>89.63333333333334</v>
      </c>
    </row>
    <row r="47" spans="1:10" x14ac:dyDescent="0.3">
      <c r="A47" s="88" t="s">
        <v>481</v>
      </c>
      <c r="B47" s="24">
        <v>39127</v>
      </c>
      <c r="C47" s="32">
        <v>3.1815203617303149</v>
      </c>
      <c r="D47">
        <v>8.3000000000000007</v>
      </c>
      <c r="E47">
        <v>3</v>
      </c>
      <c r="F47" s="126">
        <v>3.9649999999999999</v>
      </c>
      <c r="G47" s="126"/>
      <c r="H47" s="126">
        <f t="shared" si="0"/>
        <v>0.75801445266818901</v>
      </c>
      <c r="I47" s="89">
        <v>193.59</v>
      </c>
      <c r="J47" s="126">
        <v>87.401041666666671</v>
      </c>
    </row>
    <row r="48" spans="1:10" x14ac:dyDescent="0.3">
      <c r="A48" s="88" t="s">
        <v>481</v>
      </c>
      <c r="B48" s="24">
        <v>39128</v>
      </c>
      <c r="C48" s="32">
        <v>1.4229091066182824</v>
      </c>
      <c r="D48">
        <v>6.5</v>
      </c>
      <c r="E48">
        <v>3.1</v>
      </c>
      <c r="F48" s="126">
        <v>0.2</v>
      </c>
      <c r="G48" s="126"/>
      <c r="H48" s="126">
        <f t="shared" si="0"/>
        <v>0.76341105875491733</v>
      </c>
      <c r="I48" s="89">
        <v>305.28000000000003</v>
      </c>
      <c r="J48" s="126">
        <v>90.170833333333292</v>
      </c>
    </row>
    <row r="49" spans="1:10" x14ac:dyDescent="0.3">
      <c r="A49" s="88" t="s">
        <v>481</v>
      </c>
      <c r="B49" s="24">
        <v>39129</v>
      </c>
      <c r="C49" s="32">
        <v>7.806649962559761</v>
      </c>
      <c r="D49">
        <v>5.5</v>
      </c>
      <c r="E49">
        <v>0.9</v>
      </c>
      <c r="F49" s="126">
        <v>0</v>
      </c>
      <c r="G49" s="126"/>
      <c r="H49" s="126">
        <f t="shared" si="0"/>
        <v>0.65219842492921176</v>
      </c>
      <c r="I49" s="89">
        <v>399.24</v>
      </c>
      <c r="J49" s="126">
        <v>84.597916666666649</v>
      </c>
    </row>
    <row r="50" spans="1:10" x14ac:dyDescent="0.3">
      <c r="A50" s="88" t="s">
        <v>481</v>
      </c>
      <c r="B50" s="24">
        <v>39130</v>
      </c>
      <c r="C50" s="32">
        <v>7.9326507689649217</v>
      </c>
      <c r="D50">
        <v>8.4</v>
      </c>
      <c r="E50">
        <v>2.4</v>
      </c>
      <c r="F50" s="126">
        <v>0</v>
      </c>
      <c r="G50" s="126"/>
      <c r="H50" s="126">
        <f t="shared" si="0"/>
        <v>0.7263362808555901</v>
      </c>
      <c r="I50" s="89">
        <v>430.38</v>
      </c>
      <c r="J50" s="126">
        <v>78.841666666666697</v>
      </c>
    </row>
    <row r="51" spans="1:10" x14ac:dyDescent="0.3">
      <c r="A51" s="88" t="s">
        <v>481</v>
      </c>
      <c r="B51" s="24">
        <v>39131</v>
      </c>
      <c r="C51" s="32">
        <v>8.2782529808190777</v>
      </c>
      <c r="D51">
        <v>9.8000000000000007</v>
      </c>
      <c r="E51">
        <v>0</v>
      </c>
      <c r="F51" s="126">
        <v>0</v>
      </c>
      <c r="G51" s="126"/>
      <c r="H51" s="126">
        <f t="shared" si="0"/>
        <v>0.61099999999999999</v>
      </c>
      <c r="I51" s="89">
        <v>237.95999999999998</v>
      </c>
      <c r="J51" s="126">
        <v>80.955208333333317</v>
      </c>
    </row>
    <row r="52" spans="1:10" x14ac:dyDescent="0.3">
      <c r="A52" s="88" t="s">
        <v>481</v>
      </c>
      <c r="B52" s="24">
        <v>39132</v>
      </c>
      <c r="C52" s="32">
        <v>3.6135231265480097</v>
      </c>
      <c r="D52">
        <v>5.7</v>
      </c>
      <c r="E52">
        <v>0.9</v>
      </c>
      <c r="F52" s="126">
        <v>0.03</v>
      </c>
      <c r="G52" s="126"/>
      <c r="H52" s="126">
        <f t="shared" si="0"/>
        <v>0.65219842492921176</v>
      </c>
      <c r="I52" s="89">
        <v>100.62000000000003</v>
      </c>
      <c r="J52" s="126">
        <v>80.221874999999997</v>
      </c>
    </row>
    <row r="53" spans="1:10" x14ac:dyDescent="0.3">
      <c r="A53" s="88" t="s">
        <v>481</v>
      </c>
      <c r="B53" s="24">
        <v>39133</v>
      </c>
      <c r="C53" s="32">
        <v>3.1410201025286559</v>
      </c>
      <c r="D53">
        <v>7.3</v>
      </c>
      <c r="E53">
        <v>0.6</v>
      </c>
      <c r="F53" s="126">
        <v>0.02</v>
      </c>
      <c r="G53" s="126"/>
      <c r="H53" s="126">
        <f t="shared" si="0"/>
        <v>0.63820086880942895</v>
      </c>
      <c r="I53" s="89">
        <v>117.35999999999999</v>
      </c>
      <c r="J53" s="126">
        <v>81.045833333333348</v>
      </c>
    </row>
    <row r="54" spans="1:10" x14ac:dyDescent="0.3">
      <c r="A54" s="88" t="s">
        <v>481</v>
      </c>
      <c r="B54" s="24">
        <v>39134</v>
      </c>
      <c r="C54" s="32">
        <v>5.4738350325442084</v>
      </c>
      <c r="D54">
        <v>9.9</v>
      </c>
      <c r="E54">
        <v>0.3</v>
      </c>
      <c r="F54" s="126">
        <v>4.03</v>
      </c>
      <c r="G54" s="126"/>
      <c r="H54" s="126">
        <f t="shared" si="0"/>
        <v>0.62446951587741306</v>
      </c>
      <c r="I54" s="89">
        <v>195.84000000000003</v>
      </c>
      <c r="J54" s="126">
        <v>80.107291666666654</v>
      </c>
    </row>
    <row r="55" spans="1:10" x14ac:dyDescent="0.3">
      <c r="A55" s="88" t="s">
        <v>481</v>
      </c>
      <c r="B55" s="24">
        <v>39135</v>
      </c>
      <c r="C55" s="32">
        <v>8.1090518979321473</v>
      </c>
      <c r="D55">
        <v>9.9</v>
      </c>
      <c r="E55">
        <v>0.1</v>
      </c>
      <c r="F55" s="126">
        <v>1.6850000000000001</v>
      </c>
      <c r="G55" s="126"/>
      <c r="H55" s="126">
        <f t="shared" si="0"/>
        <v>0.61546101269605991</v>
      </c>
      <c r="I55" s="89">
        <v>204.57</v>
      </c>
      <c r="J55" s="126">
        <v>78.89791666666666</v>
      </c>
    </row>
    <row r="56" spans="1:10" x14ac:dyDescent="0.3">
      <c r="A56" s="88" t="s">
        <v>481</v>
      </c>
      <c r="B56" s="24">
        <v>39136</v>
      </c>
      <c r="C56" s="32">
        <v>3.4146218535798631</v>
      </c>
      <c r="D56">
        <v>7.1</v>
      </c>
      <c r="E56">
        <v>2.2000000000000002</v>
      </c>
      <c r="F56" s="126">
        <v>0</v>
      </c>
      <c r="G56" s="126"/>
      <c r="H56" s="126">
        <f t="shared" si="0"/>
        <v>0.71603982725344328</v>
      </c>
      <c r="I56" s="89">
        <v>345.51</v>
      </c>
      <c r="J56" s="126">
        <v>83.072916666666671</v>
      </c>
    </row>
    <row r="57" spans="1:10" x14ac:dyDescent="0.3">
      <c r="A57" s="88" t="s">
        <v>481</v>
      </c>
      <c r="B57" s="24">
        <v>39137</v>
      </c>
      <c r="C57" s="32">
        <v>5.2812337998963192</v>
      </c>
      <c r="D57">
        <v>9.9</v>
      </c>
      <c r="E57">
        <v>0.1</v>
      </c>
      <c r="F57" s="126">
        <v>0.59</v>
      </c>
      <c r="G57" s="126"/>
      <c r="H57" s="126">
        <f t="shared" si="0"/>
        <v>0.61546101269605991</v>
      </c>
      <c r="I57" s="89">
        <v>294.03000000000003</v>
      </c>
      <c r="J57" s="126">
        <v>78.904166666666626</v>
      </c>
    </row>
    <row r="58" spans="1:10" x14ac:dyDescent="0.3">
      <c r="A58" s="88" t="s">
        <v>481</v>
      </c>
      <c r="B58" s="24">
        <v>39138</v>
      </c>
      <c r="C58" s="32">
        <v>1.7829114106330282</v>
      </c>
      <c r="D58">
        <v>9.9</v>
      </c>
      <c r="E58">
        <v>0.1</v>
      </c>
      <c r="F58" s="126">
        <v>2.61</v>
      </c>
      <c r="G58" s="126"/>
      <c r="H58" s="126">
        <f t="shared" si="0"/>
        <v>0.61546101269605991</v>
      </c>
      <c r="I58" s="89">
        <v>188.37000000000009</v>
      </c>
      <c r="J58" s="126">
        <v>82.493750000000006</v>
      </c>
    </row>
    <row r="59" spans="1:10" x14ac:dyDescent="0.3">
      <c r="A59" s="88" t="s">
        <v>481</v>
      </c>
      <c r="B59" s="24">
        <v>39139</v>
      </c>
      <c r="C59" s="32">
        <v>1.325708484534301</v>
      </c>
      <c r="D59">
        <v>7.5</v>
      </c>
      <c r="E59">
        <v>4.7</v>
      </c>
      <c r="F59" s="126">
        <v>3.78</v>
      </c>
      <c r="G59" s="126"/>
      <c r="H59" s="126">
        <f t="shared" si="0"/>
        <v>0.85449106840682587</v>
      </c>
      <c r="I59" s="89">
        <v>425.25</v>
      </c>
      <c r="J59" s="126">
        <v>87.057291666666671</v>
      </c>
    </row>
    <row r="60" spans="1:10" x14ac:dyDescent="0.3">
      <c r="A60" s="88" t="s">
        <v>481</v>
      </c>
      <c r="B60" s="24">
        <v>39140</v>
      </c>
      <c r="C60" s="32">
        <v>4.1301264328091705</v>
      </c>
      <c r="D60">
        <v>6.5</v>
      </c>
      <c r="E60">
        <v>3.1</v>
      </c>
      <c r="F60" s="126">
        <v>7.3049999999999997</v>
      </c>
      <c r="G60" s="126"/>
      <c r="H60" s="126">
        <f t="shared" si="0"/>
        <v>0.76341105875491733</v>
      </c>
      <c r="I60" s="89">
        <v>381.24</v>
      </c>
      <c r="J60" s="126">
        <v>80.287499999999994</v>
      </c>
    </row>
    <row r="61" spans="1:10" x14ac:dyDescent="0.3">
      <c r="A61" s="88" t="s">
        <v>481</v>
      </c>
      <c r="B61" s="24">
        <v>39141</v>
      </c>
      <c r="C61" s="32">
        <v>5.4063346005414434</v>
      </c>
      <c r="D61">
        <v>9.9</v>
      </c>
      <c r="E61">
        <v>0</v>
      </c>
      <c r="F61" s="126">
        <v>6.0049999999999999</v>
      </c>
      <c r="G61" s="126"/>
      <c r="H61" s="126">
        <f t="shared" si="0"/>
        <v>0.61099999999999999</v>
      </c>
      <c r="I61" s="89">
        <v>403.46999999999991</v>
      </c>
      <c r="J61" s="126">
        <v>82.007291666666674</v>
      </c>
    </row>
    <row r="62" spans="1:10" x14ac:dyDescent="0.3">
      <c r="A62" s="88" t="s">
        <v>481</v>
      </c>
      <c r="B62" s="24">
        <v>39142</v>
      </c>
      <c r="C62" s="32">
        <v>5.5503355221473418</v>
      </c>
      <c r="D62">
        <v>9.6999999999999993</v>
      </c>
      <c r="E62">
        <v>6.5</v>
      </c>
      <c r="F62" s="126">
        <v>3.145</v>
      </c>
      <c r="G62" s="126"/>
      <c r="H62" s="126">
        <f t="shared" si="0"/>
        <v>0.96829408068935052</v>
      </c>
      <c r="I62" s="89">
        <v>400.95000000000005</v>
      </c>
      <c r="J62" s="126">
        <v>78.210416666666688</v>
      </c>
    </row>
    <row r="63" spans="1:10" x14ac:dyDescent="0.3">
      <c r="A63" s="88" t="s">
        <v>481</v>
      </c>
      <c r="B63" s="24">
        <v>39143</v>
      </c>
      <c r="C63" s="32">
        <v>3.2031204999711997</v>
      </c>
      <c r="D63">
        <v>7.3</v>
      </c>
      <c r="E63">
        <v>3</v>
      </c>
      <c r="F63" s="126">
        <v>3.13</v>
      </c>
      <c r="G63" s="126"/>
      <c r="H63" s="126">
        <f t="shared" si="0"/>
        <v>0.75801445266818901</v>
      </c>
      <c r="I63" s="89">
        <v>516.96</v>
      </c>
      <c r="J63" s="126">
        <v>80.587500000000006</v>
      </c>
    </row>
    <row r="64" spans="1:10" x14ac:dyDescent="0.3">
      <c r="A64" s="88" t="s">
        <v>481</v>
      </c>
      <c r="B64" s="24">
        <v>39144</v>
      </c>
      <c r="C64" s="32">
        <v>1.0647068141236105</v>
      </c>
      <c r="D64">
        <v>4.2</v>
      </c>
      <c r="E64">
        <v>1.6</v>
      </c>
      <c r="F64" s="126">
        <v>5.58</v>
      </c>
      <c r="G64" s="126"/>
      <c r="H64" s="126">
        <f t="shared" si="0"/>
        <v>0.68591959793818613</v>
      </c>
      <c r="I64" s="89">
        <v>259.92</v>
      </c>
      <c r="J64" s="126">
        <v>89.559375000000003</v>
      </c>
    </row>
    <row r="65" spans="1:10" x14ac:dyDescent="0.3">
      <c r="A65" s="88" t="s">
        <v>481</v>
      </c>
      <c r="B65" s="24">
        <v>39145</v>
      </c>
      <c r="C65" s="32">
        <v>9.1341584586141344</v>
      </c>
      <c r="D65">
        <v>9.9</v>
      </c>
      <c r="E65">
        <v>0.1</v>
      </c>
      <c r="F65" s="126">
        <v>5.0000000000000001E-3</v>
      </c>
      <c r="G65" s="126"/>
      <c r="H65" s="126">
        <f t="shared" si="0"/>
        <v>0.61546101269605991</v>
      </c>
      <c r="I65" s="89">
        <v>191.25</v>
      </c>
      <c r="J65" s="126">
        <v>83.590625000000003</v>
      </c>
    </row>
    <row r="66" spans="1:10" x14ac:dyDescent="0.3">
      <c r="A66" s="88" t="s">
        <v>481</v>
      </c>
      <c r="B66" s="24">
        <v>39146</v>
      </c>
      <c r="C66" s="32">
        <v>4.8312309198778873</v>
      </c>
      <c r="D66">
        <v>9.9</v>
      </c>
      <c r="E66">
        <v>0</v>
      </c>
      <c r="F66" s="126">
        <v>1.7450000000000001</v>
      </c>
      <c r="G66" s="126"/>
      <c r="H66" s="126">
        <f t="shared" si="0"/>
        <v>0.61099999999999999</v>
      </c>
      <c r="I66" s="89">
        <v>293.57999999999993</v>
      </c>
      <c r="J66" s="126">
        <v>73.856250000000003</v>
      </c>
    </row>
    <row r="67" spans="1:10" x14ac:dyDescent="0.3">
      <c r="A67" s="88" t="s">
        <v>481</v>
      </c>
      <c r="B67" s="24">
        <v>39147</v>
      </c>
      <c r="C67" s="32">
        <v>5.8041371464777374</v>
      </c>
      <c r="D67">
        <v>9.9</v>
      </c>
      <c r="E67">
        <v>0</v>
      </c>
      <c r="F67" s="126">
        <v>0</v>
      </c>
      <c r="G67" s="126"/>
      <c r="H67" s="126">
        <f t="shared" si="0"/>
        <v>0.61099999999999999</v>
      </c>
      <c r="I67" s="89">
        <v>252.90000000000009</v>
      </c>
      <c r="J67" s="126">
        <v>63.632291666666674</v>
      </c>
    </row>
    <row r="68" spans="1:10" x14ac:dyDescent="0.3">
      <c r="A68" s="88" t="s">
        <v>481</v>
      </c>
      <c r="B68" s="24">
        <v>39148</v>
      </c>
      <c r="C68" s="32">
        <v>4.3515278497782388</v>
      </c>
      <c r="D68">
        <v>9.9</v>
      </c>
      <c r="E68">
        <v>0.1</v>
      </c>
      <c r="F68" s="126">
        <v>1.48</v>
      </c>
      <c r="G68" s="126"/>
      <c r="H68" s="126">
        <f t="shared" ref="H68:H131" si="1">0.611*EXP((17.27*E68)/(E68+237.3))</f>
        <v>0.61546101269605991</v>
      </c>
      <c r="I68" s="89">
        <v>211.59000000000003</v>
      </c>
      <c r="J68" s="126">
        <v>74.137500000000003</v>
      </c>
    </row>
    <row r="69" spans="1:10" x14ac:dyDescent="0.3">
      <c r="A69" s="88" t="s">
        <v>481</v>
      </c>
      <c r="B69" s="24">
        <v>39149</v>
      </c>
      <c r="C69" s="32">
        <v>3.115819941247624</v>
      </c>
      <c r="D69">
        <v>8.8000000000000007</v>
      </c>
      <c r="E69">
        <v>3.3</v>
      </c>
      <c r="F69" s="126">
        <v>0.3</v>
      </c>
      <c r="G69" s="126"/>
      <c r="H69" s="126">
        <f t="shared" si="1"/>
        <v>0.77430610767805441</v>
      </c>
      <c r="I69" s="89">
        <v>229.1399999999999</v>
      </c>
      <c r="J69" s="126">
        <v>83.855208333333323</v>
      </c>
    </row>
    <row r="70" spans="1:10" x14ac:dyDescent="0.3">
      <c r="A70" s="88" t="s">
        <v>481</v>
      </c>
      <c r="B70" s="24">
        <v>39150</v>
      </c>
      <c r="C70" s="32">
        <v>6.7968434997983991</v>
      </c>
      <c r="D70">
        <v>9.9</v>
      </c>
      <c r="E70">
        <v>0.1</v>
      </c>
      <c r="F70" s="126">
        <v>3.5950000000000002</v>
      </c>
      <c r="G70" s="126"/>
      <c r="H70" s="126">
        <f t="shared" si="1"/>
        <v>0.61546101269605991</v>
      </c>
      <c r="I70" s="89">
        <v>244.26000000000005</v>
      </c>
      <c r="J70" s="126">
        <v>80.814583333333346</v>
      </c>
    </row>
    <row r="71" spans="1:10" x14ac:dyDescent="0.3">
      <c r="A71" s="88" t="s">
        <v>481</v>
      </c>
      <c r="B71" s="24">
        <v>39151</v>
      </c>
      <c r="C71" s="32">
        <v>10.26096567018029</v>
      </c>
      <c r="D71">
        <v>9.9</v>
      </c>
      <c r="E71">
        <v>0</v>
      </c>
      <c r="F71" s="126">
        <v>0</v>
      </c>
      <c r="G71" s="126"/>
      <c r="H71" s="126">
        <f t="shared" si="1"/>
        <v>0.61099999999999999</v>
      </c>
      <c r="I71" s="89">
        <v>290.07000000000005</v>
      </c>
      <c r="J71" s="126">
        <v>78.61770833333334</v>
      </c>
    </row>
    <row r="72" spans="1:10" x14ac:dyDescent="0.3">
      <c r="A72" s="88" t="s">
        <v>481</v>
      </c>
      <c r="B72" s="24">
        <v>39152</v>
      </c>
      <c r="C72" s="32">
        <v>13.712487759921665</v>
      </c>
      <c r="D72">
        <v>9.9</v>
      </c>
      <c r="E72">
        <v>0.2</v>
      </c>
      <c r="F72" s="126">
        <v>0.06</v>
      </c>
      <c r="G72" s="126"/>
      <c r="H72" s="126">
        <f t="shared" si="1"/>
        <v>0.61995079814923992</v>
      </c>
      <c r="I72" s="89">
        <v>256.68</v>
      </c>
      <c r="J72" s="126">
        <v>72.0625</v>
      </c>
    </row>
    <row r="73" spans="1:10" x14ac:dyDescent="0.3">
      <c r="A73" s="88" t="s">
        <v>481</v>
      </c>
      <c r="B73" s="24">
        <v>39153</v>
      </c>
      <c r="C73" s="32">
        <v>14.436092390991304</v>
      </c>
      <c r="D73">
        <v>9.6999999999999993</v>
      </c>
      <c r="E73">
        <v>0.1</v>
      </c>
      <c r="F73" s="126">
        <v>0.01</v>
      </c>
      <c r="G73" s="126"/>
      <c r="H73" s="126">
        <f t="shared" si="1"/>
        <v>0.61546101269605991</v>
      </c>
      <c r="I73" s="89">
        <v>120.96000000000001</v>
      </c>
      <c r="J73" s="126">
        <v>70.521874999999994</v>
      </c>
    </row>
    <row r="74" spans="1:10" x14ac:dyDescent="0.3">
      <c r="A74" s="88" t="s">
        <v>481</v>
      </c>
      <c r="B74" s="24">
        <v>39154</v>
      </c>
      <c r="C74" s="32">
        <v>12.109577501296009</v>
      </c>
      <c r="D74">
        <v>9.8000000000000007</v>
      </c>
      <c r="E74">
        <v>0.1</v>
      </c>
      <c r="F74" s="126">
        <v>5.0000000000000001E-3</v>
      </c>
      <c r="G74" s="126"/>
      <c r="H74" s="126">
        <f t="shared" si="1"/>
        <v>0.61546101269605991</v>
      </c>
      <c r="I74" s="89">
        <v>162.09</v>
      </c>
      <c r="J74" s="126">
        <v>78.198958333333337</v>
      </c>
    </row>
    <row r="75" spans="1:10" x14ac:dyDescent="0.3">
      <c r="A75" s="88" t="s">
        <v>481</v>
      </c>
      <c r="B75" s="24">
        <v>39155</v>
      </c>
      <c r="C75" s="32">
        <v>11.8188756408041</v>
      </c>
      <c r="D75">
        <v>9.9</v>
      </c>
      <c r="E75">
        <v>0.1</v>
      </c>
      <c r="F75" s="126">
        <v>0</v>
      </c>
      <c r="G75" s="126"/>
      <c r="H75" s="126">
        <f t="shared" si="1"/>
        <v>0.61546101269605991</v>
      </c>
      <c r="I75" s="89">
        <v>212.93999999999997</v>
      </c>
      <c r="J75" s="126">
        <v>73.856250000000003</v>
      </c>
    </row>
    <row r="76" spans="1:10" x14ac:dyDescent="0.3">
      <c r="A76" s="88" t="s">
        <v>481</v>
      </c>
      <c r="B76" s="24">
        <v>39156</v>
      </c>
      <c r="C76" s="32">
        <v>14.609793502678418</v>
      </c>
      <c r="D76">
        <v>9.9</v>
      </c>
      <c r="E76">
        <v>0</v>
      </c>
      <c r="F76" s="126">
        <v>0</v>
      </c>
      <c r="G76" s="126"/>
      <c r="H76" s="126">
        <f t="shared" si="1"/>
        <v>0.61099999999999999</v>
      </c>
      <c r="I76" s="89">
        <v>157.68</v>
      </c>
      <c r="J76" s="126">
        <v>75.884375000000006</v>
      </c>
    </row>
    <row r="77" spans="1:10" x14ac:dyDescent="0.3">
      <c r="A77" s="88" t="s">
        <v>481</v>
      </c>
      <c r="B77" s="24">
        <v>39157</v>
      </c>
      <c r="C77" s="32">
        <v>6.0669388284085022</v>
      </c>
      <c r="D77">
        <v>9.9</v>
      </c>
      <c r="E77">
        <v>0</v>
      </c>
      <c r="F77" s="126">
        <v>0</v>
      </c>
      <c r="G77" s="126"/>
      <c r="H77" s="126">
        <f t="shared" si="1"/>
        <v>0.61099999999999999</v>
      </c>
      <c r="I77" s="89">
        <v>295.19999999999993</v>
      </c>
      <c r="J77" s="126">
        <v>80.378124999999997</v>
      </c>
    </row>
    <row r="78" spans="1:10" x14ac:dyDescent="0.3">
      <c r="A78" s="88" t="s">
        <v>481</v>
      </c>
      <c r="B78" s="24">
        <v>39158</v>
      </c>
      <c r="C78" s="32">
        <v>2.7018172916306664</v>
      </c>
      <c r="D78">
        <v>9.9</v>
      </c>
      <c r="E78">
        <v>6.9</v>
      </c>
      <c r="F78" s="126">
        <v>1.835</v>
      </c>
      <c r="G78" s="126"/>
      <c r="H78" s="126">
        <f t="shared" si="1"/>
        <v>0.99532561227749294</v>
      </c>
      <c r="I78" s="89">
        <v>514.97999999999979</v>
      </c>
      <c r="J78" s="126">
        <v>84.025000000000006</v>
      </c>
    </row>
    <row r="79" spans="1:10" x14ac:dyDescent="0.3">
      <c r="A79" s="88" t="s">
        <v>481</v>
      </c>
      <c r="B79" s="24">
        <v>39159</v>
      </c>
      <c r="C79" s="32">
        <v>3.3210212545360291</v>
      </c>
      <c r="D79">
        <v>9.9</v>
      </c>
      <c r="E79">
        <v>0</v>
      </c>
      <c r="F79" s="126">
        <v>4.4450000000000003</v>
      </c>
      <c r="G79" s="126"/>
      <c r="H79" s="126">
        <f t="shared" si="1"/>
        <v>0.61099999999999999</v>
      </c>
      <c r="I79" s="89">
        <v>560.70000000000005</v>
      </c>
      <c r="J79" s="126">
        <v>79.932291666666671</v>
      </c>
    </row>
    <row r="80" spans="1:10" x14ac:dyDescent="0.3">
      <c r="A80" s="88" t="s">
        <v>481</v>
      </c>
      <c r="B80" s="24">
        <v>39160</v>
      </c>
      <c r="C80" s="32">
        <v>12.114077530096194</v>
      </c>
      <c r="D80">
        <v>6.6</v>
      </c>
      <c r="E80">
        <v>0</v>
      </c>
      <c r="F80" s="126">
        <v>0.01</v>
      </c>
      <c r="G80" s="126"/>
      <c r="H80" s="126">
        <f t="shared" si="1"/>
        <v>0.61099999999999999</v>
      </c>
      <c r="I80" s="89">
        <v>303.92999999999995</v>
      </c>
      <c r="J80" s="126">
        <v>75.657291666666666</v>
      </c>
    </row>
    <row r="81" spans="1:10" x14ac:dyDescent="0.3">
      <c r="A81" s="88" t="s">
        <v>481</v>
      </c>
      <c r="B81" s="24">
        <v>39161</v>
      </c>
      <c r="C81" s="32">
        <v>12.852982259086458</v>
      </c>
      <c r="D81">
        <v>8.4</v>
      </c>
      <c r="E81">
        <v>0</v>
      </c>
      <c r="F81" s="126">
        <v>0.05</v>
      </c>
      <c r="G81" s="126"/>
      <c r="H81" s="126">
        <f t="shared" si="1"/>
        <v>0.61099999999999999</v>
      </c>
      <c r="I81" s="89">
        <v>287.45999999999998</v>
      </c>
      <c r="J81" s="126">
        <v>82.03125</v>
      </c>
    </row>
    <row r="82" spans="1:10" x14ac:dyDescent="0.3">
      <c r="A82" s="88" t="s">
        <v>481</v>
      </c>
      <c r="B82" s="24">
        <v>39162</v>
      </c>
      <c r="C82" s="32">
        <v>3.7278238580726919</v>
      </c>
      <c r="D82">
        <v>4.7</v>
      </c>
      <c r="E82">
        <v>0</v>
      </c>
      <c r="F82" s="126">
        <v>3.11</v>
      </c>
      <c r="G82" s="126"/>
      <c r="H82" s="126">
        <f t="shared" si="1"/>
        <v>0.61099999999999999</v>
      </c>
      <c r="I82" s="89">
        <v>381.78000000000003</v>
      </c>
      <c r="J82" s="126">
        <v>87.224999999999994</v>
      </c>
    </row>
    <row r="83" spans="1:10" x14ac:dyDescent="0.3">
      <c r="A83" s="88" t="s">
        <v>481</v>
      </c>
      <c r="B83" s="24">
        <v>39163</v>
      </c>
      <c r="C83" s="32">
        <v>1.411209031737803</v>
      </c>
      <c r="D83">
        <v>4.5999999999999996</v>
      </c>
      <c r="E83">
        <v>0.1</v>
      </c>
      <c r="F83" s="126">
        <v>26.98</v>
      </c>
      <c r="G83" s="126"/>
      <c r="H83" s="126">
        <f t="shared" si="1"/>
        <v>0.61546101269605991</v>
      </c>
      <c r="I83" s="89">
        <v>352.35</v>
      </c>
      <c r="J83" s="126">
        <v>96.993750000000006</v>
      </c>
    </row>
    <row r="84" spans="1:10" x14ac:dyDescent="0.3">
      <c r="A84" s="88" t="s">
        <v>481</v>
      </c>
      <c r="B84" s="24">
        <v>39164</v>
      </c>
      <c r="C84" s="32">
        <v>11.806862932343819</v>
      </c>
      <c r="D84">
        <v>9.9</v>
      </c>
      <c r="E84">
        <v>0</v>
      </c>
      <c r="F84" s="126">
        <v>0.97499999999999998</v>
      </c>
      <c r="G84" s="126"/>
      <c r="H84" s="126">
        <f t="shared" si="1"/>
        <v>0.61099999999999999</v>
      </c>
      <c r="I84" s="89">
        <v>532.58778947368432</v>
      </c>
      <c r="J84" s="126">
        <v>80.534736842105247</v>
      </c>
    </row>
    <row r="85" spans="1:10" x14ac:dyDescent="0.3">
      <c r="A85" s="88" t="s">
        <v>481</v>
      </c>
      <c r="B85" s="24">
        <v>39165</v>
      </c>
      <c r="C85" s="32">
        <v>12.150077760497668</v>
      </c>
      <c r="D85">
        <v>9.8000000000000007</v>
      </c>
      <c r="E85">
        <v>0.1</v>
      </c>
      <c r="F85" s="126">
        <v>1.675</v>
      </c>
      <c r="G85" s="126"/>
      <c r="H85" s="126">
        <f t="shared" si="1"/>
        <v>0.61546101269605991</v>
      </c>
      <c r="I85" s="89">
        <v>467.28000000000014</v>
      </c>
      <c r="J85" s="126">
        <v>72.3072916666667</v>
      </c>
    </row>
    <row r="86" spans="1:10" x14ac:dyDescent="0.3">
      <c r="A86" s="88" t="s">
        <v>481</v>
      </c>
      <c r="B86" s="24">
        <v>39166</v>
      </c>
      <c r="C86" s="32">
        <v>16.438605207073326</v>
      </c>
      <c r="D86">
        <v>9.9</v>
      </c>
      <c r="E86">
        <v>0</v>
      </c>
      <c r="F86" s="126">
        <v>0</v>
      </c>
      <c r="G86" s="126"/>
      <c r="H86" s="126">
        <f t="shared" si="1"/>
        <v>0.61099999999999999</v>
      </c>
      <c r="I86" s="89">
        <v>452.97</v>
      </c>
      <c r="J86" s="126">
        <v>61.515625</v>
      </c>
    </row>
    <row r="87" spans="1:10" x14ac:dyDescent="0.3">
      <c r="A87" s="88" t="s">
        <v>481</v>
      </c>
      <c r="B87" s="24">
        <v>39167</v>
      </c>
      <c r="C87" s="32">
        <v>16.850807845170209</v>
      </c>
      <c r="D87">
        <v>9.8000000000000007</v>
      </c>
      <c r="E87">
        <v>0</v>
      </c>
      <c r="F87" s="126">
        <v>0</v>
      </c>
      <c r="G87" s="126"/>
      <c r="H87" s="126">
        <f t="shared" si="1"/>
        <v>0.61099999999999999</v>
      </c>
      <c r="I87" s="89">
        <v>418.95000000000016</v>
      </c>
      <c r="J87" s="126">
        <v>62.040624999999999</v>
      </c>
    </row>
    <row r="88" spans="1:10" x14ac:dyDescent="0.3">
      <c r="A88" s="88" t="s">
        <v>481</v>
      </c>
      <c r="B88" s="24">
        <v>39168</v>
      </c>
      <c r="C88" s="32">
        <v>16.807607568688439</v>
      </c>
      <c r="D88">
        <v>9.9</v>
      </c>
      <c r="E88">
        <v>0.1</v>
      </c>
      <c r="F88" s="126">
        <v>0</v>
      </c>
      <c r="G88" s="126"/>
      <c r="H88" s="126">
        <f t="shared" si="1"/>
        <v>0.61546101269605991</v>
      </c>
      <c r="I88" s="89">
        <v>330.93000000000006</v>
      </c>
      <c r="J88" s="126">
        <v>64.620833333333337</v>
      </c>
    </row>
    <row r="89" spans="1:10" x14ac:dyDescent="0.3">
      <c r="A89" s="88" t="s">
        <v>481</v>
      </c>
      <c r="B89" s="24">
        <v>39169</v>
      </c>
      <c r="C89" s="32">
        <v>15.634000057600367</v>
      </c>
      <c r="D89">
        <v>9.6999999999999993</v>
      </c>
      <c r="E89">
        <v>0</v>
      </c>
      <c r="F89" s="126">
        <v>0</v>
      </c>
      <c r="G89" s="126"/>
      <c r="H89" s="126">
        <f t="shared" si="1"/>
        <v>0.61099999999999999</v>
      </c>
      <c r="I89" s="89">
        <v>247.77</v>
      </c>
      <c r="J89" s="126">
        <v>69.394791666666649</v>
      </c>
    </row>
    <row r="90" spans="1:10" x14ac:dyDescent="0.3">
      <c r="A90" s="88" t="s">
        <v>481</v>
      </c>
      <c r="B90" s="24">
        <v>39170</v>
      </c>
      <c r="C90" s="32">
        <v>15.925601923852312</v>
      </c>
      <c r="D90">
        <v>9.8000000000000007</v>
      </c>
      <c r="E90">
        <v>0.1</v>
      </c>
      <c r="F90" s="126">
        <v>0</v>
      </c>
      <c r="G90" s="126"/>
      <c r="H90" s="126">
        <f t="shared" si="1"/>
        <v>0.61546101269605991</v>
      </c>
      <c r="I90" s="89">
        <v>273.69</v>
      </c>
      <c r="J90" s="126">
        <v>70.645833333333329</v>
      </c>
    </row>
    <row r="91" spans="1:10" x14ac:dyDescent="0.3">
      <c r="A91" s="88" t="s">
        <v>481</v>
      </c>
      <c r="B91" s="24">
        <v>39171</v>
      </c>
      <c r="C91" s="32">
        <v>15.159697022060943</v>
      </c>
      <c r="D91">
        <v>9.9</v>
      </c>
      <c r="E91">
        <v>0.1</v>
      </c>
      <c r="F91" s="126">
        <v>0</v>
      </c>
      <c r="G91" s="126"/>
      <c r="H91" s="126">
        <f t="shared" si="1"/>
        <v>0.61546101269605991</v>
      </c>
      <c r="I91" s="89">
        <v>233.82</v>
      </c>
      <c r="J91" s="126">
        <v>79.523958333333326</v>
      </c>
    </row>
    <row r="92" spans="1:10" x14ac:dyDescent="0.3">
      <c r="A92" s="88" t="s">
        <v>481</v>
      </c>
      <c r="B92" s="24">
        <v>39172</v>
      </c>
      <c r="C92" s="32">
        <v>15.174997119981567</v>
      </c>
      <c r="D92">
        <v>9.9</v>
      </c>
      <c r="E92">
        <v>0.4</v>
      </c>
      <c r="F92" s="126">
        <v>0</v>
      </c>
      <c r="G92" s="126"/>
      <c r="H92" s="126">
        <f t="shared" si="1"/>
        <v>0.62901732612537431</v>
      </c>
      <c r="I92" s="89">
        <v>330.93000000000012</v>
      </c>
      <c r="J92" s="126">
        <v>74.710416666666674</v>
      </c>
    </row>
    <row r="93" spans="1:10" x14ac:dyDescent="0.3">
      <c r="A93" s="88" t="s">
        <v>481</v>
      </c>
      <c r="B93" s="24">
        <v>39173</v>
      </c>
      <c r="C93" s="32">
        <v>17.563612407119408</v>
      </c>
      <c r="D93">
        <v>16.899999999999999</v>
      </c>
      <c r="E93">
        <v>3.5</v>
      </c>
      <c r="F93" s="126">
        <v>0</v>
      </c>
      <c r="G93" s="126"/>
      <c r="H93" s="126">
        <f t="shared" si="1"/>
        <v>0.78533815916549388</v>
      </c>
      <c r="I93" s="89">
        <v>359.7299999999999</v>
      </c>
      <c r="J93" s="126">
        <v>65.830208333333346</v>
      </c>
    </row>
    <row r="94" spans="1:10" x14ac:dyDescent="0.3">
      <c r="A94" s="88" t="s">
        <v>481</v>
      </c>
      <c r="B94" s="24">
        <v>39174</v>
      </c>
      <c r="C94" s="32">
        <v>16.674406716202984</v>
      </c>
      <c r="D94">
        <v>17.2</v>
      </c>
      <c r="E94">
        <v>2.6</v>
      </c>
      <c r="F94" s="126">
        <v>0</v>
      </c>
      <c r="G94" s="126"/>
      <c r="H94" s="126">
        <f t="shared" si="1"/>
        <v>0.73676325541308207</v>
      </c>
      <c r="I94" s="89">
        <v>151.47</v>
      </c>
      <c r="J94" s="126">
        <v>70.166666666666671</v>
      </c>
    </row>
    <row r="95" spans="1:10" x14ac:dyDescent="0.3">
      <c r="A95" s="88" t="s">
        <v>481</v>
      </c>
      <c r="B95" s="24">
        <v>39175</v>
      </c>
      <c r="C95" s="32">
        <v>4.7691305224353435</v>
      </c>
      <c r="D95">
        <v>7.5</v>
      </c>
      <c r="E95">
        <v>2.2999999999999998</v>
      </c>
      <c r="F95" s="126">
        <v>2.79</v>
      </c>
      <c r="G95" s="126"/>
      <c r="H95" s="126">
        <f t="shared" si="1"/>
        <v>0.72117182708011951</v>
      </c>
      <c r="I95" s="89">
        <v>301.59000000000003</v>
      </c>
      <c r="J95" s="126">
        <v>88.058333333333351</v>
      </c>
    </row>
    <row r="96" spans="1:10" x14ac:dyDescent="0.3">
      <c r="A96" s="88" t="s">
        <v>481</v>
      </c>
      <c r="B96" s="24">
        <v>39176</v>
      </c>
      <c r="C96" s="32">
        <v>20.193429237947122</v>
      </c>
      <c r="D96">
        <v>9.4</v>
      </c>
      <c r="E96">
        <v>-1</v>
      </c>
      <c r="F96" s="126">
        <v>0</v>
      </c>
      <c r="G96" s="126"/>
      <c r="H96" s="126">
        <f t="shared" si="1"/>
        <v>0.5679377955282604</v>
      </c>
      <c r="I96" s="89">
        <v>186.57</v>
      </c>
      <c r="J96" s="126">
        <v>76.847916666666691</v>
      </c>
    </row>
    <row r="97" spans="1:10" x14ac:dyDescent="0.3">
      <c r="A97" s="88" t="s">
        <v>481</v>
      </c>
      <c r="B97" s="24">
        <v>39177</v>
      </c>
      <c r="C97" s="32">
        <v>8.7714561373192783</v>
      </c>
      <c r="D97">
        <v>14.4</v>
      </c>
      <c r="E97">
        <v>1.2</v>
      </c>
      <c r="F97" s="126">
        <v>0</v>
      </c>
      <c r="G97" s="126"/>
      <c r="H97" s="126">
        <f t="shared" si="1"/>
        <v>0.66646661006207619</v>
      </c>
      <c r="I97" s="89">
        <v>370.8</v>
      </c>
      <c r="J97" s="126">
        <v>82.403125000000003</v>
      </c>
    </row>
    <row r="98" spans="1:10" x14ac:dyDescent="0.3">
      <c r="A98" s="88" t="s">
        <v>481</v>
      </c>
      <c r="B98" s="24">
        <v>39178</v>
      </c>
      <c r="C98" s="32">
        <v>7.7589496572778058</v>
      </c>
      <c r="D98">
        <v>11.3</v>
      </c>
      <c r="E98">
        <v>5.3</v>
      </c>
      <c r="F98" s="126">
        <v>0</v>
      </c>
      <c r="G98" s="126"/>
      <c r="H98" s="126">
        <f t="shared" si="1"/>
        <v>0.89103953465215091</v>
      </c>
      <c r="I98" s="89">
        <v>257.66999999999996</v>
      </c>
      <c r="J98" s="126">
        <v>85.629166666666663</v>
      </c>
    </row>
    <row r="99" spans="1:10" x14ac:dyDescent="0.3">
      <c r="A99" s="88" t="s">
        <v>481</v>
      </c>
      <c r="B99" s="24">
        <v>39179</v>
      </c>
      <c r="C99" s="32">
        <v>16.356704682909971</v>
      </c>
      <c r="D99">
        <v>12.3</v>
      </c>
      <c r="E99">
        <v>2</v>
      </c>
      <c r="F99" s="126">
        <v>5.0000000000000001E-3</v>
      </c>
      <c r="G99" s="126"/>
      <c r="H99" s="126">
        <f t="shared" si="1"/>
        <v>0.70587248896856769</v>
      </c>
      <c r="I99" s="89">
        <v>218.06999999999991</v>
      </c>
      <c r="J99" s="126">
        <v>80.28125</v>
      </c>
    </row>
    <row r="100" spans="1:10" x14ac:dyDescent="0.3">
      <c r="A100" s="88" t="s">
        <v>481</v>
      </c>
      <c r="B100" s="24">
        <v>39180</v>
      </c>
      <c r="C100" s="32">
        <v>10.515667300270721</v>
      </c>
      <c r="D100">
        <v>13.5</v>
      </c>
      <c r="E100">
        <v>5.3</v>
      </c>
      <c r="F100" s="126">
        <v>0</v>
      </c>
      <c r="G100" s="126"/>
      <c r="H100" s="126">
        <f t="shared" si="1"/>
        <v>0.89103953465215091</v>
      </c>
      <c r="I100" s="89">
        <v>312.48000000000008</v>
      </c>
      <c r="J100" s="126">
        <v>79.784374999999997</v>
      </c>
    </row>
    <row r="101" spans="1:10" x14ac:dyDescent="0.3">
      <c r="A101" s="88" t="s">
        <v>481</v>
      </c>
      <c r="B101" s="24">
        <v>39181</v>
      </c>
      <c r="C101" s="32">
        <v>10.994470364610333</v>
      </c>
      <c r="D101">
        <v>13.2</v>
      </c>
      <c r="E101">
        <v>7.9</v>
      </c>
      <c r="F101" s="126">
        <v>0</v>
      </c>
      <c r="G101" s="126"/>
      <c r="H101" s="126">
        <f t="shared" si="1"/>
        <v>1.0658332114824252</v>
      </c>
      <c r="I101" s="89">
        <v>406.2600000000001</v>
      </c>
      <c r="J101" s="126">
        <v>75.443749999999994</v>
      </c>
    </row>
    <row r="102" spans="1:10" x14ac:dyDescent="0.3">
      <c r="A102" s="88" t="s">
        <v>481</v>
      </c>
      <c r="B102" s="24">
        <v>39182</v>
      </c>
      <c r="C102" s="32">
        <v>8.4123538390645702</v>
      </c>
      <c r="D102">
        <v>15.1</v>
      </c>
      <c r="E102">
        <v>9.4</v>
      </c>
      <c r="F102" s="126">
        <v>0.03</v>
      </c>
      <c r="G102" s="126"/>
      <c r="H102" s="126">
        <f t="shared" si="1"/>
        <v>1.1798411174091483</v>
      </c>
      <c r="I102" s="89">
        <v>381.32999999999993</v>
      </c>
      <c r="J102" s="126">
        <v>79.817708333333314</v>
      </c>
    </row>
    <row r="103" spans="1:10" x14ac:dyDescent="0.3">
      <c r="A103" s="88" t="s">
        <v>481</v>
      </c>
      <c r="B103" s="24">
        <v>39183</v>
      </c>
      <c r="C103" s="32">
        <v>10.561567594032601</v>
      </c>
      <c r="D103">
        <v>14.7</v>
      </c>
      <c r="E103">
        <v>7.2</v>
      </c>
      <c r="F103" s="126">
        <v>0</v>
      </c>
      <c r="G103" s="126"/>
      <c r="H103" s="126">
        <f t="shared" si="1"/>
        <v>1.0160332727272676</v>
      </c>
      <c r="I103" s="89">
        <v>219.96000000000009</v>
      </c>
      <c r="J103" s="126">
        <v>79.392708333333275</v>
      </c>
    </row>
    <row r="104" spans="1:10" x14ac:dyDescent="0.3">
      <c r="A104" s="88" t="s">
        <v>481</v>
      </c>
      <c r="B104" s="24">
        <v>39184</v>
      </c>
      <c r="C104" s="32">
        <v>20.414830654916191</v>
      </c>
      <c r="D104">
        <v>18.7</v>
      </c>
      <c r="E104">
        <v>2.7</v>
      </c>
      <c r="F104" s="126">
        <v>0</v>
      </c>
      <c r="G104" s="126"/>
      <c r="H104" s="126">
        <f t="shared" si="1"/>
        <v>0.74202613073523482</v>
      </c>
      <c r="I104" s="89">
        <v>186.93000000000009</v>
      </c>
      <c r="J104" s="126">
        <v>80.889583333333363</v>
      </c>
    </row>
    <row r="105" spans="1:10" x14ac:dyDescent="0.3">
      <c r="A105" s="88" t="s">
        <v>481</v>
      </c>
      <c r="B105" s="24">
        <v>39185</v>
      </c>
      <c r="C105" s="32">
        <v>20.020628132020047</v>
      </c>
      <c r="D105">
        <v>22.2</v>
      </c>
      <c r="E105">
        <v>6.9</v>
      </c>
      <c r="F105" s="126">
        <v>0</v>
      </c>
      <c r="G105" s="126"/>
      <c r="H105" s="126">
        <f t="shared" si="1"/>
        <v>0.99532561227749294</v>
      </c>
      <c r="I105" s="89">
        <v>313.64999999999998</v>
      </c>
      <c r="J105" s="126">
        <v>65.301041666666649</v>
      </c>
    </row>
    <row r="106" spans="1:10" x14ac:dyDescent="0.3">
      <c r="A106" s="88" t="s">
        <v>481</v>
      </c>
      <c r="B106" s="24">
        <v>39186</v>
      </c>
      <c r="C106" s="32">
        <v>21.564138010483269</v>
      </c>
      <c r="D106">
        <v>23.6</v>
      </c>
      <c r="E106">
        <v>7.7</v>
      </c>
      <c r="F106" s="126">
        <v>0</v>
      </c>
      <c r="G106" s="126"/>
      <c r="H106" s="126">
        <f t="shared" si="1"/>
        <v>1.0513900110721115</v>
      </c>
      <c r="I106" s="89">
        <v>260.01</v>
      </c>
      <c r="J106" s="126">
        <v>51.85</v>
      </c>
    </row>
    <row r="107" spans="1:10" x14ac:dyDescent="0.3">
      <c r="A107" s="88" t="s">
        <v>481</v>
      </c>
      <c r="B107" s="24">
        <v>39187</v>
      </c>
      <c r="C107" s="32">
        <v>22.130241633546458</v>
      </c>
      <c r="D107">
        <v>23.3</v>
      </c>
      <c r="E107">
        <v>6.3</v>
      </c>
      <c r="F107" s="126">
        <v>0</v>
      </c>
      <c r="G107" s="126"/>
      <c r="H107" s="126">
        <f t="shared" si="1"/>
        <v>0.95502249025252561</v>
      </c>
      <c r="I107" s="89">
        <v>236.88000000000005</v>
      </c>
      <c r="J107" s="126">
        <v>48.173958333333324</v>
      </c>
    </row>
    <row r="108" spans="1:10" x14ac:dyDescent="0.3">
      <c r="A108" s="88" t="s">
        <v>481</v>
      </c>
      <c r="B108" s="24">
        <v>39188</v>
      </c>
      <c r="C108" s="32">
        <v>20.579531709002939</v>
      </c>
      <c r="D108">
        <v>26</v>
      </c>
      <c r="E108">
        <v>10</v>
      </c>
      <c r="F108" s="126">
        <v>5.0000000000000001E-3</v>
      </c>
      <c r="G108" s="126"/>
      <c r="H108" s="126">
        <f t="shared" si="1"/>
        <v>1.2283647027117881</v>
      </c>
      <c r="I108" s="89">
        <v>158.58000000000001</v>
      </c>
      <c r="J108" s="126">
        <v>46.376041666666652</v>
      </c>
    </row>
    <row r="109" spans="1:10" x14ac:dyDescent="0.3">
      <c r="A109" s="88" t="s">
        <v>481</v>
      </c>
      <c r="B109" s="24">
        <v>39189</v>
      </c>
      <c r="C109" s="32">
        <v>11.771175335522148</v>
      </c>
      <c r="D109">
        <v>16.399999999999999</v>
      </c>
      <c r="E109">
        <v>6.1</v>
      </c>
      <c r="F109" s="126">
        <v>0</v>
      </c>
      <c r="G109" s="126"/>
      <c r="H109" s="126">
        <f t="shared" si="1"/>
        <v>0.94191143925241705</v>
      </c>
      <c r="I109" s="89">
        <v>277.46999999999997</v>
      </c>
      <c r="J109" s="126">
        <v>67.667708333333351</v>
      </c>
    </row>
    <row r="110" spans="1:10" x14ac:dyDescent="0.3">
      <c r="A110" s="88" t="s">
        <v>481</v>
      </c>
      <c r="B110" s="24">
        <v>39190</v>
      </c>
      <c r="C110" s="32">
        <v>15.110196705258913</v>
      </c>
      <c r="D110">
        <v>12.7</v>
      </c>
      <c r="E110">
        <v>4.7</v>
      </c>
      <c r="F110" s="126">
        <v>0</v>
      </c>
      <c r="G110" s="126"/>
      <c r="H110" s="126">
        <f t="shared" si="1"/>
        <v>0.85449106840682587</v>
      </c>
      <c r="I110" s="89">
        <v>359.81999999999994</v>
      </c>
      <c r="J110" s="126">
        <v>62.661458333333364</v>
      </c>
    </row>
    <row r="111" spans="1:10" x14ac:dyDescent="0.3">
      <c r="A111" s="88" t="s">
        <v>481</v>
      </c>
      <c r="B111" s="24">
        <v>39191</v>
      </c>
      <c r="C111" s="32">
        <v>21.306736363112723</v>
      </c>
      <c r="D111">
        <v>16.7</v>
      </c>
      <c r="E111">
        <v>1.8</v>
      </c>
      <c r="F111" s="126">
        <v>0</v>
      </c>
      <c r="G111" s="126"/>
      <c r="H111" s="126">
        <f t="shared" si="1"/>
        <v>0.69583287280742301</v>
      </c>
      <c r="I111" s="89">
        <v>431.37000000000012</v>
      </c>
      <c r="J111" s="126">
        <v>60.358333333333348</v>
      </c>
    </row>
    <row r="112" spans="1:10" x14ac:dyDescent="0.3">
      <c r="A112" s="88" t="s">
        <v>481</v>
      </c>
      <c r="B112" s="24">
        <v>39192</v>
      </c>
      <c r="C112" s="32">
        <v>10.423866712746962</v>
      </c>
      <c r="D112">
        <v>9.3000000000000007</v>
      </c>
      <c r="E112">
        <v>3.3</v>
      </c>
      <c r="F112" s="126">
        <v>0</v>
      </c>
      <c r="G112" s="126"/>
      <c r="H112" s="126">
        <f t="shared" si="1"/>
        <v>0.77430610767805441</v>
      </c>
      <c r="I112" s="89">
        <v>366.12</v>
      </c>
      <c r="J112" s="126">
        <v>59.535416666666684</v>
      </c>
    </row>
    <row r="113" spans="1:10" x14ac:dyDescent="0.3">
      <c r="A113" s="88" t="s">
        <v>481</v>
      </c>
      <c r="B113" s="24">
        <v>39193</v>
      </c>
      <c r="C113" s="32">
        <v>21.86743995161569</v>
      </c>
      <c r="D113">
        <v>11.4</v>
      </c>
      <c r="E113">
        <v>-0.8</v>
      </c>
      <c r="F113" s="126">
        <v>0</v>
      </c>
      <c r="G113" s="126"/>
      <c r="H113" s="126">
        <f t="shared" si="1"/>
        <v>0.57632881345991693</v>
      </c>
      <c r="I113" s="89">
        <v>110.69999999999999</v>
      </c>
      <c r="J113" s="126">
        <v>64.023958333333326</v>
      </c>
    </row>
    <row r="114" spans="1:10" x14ac:dyDescent="0.3">
      <c r="A114" s="88" t="s">
        <v>481</v>
      </c>
      <c r="B114" s="24">
        <v>39194</v>
      </c>
      <c r="C114" s="32">
        <v>22.923146708138933</v>
      </c>
      <c r="D114">
        <v>19.100000000000001</v>
      </c>
      <c r="E114">
        <v>2.2000000000000002</v>
      </c>
      <c r="F114" s="126">
        <v>0</v>
      </c>
      <c r="G114" s="126"/>
      <c r="H114" s="126">
        <f t="shared" si="1"/>
        <v>0.71603982725344328</v>
      </c>
      <c r="I114" s="89">
        <v>208.52999999999992</v>
      </c>
      <c r="J114" s="126">
        <v>48.592708333333341</v>
      </c>
    </row>
    <row r="115" spans="1:10" x14ac:dyDescent="0.3">
      <c r="A115" s="88" t="s">
        <v>481</v>
      </c>
      <c r="B115" s="24">
        <v>39195</v>
      </c>
      <c r="C115" s="32">
        <v>20.258229652669776</v>
      </c>
      <c r="D115">
        <v>22</v>
      </c>
      <c r="E115">
        <v>6.1</v>
      </c>
      <c r="F115" s="126">
        <v>0</v>
      </c>
      <c r="G115" s="126"/>
      <c r="H115" s="126">
        <f t="shared" si="1"/>
        <v>0.94191143925241705</v>
      </c>
      <c r="I115" s="89">
        <v>204.75000000000009</v>
      </c>
      <c r="J115" s="126">
        <v>58.70104166666669</v>
      </c>
    </row>
    <row r="116" spans="1:10" x14ac:dyDescent="0.3">
      <c r="A116" s="88" t="s">
        <v>481</v>
      </c>
      <c r="B116" s="24">
        <v>39196</v>
      </c>
      <c r="C116" s="32">
        <v>8.8280477082965412</v>
      </c>
      <c r="D116">
        <v>18.399999999999999</v>
      </c>
      <c r="E116">
        <v>12.4</v>
      </c>
      <c r="F116" s="126">
        <v>4.08</v>
      </c>
      <c r="G116" s="126"/>
      <c r="H116" s="126">
        <f t="shared" si="1"/>
        <v>1.4404604588486194</v>
      </c>
      <c r="I116" s="89">
        <v>189.60527472527474</v>
      </c>
      <c r="J116" s="126">
        <v>86.950549450549445</v>
      </c>
    </row>
    <row r="117" spans="1:10" x14ac:dyDescent="0.3">
      <c r="A117" s="88" t="s">
        <v>481</v>
      </c>
      <c r="B117" s="24">
        <v>39197</v>
      </c>
      <c r="C117" s="32">
        <v>20.689332411727435</v>
      </c>
      <c r="D117">
        <v>23.4</v>
      </c>
      <c r="E117">
        <v>11.1</v>
      </c>
      <c r="F117" s="126">
        <v>0</v>
      </c>
      <c r="G117" s="126"/>
      <c r="H117" s="126">
        <f t="shared" si="1"/>
        <v>1.3218981992116727</v>
      </c>
      <c r="I117" s="89">
        <v>188.90999999999997</v>
      </c>
      <c r="J117" s="126">
        <v>73.651041666666657</v>
      </c>
    </row>
    <row r="118" spans="1:10" x14ac:dyDescent="0.3">
      <c r="A118" s="88" t="s">
        <v>481</v>
      </c>
      <c r="B118" s="24">
        <v>39198</v>
      </c>
      <c r="C118" s="32">
        <v>23.631451241287944</v>
      </c>
      <c r="D118">
        <v>23.7</v>
      </c>
      <c r="E118">
        <v>12</v>
      </c>
      <c r="F118" s="126">
        <v>0</v>
      </c>
      <c r="G118" s="126"/>
      <c r="H118" s="126">
        <f t="shared" si="1"/>
        <v>1.4030231277532583</v>
      </c>
      <c r="I118" s="89">
        <v>200.78999999999996</v>
      </c>
      <c r="J118" s="126">
        <v>58.014583333333341</v>
      </c>
    </row>
    <row r="119" spans="1:10" x14ac:dyDescent="0.3">
      <c r="A119" s="88" t="s">
        <v>481</v>
      </c>
      <c r="B119" s="24">
        <v>39199</v>
      </c>
      <c r="C119" s="32">
        <v>23.74485196705259</v>
      </c>
      <c r="D119">
        <v>25.2</v>
      </c>
      <c r="E119">
        <v>7.4</v>
      </c>
      <c r="F119" s="126">
        <v>0</v>
      </c>
      <c r="G119" s="126"/>
      <c r="H119" s="126">
        <f t="shared" si="1"/>
        <v>1.0300482820505565</v>
      </c>
      <c r="I119" s="89">
        <v>166.32000000000002</v>
      </c>
      <c r="J119" s="126">
        <v>62.354166666666664</v>
      </c>
    </row>
    <row r="120" spans="1:10" x14ac:dyDescent="0.3">
      <c r="A120" s="88" t="s">
        <v>481</v>
      </c>
      <c r="B120" s="24">
        <v>39200</v>
      </c>
      <c r="C120" s="32">
        <v>23.251648810552386</v>
      </c>
      <c r="D120">
        <v>25.1</v>
      </c>
      <c r="E120">
        <v>9.1</v>
      </c>
      <c r="F120" s="126">
        <v>0</v>
      </c>
      <c r="G120" s="126"/>
      <c r="H120" s="126">
        <f t="shared" si="1"/>
        <v>1.156217822409108</v>
      </c>
      <c r="I120" s="89">
        <v>213.65999999999997</v>
      </c>
      <c r="J120" s="126">
        <v>64.504166666666677</v>
      </c>
    </row>
    <row r="121" spans="1:10" x14ac:dyDescent="0.3">
      <c r="A121" s="88" t="s">
        <v>481</v>
      </c>
      <c r="B121" s="24">
        <v>39201</v>
      </c>
      <c r="C121" s="32">
        <v>25.624063994009564</v>
      </c>
      <c r="D121">
        <v>15.4</v>
      </c>
      <c r="E121">
        <v>6.4</v>
      </c>
      <c r="F121" s="126">
        <v>0</v>
      </c>
      <c r="G121" s="126"/>
      <c r="H121" s="126">
        <f t="shared" si="1"/>
        <v>0.96163811340513428</v>
      </c>
      <c r="I121" s="89">
        <v>405.62999999999994</v>
      </c>
      <c r="J121" s="126">
        <v>59.017708333333331</v>
      </c>
    </row>
    <row r="122" spans="1:10" x14ac:dyDescent="0.3">
      <c r="A122" s="88" t="s">
        <v>481</v>
      </c>
      <c r="B122" s="24">
        <v>39202</v>
      </c>
      <c r="C122" s="32">
        <v>25.42426271528138</v>
      </c>
      <c r="D122">
        <v>17.5</v>
      </c>
      <c r="E122">
        <v>0.4</v>
      </c>
      <c r="F122" s="126">
        <v>0</v>
      </c>
      <c r="G122" s="126"/>
      <c r="H122" s="126">
        <f t="shared" si="1"/>
        <v>0.62901732612537431</v>
      </c>
      <c r="I122" s="89">
        <v>277.29000000000002</v>
      </c>
      <c r="J122" s="126">
        <v>61.602083333333347</v>
      </c>
    </row>
    <row r="123" spans="1:10" x14ac:dyDescent="0.3">
      <c r="A123" s="88" t="s">
        <v>481</v>
      </c>
      <c r="B123" s="24">
        <v>39203</v>
      </c>
      <c r="C123" s="32">
        <v>25.484563101203847</v>
      </c>
      <c r="D123">
        <v>16</v>
      </c>
      <c r="E123">
        <v>2.8</v>
      </c>
      <c r="F123" s="126">
        <v>0</v>
      </c>
      <c r="G123" s="126"/>
      <c r="H123" s="126">
        <f t="shared" si="1"/>
        <v>0.74732216909166049</v>
      </c>
      <c r="I123" s="89">
        <v>220.68</v>
      </c>
      <c r="J123" s="126">
        <v>58.877083333333339</v>
      </c>
    </row>
    <row r="124" spans="1:10" x14ac:dyDescent="0.3">
      <c r="A124" s="88" t="s">
        <v>481</v>
      </c>
      <c r="B124" s="24">
        <v>39204</v>
      </c>
      <c r="C124" s="32">
        <v>25.380162433039573</v>
      </c>
      <c r="D124">
        <v>19</v>
      </c>
      <c r="E124">
        <v>2.9</v>
      </c>
      <c r="F124" s="126">
        <v>0</v>
      </c>
      <c r="G124" s="126"/>
      <c r="H124" s="126">
        <f t="shared" si="1"/>
        <v>0.75265154972421666</v>
      </c>
      <c r="I124" s="89">
        <v>104.67</v>
      </c>
      <c r="J124" s="126">
        <v>61.206249999999997</v>
      </c>
    </row>
    <row r="125" spans="1:10" x14ac:dyDescent="0.3">
      <c r="A125" s="88" t="s">
        <v>481</v>
      </c>
      <c r="B125" s="24">
        <v>39205</v>
      </c>
      <c r="C125" s="32">
        <v>23.536050630724038</v>
      </c>
      <c r="D125">
        <v>20.399999999999999</v>
      </c>
      <c r="E125">
        <v>4.0999999999999996</v>
      </c>
      <c r="F125" s="126">
        <v>0</v>
      </c>
      <c r="G125" s="126"/>
      <c r="H125" s="126">
        <f t="shared" si="1"/>
        <v>0.81927114982761395</v>
      </c>
      <c r="I125" s="89">
        <v>196.19999999999993</v>
      </c>
      <c r="J125" s="126">
        <v>66.977083333333354</v>
      </c>
    </row>
    <row r="126" spans="1:10" x14ac:dyDescent="0.3">
      <c r="A126" s="88" t="s">
        <v>481</v>
      </c>
      <c r="B126" s="24">
        <v>39206</v>
      </c>
      <c r="C126" s="32">
        <v>25.65106416681067</v>
      </c>
      <c r="D126">
        <v>21.3</v>
      </c>
      <c r="E126">
        <v>5.7</v>
      </c>
      <c r="F126" s="126">
        <v>0</v>
      </c>
      <c r="G126" s="126"/>
      <c r="H126" s="126">
        <f t="shared" si="1"/>
        <v>0.91616430843021424</v>
      </c>
      <c r="I126" s="89">
        <v>250.64999999999998</v>
      </c>
      <c r="J126" s="126">
        <v>54.759374999999999</v>
      </c>
    </row>
    <row r="127" spans="1:10" x14ac:dyDescent="0.3">
      <c r="A127" s="88" t="s">
        <v>481</v>
      </c>
      <c r="B127" s="24">
        <v>39207</v>
      </c>
      <c r="C127" s="32">
        <v>25.804065146016935</v>
      </c>
      <c r="D127">
        <v>22.7</v>
      </c>
      <c r="E127">
        <v>5.8</v>
      </c>
      <c r="F127" s="126">
        <v>0</v>
      </c>
      <c r="G127" s="126"/>
      <c r="H127" s="126">
        <f t="shared" si="1"/>
        <v>0.92254223518646628</v>
      </c>
      <c r="I127" s="89">
        <v>237.77999999999997</v>
      </c>
      <c r="J127" s="126">
        <v>55.009374999999999</v>
      </c>
    </row>
    <row r="128" spans="1:10" x14ac:dyDescent="0.3">
      <c r="A128" s="88" t="s">
        <v>481</v>
      </c>
      <c r="B128" s="24">
        <v>39208</v>
      </c>
      <c r="C128" s="32">
        <v>25.270361730315077</v>
      </c>
      <c r="D128">
        <v>22.2</v>
      </c>
      <c r="E128">
        <v>6.9</v>
      </c>
      <c r="F128" s="126">
        <v>0</v>
      </c>
      <c r="G128" s="126"/>
      <c r="H128" s="126">
        <f t="shared" si="1"/>
        <v>0.99532561227749294</v>
      </c>
      <c r="I128" s="89">
        <v>177.57</v>
      </c>
      <c r="J128" s="126">
        <v>64.951041666666654</v>
      </c>
    </row>
    <row r="129" spans="1:10" x14ac:dyDescent="0.3">
      <c r="A129" s="88" t="s">
        <v>481</v>
      </c>
      <c r="B129" s="24">
        <v>39209</v>
      </c>
      <c r="C129" s="32">
        <v>3.904224987039917</v>
      </c>
      <c r="D129">
        <v>15.2</v>
      </c>
      <c r="E129">
        <v>9.6999999999999993</v>
      </c>
      <c r="F129" s="126">
        <v>28.635000000000002</v>
      </c>
      <c r="G129" s="126"/>
      <c r="H129" s="126">
        <f t="shared" si="1"/>
        <v>1.2038879226915637</v>
      </c>
      <c r="I129" s="89">
        <v>203.58000000000004</v>
      </c>
      <c r="J129" s="126">
        <v>90.26354166666664</v>
      </c>
    </row>
    <row r="130" spans="1:10" x14ac:dyDescent="0.3">
      <c r="A130" s="88" t="s">
        <v>481</v>
      </c>
      <c r="B130" s="24">
        <v>39210</v>
      </c>
      <c r="C130" s="32">
        <v>14.780794597085421</v>
      </c>
      <c r="D130">
        <v>14.5</v>
      </c>
      <c r="E130">
        <v>9.4</v>
      </c>
      <c r="F130" s="126">
        <v>0.26500000000000001</v>
      </c>
      <c r="G130" s="126"/>
      <c r="H130" s="126">
        <f t="shared" si="1"/>
        <v>1.1798411174091483</v>
      </c>
      <c r="I130" s="89">
        <v>425.25</v>
      </c>
      <c r="J130" s="126">
        <v>84.096874999999997</v>
      </c>
    </row>
    <row r="131" spans="1:10" x14ac:dyDescent="0.3">
      <c r="A131" s="88" t="s">
        <v>481</v>
      </c>
      <c r="B131" s="24">
        <v>39211</v>
      </c>
      <c r="C131" s="32">
        <v>16.377404815390818</v>
      </c>
      <c r="D131">
        <v>16.399999999999999</v>
      </c>
      <c r="E131">
        <v>8.8000000000000007</v>
      </c>
      <c r="F131" s="126">
        <v>0</v>
      </c>
      <c r="G131" s="126"/>
      <c r="H131" s="126">
        <f t="shared" si="1"/>
        <v>1.1330116523877718</v>
      </c>
      <c r="I131" s="89">
        <v>419.85</v>
      </c>
      <c r="J131" s="126">
        <v>75.960416666666674</v>
      </c>
    </row>
    <row r="132" spans="1:10" x14ac:dyDescent="0.3">
      <c r="A132" s="88" t="s">
        <v>481</v>
      </c>
      <c r="B132" s="24">
        <v>39212</v>
      </c>
      <c r="C132" s="32">
        <v>9.3024595357410291</v>
      </c>
      <c r="D132">
        <v>16.600000000000001</v>
      </c>
      <c r="E132">
        <v>10.5</v>
      </c>
      <c r="F132" s="126">
        <v>8.9250000000000007</v>
      </c>
      <c r="G132" s="126"/>
      <c r="H132" s="126">
        <f t="shared" ref="H132:H195" si="2">0.611*EXP((17.27*E132)/(E132+237.3))</f>
        <v>1.2701326466613394</v>
      </c>
      <c r="I132" s="89">
        <v>339.84000000000003</v>
      </c>
      <c r="J132" s="126">
        <v>88.795833333333334</v>
      </c>
    </row>
    <row r="133" spans="1:10" x14ac:dyDescent="0.3">
      <c r="A133" s="88" t="s">
        <v>481</v>
      </c>
      <c r="B133" s="24">
        <v>39213</v>
      </c>
      <c r="C133" s="32">
        <v>5.9148378549622711</v>
      </c>
      <c r="D133">
        <v>14.8</v>
      </c>
      <c r="E133">
        <v>8.8000000000000007</v>
      </c>
      <c r="F133" s="126">
        <v>10.050000000000001</v>
      </c>
      <c r="G133" s="126"/>
      <c r="H133" s="126">
        <f t="shared" si="2"/>
        <v>1.1330116523877718</v>
      </c>
      <c r="I133" s="89">
        <v>337.94999999999993</v>
      </c>
      <c r="J133" s="126">
        <v>90.262500000000003</v>
      </c>
    </row>
    <row r="134" spans="1:10" x14ac:dyDescent="0.3">
      <c r="A134" s="88" t="s">
        <v>481</v>
      </c>
      <c r="B134" s="24">
        <v>39214</v>
      </c>
      <c r="C134" s="32">
        <v>12.691881228039861</v>
      </c>
      <c r="D134">
        <v>16.5</v>
      </c>
      <c r="E134">
        <v>8</v>
      </c>
      <c r="F134" s="126">
        <v>6.9349999999999996</v>
      </c>
      <c r="G134" s="126"/>
      <c r="H134" s="126">
        <f t="shared" si="2"/>
        <v>1.0731200926872433</v>
      </c>
      <c r="I134" s="89">
        <v>303.48</v>
      </c>
      <c r="J134" s="126">
        <v>84.672916666666708</v>
      </c>
    </row>
    <row r="135" spans="1:10" x14ac:dyDescent="0.3">
      <c r="A135" s="88" t="s">
        <v>481</v>
      </c>
      <c r="B135" s="24">
        <v>39215</v>
      </c>
      <c r="C135" s="32">
        <v>17.462811761995276</v>
      </c>
      <c r="D135">
        <v>20.6</v>
      </c>
      <c r="E135">
        <v>9.1999999999999993</v>
      </c>
      <c r="F135" s="126">
        <v>4.5149999999999997</v>
      </c>
      <c r="G135" s="126"/>
      <c r="H135" s="126">
        <f t="shared" si="2"/>
        <v>1.16404559315309</v>
      </c>
      <c r="I135" s="89">
        <v>196.02</v>
      </c>
      <c r="J135" s="126">
        <v>77.819791666666688</v>
      </c>
    </row>
    <row r="136" spans="1:10" x14ac:dyDescent="0.3">
      <c r="A136" s="88" t="s">
        <v>481</v>
      </c>
      <c r="B136" s="24">
        <v>39216</v>
      </c>
      <c r="C136" s="32">
        <v>18.267416911468235</v>
      </c>
      <c r="D136">
        <v>21</v>
      </c>
      <c r="E136">
        <v>12.9</v>
      </c>
      <c r="F136" s="126">
        <v>0.60499999999999998</v>
      </c>
      <c r="G136" s="126"/>
      <c r="H136" s="126">
        <f t="shared" si="2"/>
        <v>1.4884887514247067</v>
      </c>
      <c r="I136" s="89">
        <v>226.61999999999998</v>
      </c>
      <c r="J136" s="126">
        <v>76.875</v>
      </c>
    </row>
    <row r="137" spans="1:10" x14ac:dyDescent="0.3">
      <c r="A137" s="88" t="s">
        <v>481</v>
      </c>
      <c r="B137" s="24">
        <v>39217</v>
      </c>
      <c r="C137" s="32">
        <v>15.380198433269973</v>
      </c>
      <c r="D137">
        <v>14.5</v>
      </c>
      <c r="E137">
        <v>8.1999999999999993</v>
      </c>
      <c r="F137" s="126">
        <v>5.84</v>
      </c>
      <c r="G137" s="126"/>
      <c r="H137" s="126">
        <f t="shared" si="2"/>
        <v>1.0878255375495476</v>
      </c>
      <c r="I137" s="89">
        <v>255.5100000000001</v>
      </c>
      <c r="J137" s="126">
        <v>80.577083333333363</v>
      </c>
    </row>
    <row r="138" spans="1:10" x14ac:dyDescent="0.3">
      <c r="A138" s="88" t="s">
        <v>481</v>
      </c>
      <c r="B138" s="24">
        <v>39218</v>
      </c>
      <c r="C138" s="32">
        <v>10.594867807153966</v>
      </c>
      <c r="D138">
        <v>15.5</v>
      </c>
      <c r="E138">
        <v>5.8</v>
      </c>
      <c r="F138" s="126">
        <v>3.335</v>
      </c>
      <c r="G138" s="126"/>
      <c r="H138" s="126">
        <f t="shared" si="2"/>
        <v>0.92254223518646628</v>
      </c>
      <c r="I138" s="89">
        <v>256.85999999999996</v>
      </c>
      <c r="J138" s="126">
        <v>84.455208333333346</v>
      </c>
    </row>
    <row r="139" spans="1:10" x14ac:dyDescent="0.3">
      <c r="A139" s="88" t="s">
        <v>481</v>
      </c>
      <c r="B139" s="24">
        <v>39219</v>
      </c>
      <c r="C139" s="32">
        <v>20.518331317320431</v>
      </c>
      <c r="D139">
        <v>13.4</v>
      </c>
      <c r="E139">
        <v>4.7</v>
      </c>
      <c r="F139" s="126">
        <v>0</v>
      </c>
      <c r="G139" s="126"/>
      <c r="H139" s="126">
        <f t="shared" si="2"/>
        <v>0.85449106840682587</v>
      </c>
      <c r="I139" s="89">
        <v>396.36</v>
      </c>
      <c r="J139" s="126">
        <v>76.14895833333334</v>
      </c>
    </row>
    <row r="140" spans="1:10" x14ac:dyDescent="0.3">
      <c r="A140" s="88" t="s">
        <v>481</v>
      </c>
      <c r="B140" s="24">
        <v>39220</v>
      </c>
      <c r="C140" s="32">
        <v>26.444869247163183</v>
      </c>
      <c r="D140">
        <v>19.7</v>
      </c>
      <c r="E140">
        <v>3.4</v>
      </c>
      <c r="F140" s="126">
        <v>0</v>
      </c>
      <c r="G140" s="126"/>
      <c r="H140" s="126">
        <f t="shared" si="2"/>
        <v>0.77980491618110859</v>
      </c>
      <c r="I140" s="89">
        <v>185.57999999999998</v>
      </c>
      <c r="J140" s="126">
        <v>74.334374999999994</v>
      </c>
    </row>
    <row r="141" spans="1:10" x14ac:dyDescent="0.3">
      <c r="A141" s="88" t="s">
        <v>481</v>
      </c>
      <c r="B141" s="24">
        <v>39221</v>
      </c>
      <c r="C141" s="32">
        <v>10.773968953401303</v>
      </c>
      <c r="D141">
        <v>20.5</v>
      </c>
      <c r="E141">
        <v>11.5</v>
      </c>
      <c r="F141" s="126">
        <v>0</v>
      </c>
      <c r="G141" s="126"/>
      <c r="H141" s="126">
        <f t="shared" si="2"/>
        <v>1.3574301110209714</v>
      </c>
      <c r="I141" s="89">
        <v>184.76999999999998</v>
      </c>
      <c r="J141" s="126">
        <v>80.365624999999994</v>
      </c>
    </row>
    <row r="142" spans="1:10" x14ac:dyDescent="0.3">
      <c r="A142" s="88" t="s">
        <v>481</v>
      </c>
      <c r="B142" s="24">
        <v>39222</v>
      </c>
      <c r="C142" s="32">
        <v>19.2187229998272</v>
      </c>
      <c r="D142">
        <v>23.2</v>
      </c>
      <c r="E142">
        <v>13.1</v>
      </c>
      <c r="F142" s="126">
        <v>5.0000000000000001E-3</v>
      </c>
      <c r="G142" s="126"/>
      <c r="H142" s="126">
        <f t="shared" si="2"/>
        <v>1.5080901913058991</v>
      </c>
      <c r="I142" s="89">
        <v>232.20000000000002</v>
      </c>
      <c r="J142" s="126">
        <v>79.803124999999994</v>
      </c>
    </row>
    <row r="143" spans="1:10" x14ac:dyDescent="0.3">
      <c r="A143" s="88" t="s">
        <v>481</v>
      </c>
      <c r="B143" s="24">
        <v>39223</v>
      </c>
      <c r="C143" s="32">
        <v>26.336707502296434</v>
      </c>
      <c r="D143">
        <v>28.9</v>
      </c>
      <c r="E143">
        <v>13.8</v>
      </c>
      <c r="F143" s="126">
        <v>4.4999999999999998E-2</v>
      </c>
      <c r="G143" s="126"/>
      <c r="H143" s="126">
        <f t="shared" si="2"/>
        <v>1.5784913004187435</v>
      </c>
      <c r="I143" s="89">
        <v>156.06568421052629</v>
      </c>
      <c r="J143" s="126">
        <v>72.289473684210535</v>
      </c>
    </row>
    <row r="144" spans="1:10" x14ac:dyDescent="0.3">
      <c r="A144" s="88" t="s">
        <v>481</v>
      </c>
      <c r="B144" s="24">
        <v>39224</v>
      </c>
      <c r="C144" s="32">
        <v>19.475594117486562</v>
      </c>
      <c r="D144">
        <v>23.9</v>
      </c>
      <c r="E144">
        <v>15.6</v>
      </c>
      <c r="F144" s="126">
        <v>0</v>
      </c>
      <c r="G144" s="126"/>
      <c r="H144" s="126">
        <f t="shared" si="2"/>
        <v>1.7729278081089486</v>
      </c>
      <c r="I144" s="89">
        <v>211.54357894736845</v>
      </c>
      <c r="J144" s="126">
        <v>82.608421052631584</v>
      </c>
    </row>
    <row r="145" spans="1:10" x14ac:dyDescent="0.3">
      <c r="A145" s="88" t="s">
        <v>481</v>
      </c>
      <c r="B145" s="24">
        <v>39225</v>
      </c>
      <c r="C145" s="32">
        <v>15.363098323829274</v>
      </c>
      <c r="D145">
        <v>20.399999999999999</v>
      </c>
      <c r="E145">
        <v>13.3</v>
      </c>
      <c r="F145" s="126">
        <v>0.2</v>
      </c>
      <c r="G145" s="126"/>
      <c r="H145" s="126">
        <f t="shared" si="2"/>
        <v>1.5279178496783383</v>
      </c>
      <c r="I145" s="89">
        <v>133.38</v>
      </c>
      <c r="J145" s="126">
        <v>80.01458333333332</v>
      </c>
    </row>
    <row r="146" spans="1:10" x14ac:dyDescent="0.3">
      <c r="A146" s="88" t="s">
        <v>481</v>
      </c>
      <c r="B146" s="24">
        <v>39226</v>
      </c>
      <c r="C146" s="32">
        <v>21.367036749035194</v>
      </c>
      <c r="D146">
        <v>25.5</v>
      </c>
      <c r="E146">
        <v>11</v>
      </c>
      <c r="F146" s="126">
        <v>7.4649999999999999</v>
      </c>
      <c r="G146" s="126"/>
      <c r="H146" s="126">
        <f t="shared" si="2"/>
        <v>1.313143973467028</v>
      </c>
      <c r="I146" s="89">
        <v>133.20000000000002</v>
      </c>
      <c r="J146" s="126">
        <v>79.522916666666646</v>
      </c>
    </row>
    <row r="147" spans="1:10" x14ac:dyDescent="0.3">
      <c r="A147" s="88" t="s">
        <v>481</v>
      </c>
      <c r="B147" s="24">
        <v>39227</v>
      </c>
      <c r="C147" s="32">
        <v>20.615531939404413</v>
      </c>
      <c r="D147">
        <v>28.8</v>
      </c>
      <c r="E147">
        <v>15.9</v>
      </c>
      <c r="F147" s="126">
        <v>1.675</v>
      </c>
      <c r="G147" s="126"/>
      <c r="H147" s="126">
        <f t="shared" si="2"/>
        <v>1.8072967155190105</v>
      </c>
      <c r="I147" s="89">
        <v>139.76999999999995</v>
      </c>
      <c r="J147" s="126">
        <v>87.632291666666632</v>
      </c>
    </row>
    <row r="148" spans="1:10" x14ac:dyDescent="0.3">
      <c r="A148" s="88" t="s">
        <v>481</v>
      </c>
      <c r="B148" s="24">
        <v>39228</v>
      </c>
      <c r="C148" s="32">
        <v>16.799507516848109</v>
      </c>
      <c r="D148">
        <v>23.8</v>
      </c>
      <c r="E148">
        <v>15.3</v>
      </c>
      <c r="F148" s="126">
        <v>0</v>
      </c>
      <c r="G148" s="126"/>
      <c r="H148" s="126">
        <f t="shared" si="2"/>
        <v>1.739133169821284</v>
      </c>
      <c r="I148" s="89">
        <v>184.05</v>
      </c>
      <c r="J148" s="126">
        <v>88.778125000000003</v>
      </c>
    </row>
    <row r="149" spans="1:10" x14ac:dyDescent="0.3">
      <c r="A149" s="88" t="s">
        <v>481</v>
      </c>
      <c r="B149" s="24">
        <v>39229</v>
      </c>
      <c r="C149" s="32">
        <v>17.502412015436899</v>
      </c>
      <c r="D149">
        <v>23.4</v>
      </c>
      <c r="E149">
        <v>13.5</v>
      </c>
      <c r="F149" s="126">
        <v>25.72</v>
      </c>
      <c r="G149" s="126"/>
      <c r="H149" s="126">
        <f t="shared" si="2"/>
        <v>1.5479739445616383</v>
      </c>
      <c r="I149" s="89">
        <v>178.2</v>
      </c>
      <c r="J149" s="126">
        <v>89.612499999999997</v>
      </c>
    </row>
    <row r="150" spans="1:10" x14ac:dyDescent="0.3">
      <c r="A150" s="88" t="s">
        <v>481</v>
      </c>
      <c r="B150" s="24">
        <v>39230</v>
      </c>
      <c r="C150" s="32">
        <v>7.2639464892575321</v>
      </c>
      <c r="D150">
        <v>16.100000000000001</v>
      </c>
      <c r="E150">
        <v>11.5</v>
      </c>
      <c r="F150" s="126">
        <v>3.83</v>
      </c>
      <c r="G150" s="126"/>
      <c r="H150" s="126">
        <f t="shared" si="2"/>
        <v>1.3574301110209714</v>
      </c>
      <c r="I150" s="89">
        <v>192.06000000000006</v>
      </c>
      <c r="J150" s="126">
        <v>92.137500000000003</v>
      </c>
    </row>
    <row r="151" spans="1:10" x14ac:dyDescent="0.3">
      <c r="A151" s="88" t="s">
        <v>481</v>
      </c>
      <c r="B151" s="24">
        <v>39231</v>
      </c>
      <c r="C151" s="32">
        <v>2.1321136455273315</v>
      </c>
      <c r="D151">
        <v>13.9</v>
      </c>
      <c r="E151">
        <v>9.1</v>
      </c>
      <c r="F151" s="126">
        <v>17.585000000000001</v>
      </c>
      <c r="G151" s="126"/>
      <c r="H151" s="126">
        <f t="shared" si="2"/>
        <v>1.156217822409108</v>
      </c>
      <c r="I151" s="89">
        <v>438.21000000000004</v>
      </c>
      <c r="J151" s="126">
        <v>96.107291666666626</v>
      </c>
    </row>
    <row r="152" spans="1:10" x14ac:dyDescent="0.3">
      <c r="A152" s="88" t="s">
        <v>481</v>
      </c>
      <c r="B152" s="24">
        <v>39232</v>
      </c>
      <c r="C152" s="32">
        <v>25.171361096711017</v>
      </c>
      <c r="D152">
        <v>17</v>
      </c>
      <c r="E152">
        <v>8</v>
      </c>
      <c r="F152" s="126">
        <v>0.64500000000000002</v>
      </c>
      <c r="G152" s="126"/>
      <c r="H152" s="126">
        <f t="shared" si="2"/>
        <v>1.0731200926872433</v>
      </c>
      <c r="I152" s="89">
        <v>254.5200000000001</v>
      </c>
      <c r="J152" s="126">
        <v>76.78854166666666</v>
      </c>
    </row>
    <row r="153" spans="1:10" x14ac:dyDescent="0.3">
      <c r="A153" s="88" t="s">
        <v>481</v>
      </c>
      <c r="B153" s="24">
        <v>39233</v>
      </c>
      <c r="C153" s="32">
        <v>25.208261332872532</v>
      </c>
      <c r="D153">
        <v>20.100000000000001</v>
      </c>
      <c r="E153">
        <v>9.4</v>
      </c>
      <c r="F153" s="126">
        <v>0</v>
      </c>
      <c r="G153" s="126"/>
      <c r="H153" s="126">
        <f t="shared" si="2"/>
        <v>1.1798411174091483</v>
      </c>
      <c r="I153" s="89">
        <v>146.07000000000002</v>
      </c>
      <c r="J153" s="126">
        <v>71.951041666666654</v>
      </c>
    </row>
    <row r="154" spans="1:10" x14ac:dyDescent="0.3">
      <c r="A154" s="88" t="s">
        <v>481</v>
      </c>
      <c r="B154" s="24">
        <v>39234</v>
      </c>
      <c r="C154" s="32">
        <v>21.329236507113645</v>
      </c>
      <c r="D154">
        <v>21.4</v>
      </c>
      <c r="E154">
        <v>9.3000000000000007</v>
      </c>
      <c r="F154" s="126">
        <v>0</v>
      </c>
      <c r="G154" s="126"/>
      <c r="H154" s="126">
        <f t="shared" si="2"/>
        <v>1.1719199459898388</v>
      </c>
      <c r="I154" s="89">
        <v>214.2</v>
      </c>
      <c r="J154" s="126">
        <v>81.178124999999994</v>
      </c>
    </row>
    <row r="155" spans="1:10" x14ac:dyDescent="0.3">
      <c r="A155" s="88" t="s">
        <v>481</v>
      </c>
      <c r="B155" s="24">
        <v>39235</v>
      </c>
      <c r="C155" s="32">
        <v>7.1199455676516328</v>
      </c>
      <c r="D155">
        <v>18</v>
      </c>
      <c r="E155">
        <v>10.199999999999999</v>
      </c>
      <c r="F155" s="126">
        <v>0.28999999999999998</v>
      </c>
      <c r="G155" s="126"/>
      <c r="H155" s="126">
        <f t="shared" si="2"/>
        <v>1.2449246593693148</v>
      </c>
      <c r="I155" s="89">
        <v>137.69999999999999</v>
      </c>
      <c r="J155" s="126">
        <v>89.603125000000006</v>
      </c>
    </row>
    <row r="156" spans="1:10" x14ac:dyDescent="0.3">
      <c r="A156" s="88" t="s">
        <v>481</v>
      </c>
      <c r="B156" s="24">
        <v>39236</v>
      </c>
      <c r="C156" s="32">
        <v>7.8524460451283726</v>
      </c>
      <c r="D156">
        <v>17.899999999999999</v>
      </c>
      <c r="E156">
        <v>12</v>
      </c>
      <c r="F156" s="126">
        <v>0.05</v>
      </c>
      <c r="G156" s="126"/>
      <c r="H156" s="126">
        <f t="shared" si="2"/>
        <v>1.4030231277532583</v>
      </c>
      <c r="I156" s="89">
        <v>159.97642105263159</v>
      </c>
      <c r="J156" s="126">
        <v>93.694736842105257</v>
      </c>
    </row>
    <row r="157" spans="1:10" x14ac:dyDescent="0.3">
      <c r="A157" s="88" t="s">
        <v>481</v>
      </c>
      <c r="B157" s="24">
        <v>39237</v>
      </c>
      <c r="C157" s="32">
        <v>10.700168481078279</v>
      </c>
      <c r="D157">
        <v>19</v>
      </c>
      <c r="E157">
        <v>12.1</v>
      </c>
      <c r="F157" s="126">
        <v>0</v>
      </c>
      <c r="G157" s="126"/>
      <c r="H157" s="126">
        <f t="shared" si="2"/>
        <v>1.4123014242757443</v>
      </c>
      <c r="I157" s="89">
        <v>176.76000000000005</v>
      </c>
      <c r="J157" s="126">
        <v>92.803125000000065</v>
      </c>
    </row>
    <row r="158" spans="1:10" x14ac:dyDescent="0.3">
      <c r="A158" s="88" t="s">
        <v>481</v>
      </c>
      <c r="B158" s="24">
        <v>39238</v>
      </c>
      <c r="C158" s="32">
        <v>14.608893496918382</v>
      </c>
      <c r="D158">
        <v>20.399999999999999</v>
      </c>
      <c r="E158">
        <v>14.4</v>
      </c>
      <c r="F158" s="126">
        <v>1.2350000000000001</v>
      </c>
      <c r="G158" s="126"/>
      <c r="H158" s="126">
        <f t="shared" si="2"/>
        <v>1.6411136286522547</v>
      </c>
      <c r="I158" s="89">
        <v>142.65000000000003</v>
      </c>
      <c r="J158" s="126">
        <v>91.741666666666632</v>
      </c>
    </row>
    <row r="159" spans="1:10" x14ac:dyDescent="0.3">
      <c r="A159" s="88" t="s">
        <v>481</v>
      </c>
      <c r="B159" s="24">
        <v>39239</v>
      </c>
      <c r="C159" s="32">
        <v>19.278123379989633</v>
      </c>
      <c r="D159">
        <v>23.5</v>
      </c>
      <c r="E159">
        <v>12.9</v>
      </c>
      <c r="F159" s="126">
        <v>0.02</v>
      </c>
      <c r="G159" s="126"/>
      <c r="H159" s="126">
        <f t="shared" si="2"/>
        <v>1.4884887514247067</v>
      </c>
      <c r="I159" s="89">
        <v>118.71000000000001</v>
      </c>
      <c r="J159" s="126">
        <v>89.441666666666677</v>
      </c>
    </row>
    <row r="160" spans="1:10" x14ac:dyDescent="0.3">
      <c r="A160" s="88" t="s">
        <v>481</v>
      </c>
      <c r="B160" s="24">
        <v>39240</v>
      </c>
      <c r="C160" s="32">
        <v>24.114754334427744</v>
      </c>
      <c r="D160">
        <v>28</v>
      </c>
      <c r="E160">
        <v>15.1</v>
      </c>
      <c r="F160" s="126">
        <v>0</v>
      </c>
      <c r="G160" s="126"/>
      <c r="H160" s="126">
        <f t="shared" si="2"/>
        <v>1.7169184104549529</v>
      </c>
      <c r="I160" s="89">
        <v>213.93000000000006</v>
      </c>
      <c r="J160" s="126">
        <v>83.09479166666668</v>
      </c>
    </row>
    <row r="161" spans="1:11" x14ac:dyDescent="0.3">
      <c r="A161" s="88" t="s">
        <v>481</v>
      </c>
      <c r="B161" s="24">
        <v>39241</v>
      </c>
      <c r="C161" s="32">
        <v>26.430469155002591</v>
      </c>
      <c r="D161">
        <v>28.8</v>
      </c>
      <c r="E161">
        <v>15.8</v>
      </c>
      <c r="F161" s="126">
        <v>0.01</v>
      </c>
      <c r="G161" s="126"/>
      <c r="H161" s="126">
        <f t="shared" si="2"/>
        <v>1.7957760971031187</v>
      </c>
      <c r="I161" s="89">
        <v>292.77</v>
      </c>
      <c r="J161" s="126">
        <v>76.330208333333331</v>
      </c>
    </row>
    <row r="162" spans="1:11" x14ac:dyDescent="0.3">
      <c r="A162" s="88" t="s">
        <v>481</v>
      </c>
      <c r="B162" s="24">
        <v>39242</v>
      </c>
      <c r="C162" s="32">
        <v>22.085241345544613</v>
      </c>
      <c r="D162">
        <v>29.1</v>
      </c>
      <c r="E162">
        <v>15.9</v>
      </c>
      <c r="F162" s="126">
        <v>5.5049999999999999</v>
      </c>
      <c r="G162" s="126"/>
      <c r="H162" s="126">
        <f t="shared" si="2"/>
        <v>1.8072967155190105</v>
      </c>
      <c r="I162" s="89">
        <v>445.23</v>
      </c>
      <c r="J162" s="126">
        <v>80.226041666666688</v>
      </c>
    </row>
    <row r="163" spans="1:11" x14ac:dyDescent="0.3">
      <c r="A163" s="88" t="s">
        <v>481</v>
      </c>
      <c r="B163" s="24">
        <v>39243</v>
      </c>
      <c r="C163" s="32">
        <v>28.153980185473188</v>
      </c>
      <c r="D163">
        <v>28.1</v>
      </c>
      <c r="E163">
        <v>15.9</v>
      </c>
      <c r="F163" s="126">
        <v>2.5000000000000001E-2</v>
      </c>
      <c r="G163" s="126"/>
      <c r="H163" s="126">
        <f t="shared" si="2"/>
        <v>1.8072967155190105</v>
      </c>
      <c r="I163" s="89">
        <v>183.60000000000002</v>
      </c>
      <c r="J163" s="126">
        <v>77.909374999999997</v>
      </c>
    </row>
    <row r="164" spans="1:11" x14ac:dyDescent="0.3">
      <c r="A164" s="88" t="s">
        <v>481</v>
      </c>
      <c r="B164" s="24">
        <v>39244</v>
      </c>
      <c r="C164" s="32">
        <v>27.824578077299698</v>
      </c>
      <c r="D164">
        <v>28.5</v>
      </c>
      <c r="E164">
        <v>14.9</v>
      </c>
      <c r="F164" s="126">
        <v>0</v>
      </c>
      <c r="G164" s="126"/>
      <c r="H164" s="126">
        <f t="shared" si="2"/>
        <v>1.6949528505265632</v>
      </c>
      <c r="I164" s="89">
        <v>203.93999999999997</v>
      </c>
      <c r="J164" s="126">
        <v>75.279166666666654</v>
      </c>
      <c r="K164" s="34">
        <v>376.72142857142876</v>
      </c>
    </row>
    <row r="165" spans="1:11" x14ac:dyDescent="0.3">
      <c r="A165" s="88" t="s">
        <v>481</v>
      </c>
      <c r="B165" s="24">
        <v>39245</v>
      </c>
      <c r="C165" s="32">
        <v>23.555850757444851</v>
      </c>
      <c r="D165">
        <v>26.8</v>
      </c>
      <c r="E165">
        <v>16.100000000000001</v>
      </c>
      <c r="F165" s="126">
        <v>0</v>
      </c>
      <c r="G165" s="126"/>
      <c r="H165" s="126">
        <f t="shared" si="2"/>
        <v>1.8305324367134694</v>
      </c>
      <c r="I165" s="89">
        <v>236.07</v>
      </c>
      <c r="J165" s="126">
        <v>79.221874999999997</v>
      </c>
      <c r="K165" s="34">
        <v>402.35683099018331</v>
      </c>
    </row>
    <row r="166" spans="1:11" x14ac:dyDescent="0.3">
      <c r="A166" s="88" t="s">
        <v>481</v>
      </c>
      <c r="B166" s="24">
        <v>39246</v>
      </c>
      <c r="C166" s="32">
        <v>20.530931397960948</v>
      </c>
      <c r="D166">
        <v>23.6</v>
      </c>
      <c r="E166">
        <v>15.9</v>
      </c>
      <c r="F166" s="126">
        <v>0</v>
      </c>
      <c r="G166" s="126"/>
      <c r="H166" s="126">
        <f t="shared" si="2"/>
        <v>1.8072967155190105</v>
      </c>
      <c r="I166" s="89">
        <v>246.24</v>
      </c>
      <c r="J166" s="126">
        <v>81.902083333333351</v>
      </c>
      <c r="K166" s="34">
        <v>387.92659362549801</v>
      </c>
    </row>
    <row r="167" spans="1:11" x14ac:dyDescent="0.3">
      <c r="A167" s="88" t="s">
        <v>481</v>
      </c>
      <c r="B167" s="24">
        <v>39247</v>
      </c>
      <c r="C167" s="32">
        <v>19.891027302574738</v>
      </c>
      <c r="D167">
        <v>26.1</v>
      </c>
      <c r="E167">
        <v>15.1</v>
      </c>
      <c r="F167" s="126">
        <v>5.9349999999999996</v>
      </c>
      <c r="G167" s="126"/>
      <c r="H167" s="126">
        <f t="shared" si="2"/>
        <v>1.7169184104549529</v>
      </c>
      <c r="I167" s="89">
        <v>129.96</v>
      </c>
      <c r="J167" s="126">
        <v>81.796875</v>
      </c>
      <c r="K167" s="34">
        <v>396.63372178526981</v>
      </c>
    </row>
    <row r="168" spans="1:11" x14ac:dyDescent="0.3">
      <c r="A168" s="88" t="s">
        <v>481</v>
      </c>
      <c r="B168" s="24">
        <v>39248</v>
      </c>
      <c r="C168" s="32">
        <v>19.558025171361098</v>
      </c>
      <c r="D168">
        <v>25.4</v>
      </c>
      <c r="E168">
        <v>16.5</v>
      </c>
      <c r="F168" s="126">
        <v>11.53</v>
      </c>
      <c r="G168" s="126"/>
      <c r="H168" s="126">
        <f t="shared" si="2"/>
        <v>1.8777904954698514</v>
      </c>
      <c r="I168" s="89">
        <v>197.36999999999998</v>
      </c>
      <c r="J168" s="126">
        <v>91.144791666666663</v>
      </c>
      <c r="K168" s="34">
        <v>386.61266633259754</v>
      </c>
    </row>
    <row r="169" spans="1:11" x14ac:dyDescent="0.3">
      <c r="A169" s="88" t="s">
        <v>481</v>
      </c>
      <c r="B169" s="24">
        <v>39249</v>
      </c>
      <c r="C169" s="32">
        <v>18.295317090029375</v>
      </c>
      <c r="D169">
        <v>21.2</v>
      </c>
      <c r="E169">
        <v>14.3</v>
      </c>
      <c r="F169" s="126">
        <v>5.8150000000000004</v>
      </c>
      <c r="G169" s="126"/>
      <c r="H169" s="126">
        <f t="shared" si="2"/>
        <v>1.6305276651269101</v>
      </c>
      <c r="I169" s="89">
        <v>250.29000000000002</v>
      </c>
      <c r="J169" s="126">
        <v>85.110416666666694</v>
      </c>
      <c r="K169" s="34">
        <v>387.93101391650123</v>
      </c>
    </row>
    <row r="170" spans="1:11" x14ac:dyDescent="0.3">
      <c r="A170" s="88" t="s">
        <v>481</v>
      </c>
      <c r="B170" s="24">
        <v>39250</v>
      </c>
      <c r="C170" s="32">
        <v>20.82253326421289</v>
      </c>
      <c r="D170">
        <v>21.8</v>
      </c>
      <c r="E170">
        <v>12.4</v>
      </c>
      <c r="F170" s="126">
        <v>0</v>
      </c>
      <c r="G170" s="126"/>
      <c r="H170" s="126">
        <f t="shared" si="2"/>
        <v>1.4404604588486194</v>
      </c>
      <c r="I170" s="89">
        <v>166.59</v>
      </c>
      <c r="J170" s="126">
        <v>81.452083333333306</v>
      </c>
      <c r="K170" s="34">
        <v>386.87104477611945</v>
      </c>
    </row>
    <row r="171" spans="1:11" x14ac:dyDescent="0.3">
      <c r="A171" s="88" t="s">
        <v>481</v>
      </c>
      <c r="B171" s="24">
        <v>39251</v>
      </c>
      <c r="C171" s="32">
        <v>11.525473763032084</v>
      </c>
      <c r="D171">
        <v>20.2</v>
      </c>
      <c r="E171">
        <v>14.1</v>
      </c>
      <c r="F171" s="126">
        <v>8.2949999999999999</v>
      </c>
      <c r="G171" s="126"/>
      <c r="H171" s="126">
        <f t="shared" si="2"/>
        <v>1.6095352919714581</v>
      </c>
      <c r="I171" s="89">
        <v>221.49</v>
      </c>
      <c r="J171" s="126">
        <v>90.066666666666663</v>
      </c>
      <c r="K171" s="34">
        <v>404.11153455284591</v>
      </c>
    </row>
    <row r="172" spans="1:11" x14ac:dyDescent="0.3">
      <c r="A172" s="88" t="s">
        <v>481</v>
      </c>
      <c r="B172" s="24">
        <v>39252</v>
      </c>
      <c r="C172" s="32">
        <v>28.457282126605609</v>
      </c>
      <c r="D172">
        <v>24.5</v>
      </c>
      <c r="E172">
        <v>13.6</v>
      </c>
      <c r="F172" s="126">
        <v>5.0000000000000001E-3</v>
      </c>
      <c r="G172" s="126"/>
      <c r="H172" s="126">
        <f t="shared" si="2"/>
        <v>1.55808835361568</v>
      </c>
      <c r="I172" s="89">
        <v>140.4</v>
      </c>
      <c r="J172" s="126">
        <v>82.13229166666666</v>
      </c>
      <c r="K172" s="34">
        <v>398.38341608738847</v>
      </c>
    </row>
    <row r="173" spans="1:11" x14ac:dyDescent="0.3">
      <c r="A173" s="88" t="s">
        <v>481</v>
      </c>
      <c r="B173" s="24">
        <v>39253</v>
      </c>
      <c r="C173" s="32">
        <v>24.452256494441567</v>
      </c>
      <c r="D173">
        <v>28.6</v>
      </c>
      <c r="E173">
        <v>14.9</v>
      </c>
      <c r="F173" s="126">
        <v>3.5000000000000003E-2</v>
      </c>
      <c r="G173" s="126"/>
      <c r="H173" s="126">
        <f t="shared" si="2"/>
        <v>1.6949528505265632</v>
      </c>
      <c r="I173" s="89">
        <v>216.45000000000002</v>
      </c>
      <c r="J173" s="126">
        <v>79.37708333333336</v>
      </c>
      <c r="K173" s="34">
        <v>395.0272862823071</v>
      </c>
    </row>
    <row r="174" spans="1:11" x14ac:dyDescent="0.3">
      <c r="A174" s="88" t="s">
        <v>481</v>
      </c>
      <c r="B174" s="24">
        <v>39254</v>
      </c>
      <c r="C174" s="32">
        <v>4.1940268417717874</v>
      </c>
      <c r="D174">
        <v>19.600000000000001</v>
      </c>
      <c r="E174">
        <v>12.6</v>
      </c>
      <c r="F174" s="126">
        <v>16.765000000000001</v>
      </c>
      <c r="G174" s="126"/>
      <c r="H174" s="126">
        <f t="shared" si="2"/>
        <v>1.4595059422181114</v>
      </c>
      <c r="I174" s="89">
        <v>160.65</v>
      </c>
      <c r="J174" s="126">
        <v>90.234375</v>
      </c>
      <c r="K174" s="34">
        <v>404.5817545748107</v>
      </c>
    </row>
    <row r="175" spans="1:11" x14ac:dyDescent="0.3">
      <c r="A175" s="88" t="s">
        <v>481</v>
      </c>
      <c r="B175" s="24">
        <v>39255</v>
      </c>
      <c r="C175" s="32">
        <v>22.140141696906859</v>
      </c>
      <c r="D175">
        <v>21.4</v>
      </c>
      <c r="E175">
        <v>13</v>
      </c>
      <c r="F175" s="126">
        <v>3.04</v>
      </c>
      <c r="G175" s="126"/>
      <c r="H175" s="126">
        <f t="shared" si="2"/>
        <v>1.498261331998219</v>
      </c>
      <c r="I175" s="89">
        <v>181.17</v>
      </c>
      <c r="J175" s="126">
        <v>89.876041666666694</v>
      </c>
      <c r="K175" s="34">
        <v>378.6941730099237</v>
      </c>
    </row>
    <row r="176" spans="1:11" x14ac:dyDescent="0.3">
      <c r="A176" s="88" t="s">
        <v>481</v>
      </c>
      <c r="B176" s="24">
        <v>39256</v>
      </c>
      <c r="C176" s="32">
        <v>17.843514198490873</v>
      </c>
      <c r="D176">
        <v>19.3</v>
      </c>
      <c r="E176">
        <v>13.7</v>
      </c>
      <c r="F176" s="126">
        <v>4.34</v>
      </c>
      <c r="G176" s="126"/>
      <c r="H176" s="126">
        <f t="shared" si="2"/>
        <v>1.568260711501982</v>
      </c>
      <c r="I176" s="89">
        <v>232.46999999999997</v>
      </c>
      <c r="J176" s="126">
        <v>89.713541666666671</v>
      </c>
      <c r="K176" s="34">
        <v>386.62517378351538</v>
      </c>
    </row>
    <row r="177" spans="1:11" x14ac:dyDescent="0.3">
      <c r="A177" s="88" t="s">
        <v>481</v>
      </c>
      <c r="B177" s="24">
        <v>39257</v>
      </c>
      <c r="C177" s="32">
        <v>21.65233857496688</v>
      </c>
      <c r="D177">
        <v>21.9</v>
      </c>
      <c r="E177">
        <v>13.3</v>
      </c>
      <c r="F177" s="126">
        <v>0</v>
      </c>
      <c r="G177" s="126"/>
      <c r="H177" s="126">
        <f t="shared" si="2"/>
        <v>1.5279178496783383</v>
      </c>
      <c r="I177" s="89">
        <v>173.52000000000004</v>
      </c>
      <c r="J177" s="126">
        <v>83.836458333333312</v>
      </c>
      <c r="K177" s="34">
        <v>385.31993041749513</v>
      </c>
    </row>
    <row r="178" spans="1:11" x14ac:dyDescent="0.3">
      <c r="A178" s="88" t="s">
        <v>481</v>
      </c>
      <c r="B178" s="24">
        <v>39258</v>
      </c>
      <c r="C178" s="32">
        <v>11.725275041760268</v>
      </c>
      <c r="D178">
        <v>23</v>
      </c>
      <c r="E178">
        <v>15</v>
      </c>
      <c r="F178" s="126">
        <v>1.48</v>
      </c>
      <c r="G178" s="126"/>
      <c r="H178" s="126">
        <f t="shared" si="2"/>
        <v>1.7059046297032363</v>
      </c>
      <c r="I178" s="89">
        <v>165.24</v>
      </c>
      <c r="J178" s="126">
        <v>85.163541666666688</v>
      </c>
      <c r="K178" s="34">
        <v>385.62919349063952</v>
      </c>
    </row>
    <row r="179" spans="1:11" x14ac:dyDescent="0.3">
      <c r="A179" s="88" t="s">
        <v>481</v>
      </c>
      <c r="B179" s="24">
        <v>39259</v>
      </c>
      <c r="C179" s="32">
        <v>16.872407983411094</v>
      </c>
      <c r="D179">
        <v>17.399999999999999</v>
      </c>
      <c r="E179">
        <v>10.8</v>
      </c>
      <c r="F179" s="126">
        <v>1.8</v>
      </c>
      <c r="G179" s="126"/>
      <c r="H179" s="126">
        <f t="shared" si="2"/>
        <v>1.2957882396636844</v>
      </c>
      <c r="I179" s="89">
        <v>467.91000000000008</v>
      </c>
      <c r="J179" s="126">
        <v>84.965625000000003</v>
      </c>
      <c r="K179" s="34">
        <v>379.03866799204809</v>
      </c>
    </row>
    <row r="180" spans="1:11" x14ac:dyDescent="0.3">
      <c r="A180" s="88" t="s">
        <v>481</v>
      </c>
      <c r="B180" s="24">
        <v>39260</v>
      </c>
      <c r="C180" s="32">
        <v>14.37669201082887</v>
      </c>
      <c r="D180">
        <v>16.399999999999999</v>
      </c>
      <c r="E180">
        <v>9.9</v>
      </c>
      <c r="F180" s="126">
        <v>1</v>
      </c>
      <c r="G180" s="126"/>
      <c r="H180" s="126">
        <f t="shared" si="2"/>
        <v>1.2201575987481763</v>
      </c>
      <c r="I180" s="89">
        <v>535.14</v>
      </c>
      <c r="J180" s="126">
        <v>79.552083333333314</v>
      </c>
      <c r="K180" s="34">
        <v>383.48537313432848</v>
      </c>
    </row>
    <row r="181" spans="1:11" x14ac:dyDescent="0.3">
      <c r="A181" s="88" t="s">
        <v>481</v>
      </c>
      <c r="B181" s="24">
        <v>39261</v>
      </c>
      <c r="C181" s="32">
        <v>15.91480185473187</v>
      </c>
      <c r="D181">
        <v>18.3</v>
      </c>
      <c r="E181">
        <v>10.9</v>
      </c>
      <c r="F181" s="126">
        <v>0.88</v>
      </c>
      <c r="G181" s="126"/>
      <c r="H181" s="126">
        <f t="shared" si="2"/>
        <v>1.3044407381026226</v>
      </c>
      <c r="I181" s="89">
        <v>306.36000000000013</v>
      </c>
      <c r="J181" s="126">
        <v>82.779166666666683</v>
      </c>
      <c r="K181" s="34">
        <v>386.09497512437906</v>
      </c>
    </row>
    <row r="182" spans="1:11" x14ac:dyDescent="0.3">
      <c r="A182" s="88" t="s">
        <v>481</v>
      </c>
      <c r="B182" s="24">
        <v>39262</v>
      </c>
      <c r="C182" s="32">
        <v>8.9793574678877945</v>
      </c>
      <c r="D182">
        <v>18.2</v>
      </c>
      <c r="E182">
        <v>9.1999999999999993</v>
      </c>
      <c r="F182" s="126">
        <v>2.2999999999999998</v>
      </c>
      <c r="G182" s="126"/>
      <c r="H182" s="126">
        <f t="shared" si="2"/>
        <v>1.16404559315309</v>
      </c>
      <c r="I182" s="89">
        <v>177.21000000000004</v>
      </c>
      <c r="J182" s="126">
        <v>86.99166666666666</v>
      </c>
      <c r="K182" s="34">
        <v>391.64437250996014</v>
      </c>
    </row>
    <row r="183" spans="1:11" x14ac:dyDescent="0.3">
      <c r="A183" s="88" t="s">
        <v>481</v>
      </c>
      <c r="B183" s="24">
        <v>39263</v>
      </c>
      <c r="C183" s="32">
        <v>13.29758510454467</v>
      </c>
      <c r="D183">
        <v>19.2</v>
      </c>
      <c r="E183">
        <v>12.7</v>
      </c>
      <c r="F183" s="126">
        <v>3.66</v>
      </c>
      <c r="G183" s="126"/>
      <c r="H183" s="126">
        <f t="shared" si="2"/>
        <v>1.4691113294420337</v>
      </c>
      <c r="I183" s="89">
        <v>276.20999999999998</v>
      </c>
      <c r="J183" s="126">
        <v>85.731250000000003</v>
      </c>
      <c r="K183" s="34">
        <v>386.35149551345961</v>
      </c>
    </row>
    <row r="184" spans="1:11" x14ac:dyDescent="0.3">
      <c r="A184" s="88" t="s">
        <v>481</v>
      </c>
      <c r="B184" s="24">
        <v>39264</v>
      </c>
      <c r="C184" s="32">
        <v>15.03369621565578</v>
      </c>
      <c r="D184">
        <v>24.1</v>
      </c>
      <c r="E184">
        <v>14.3</v>
      </c>
      <c r="F184" s="126">
        <v>0.91</v>
      </c>
      <c r="G184" s="126"/>
      <c r="H184" s="126">
        <f t="shared" si="2"/>
        <v>1.6305276651269101</v>
      </c>
      <c r="I184" s="89">
        <v>126.53999999999999</v>
      </c>
      <c r="J184" s="126">
        <v>85.08541666666666</v>
      </c>
      <c r="K184" s="34">
        <v>390.66516966067792</v>
      </c>
    </row>
    <row r="185" spans="1:11" x14ac:dyDescent="0.3">
      <c r="A185" s="88" t="s">
        <v>481</v>
      </c>
      <c r="B185" s="24">
        <v>39265</v>
      </c>
      <c r="C185" s="32">
        <v>10.792869074362077</v>
      </c>
      <c r="D185">
        <v>21.7</v>
      </c>
      <c r="E185">
        <v>13.8</v>
      </c>
      <c r="F185" s="126">
        <v>13.305</v>
      </c>
      <c r="G185" s="126"/>
      <c r="H185" s="126">
        <f t="shared" si="2"/>
        <v>1.5784913004187435</v>
      </c>
      <c r="I185" s="89">
        <v>125.18999999999994</v>
      </c>
      <c r="J185" s="126">
        <v>92.397916666666617</v>
      </c>
      <c r="K185" s="34">
        <v>397.6312987047321</v>
      </c>
    </row>
    <row r="186" spans="1:11" x14ac:dyDescent="0.3">
      <c r="A186" s="88" t="s">
        <v>481</v>
      </c>
      <c r="B186" s="24">
        <v>39266</v>
      </c>
      <c r="C186" s="32">
        <v>16.573606071078853</v>
      </c>
      <c r="D186">
        <v>20.8</v>
      </c>
      <c r="E186">
        <v>12</v>
      </c>
      <c r="F186" s="126">
        <v>3.81</v>
      </c>
      <c r="G186" s="126"/>
      <c r="H186" s="126">
        <f t="shared" si="2"/>
        <v>1.4030231277532583</v>
      </c>
      <c r="I186" s="89">
        <v>177.12</v>
      </c>
      <c r="J186" s="126">
        <v>90.579166666666694</v>
      </c>
      <c r="K186" s="34">
        <v>376.80555312130116</v>
      </c>
    </row>
    <row r="187" spans="1:11" x14ac:dyDescent="0.3">
      <c r="A187" s="88" t="s">
        <v>481</v>
      </c>
      <c r="B187" s="24">
        <v>39267</v>
      </c>
      <c r="C187" s="32">
        <v>17.97221502217614</v>
      </c>
      <c r="D187">
        <v>18.5</v>
      </c>
      <c r="E187">
        <v>11.8</v>
      </c>
      <c r="F187" s="126">
        <v>2.8149999999999999</v>
      </c>
      <c r="G187" s="126"/>
      <c r="H187" s="126">
        <f t="shared" si="2"/>
        <v>1.3846270162501679</v>
      </c>
      <c r="I187" s="89">
        <v>260.73000000000013</v>
      </c>
      <c r="J187" s="126">
        <v>90.609375</v>
      </c>
      <c r="K187" s="34">
        <v>373.63887775551024</v>
      </c>
    </row>
    <row r="188" spans="1:11" x14ac:dyDescent="0.3">
      <c r="A188" s="88" t="s">
        <v>481</v>
      </c>
      <c r="B188" s="24">
        <v>39268</v>
      </c>
      <c r="C188" s="32">
        <v>14.938295605091874</v>
      </c>
      <c r="D188">
        <v>19.8</v>
      </c>
      <c r="E188">
        <v>12.7</v>
      </c>
      <c r="F188" s="126">
        <v>0.67</v>
      </c>
      <c r="G188" s="126"/>
      <c r="H188" s="126">
        <f t="shared" si="2"/>
        <v>1.4691113294420337</v>
      </c>
      <c r="I188" s="89">
        <v>358.83000000000004</v>
      </c>
      <c r="J188" s="126">
        <v>88.739583333333314</v>
      </c>
      <c r="K188" s="34">
        <v>374.90165496489442</v>
      </c>
    </row>
    <row r="189" spans="1:11" x14ac:dyDescent="0.3">
      <c r="A189" s="88" t="s">
        <v>481</v>
      </c>
      <c r="B189" s="24">
        <v>39269</v>
      </c>
      <c r="C189" s="32">
        <v>13.158084211738954</v>
      </c>
      <c r="D189">
        <v>19</v>
      </c>
      <c r="E189">
        <v>12.5</v>
      </c>
      <c r="F189" s="126">
        <v>0.435</v>
      </c>
      <c r="G189" s="126"/>
      <c r="H189" s="126">
        <f t="shared" si="2"/>
        <v>1.4499557420926388</v>
      </c>
      <c r="I189" s="89">
        <v>425.43000000000018</v>
      </c>
      <c r="J189" s="126">
        <v>85.518749999999997</v>
      </c>
      <c r="K189" s="34">
        <v>375.27110552763804</v>
      </c>
    </row>
    <row r="190" spans="1:11" x14ac:dyDescent="0.3">
      <c r="A190" s="88" t="s">
        <v>481</v>
      </c>
      <c r="B190" s="24">
        <v>39270</v>
      </c>
      <c r="C190" s="32">
        <v>15.05079632509648</v>
      </c>
      <c r="D190">
        <v>20.3</v>
      </c>
      <c r="E190">
        <v>12.7</v>
      </c>
      <c r="F190" s="126">
        <v>0.125</v>
      </c>
      <c r="G190" s="126"/>
      <c r="H190" s="126">
        <f t="shared" si="2"/>
        <v>1.4691113294420337</v>
      </c>
      <c r="I190" s="89">
        <v>490.68000000000006</v>
      </c>
      <c r="J190" s="126">
        <v>82.92916666666666</v>
      </c>
      <c r="K190" s="34">
        <v>374.2701710261573</v>
      </c>
    </row>
    <row r="191" spans="1:11" x14ac:dyDescent="0.3">
      <c r="A191" s="88" t="s">
        <v>481</v>
      </c>
      <c r="B191" s="24">
        <v>39271</v>
      </c>
      <c r="C191" s="32">
        <v>24.00315362018317</v>
      </c>
      <c r="D191">
        <v>21.9</v>
      </c>
      <c r="E191">
        <v>10.7</v>
      </c>
      <c r="F191" s="126">
        <v>0</v>
      </c>
      <c r="G191" s="126"/>
      <c r="H191" s="126">
        <f t="shared" si="2"/>
        <v>1.2871862257172708</v>
      </c>
      <c r="I191" s="89">
        <v>230.85000000000002</v>
      </c>
      <c r="J191" s="126">
        <v>78.672916666666666</v>
      </c>
      <c r="K191" s="34">
        <v>376.04117943548437</v>
      </c>
    </row>
    <row r="192" spans="1:11" x14ac:dyDescent="0.3">
      <c r="A192" s="88" t="s">
        <v>481</v>
      </c>
      <c r="B192" s="24">
        <v>39272</v>
      </c>
      <c r="C192" s="32">
        <v>5.9310379586429347</v>
      </c>
      <c r="D192">
        <v>15.4</v>
      </c>
      <c r="E192">
        <v>11.9</v>
      </c>
      <c r="F192" s="126">
        <v>6.4649999999999999</v>
      </c>
      <c r="G192" s="126"/>
      <c r="H192" s="126">
        <f t="shared" si="2"/>
        <v>1.3937984130245886</v>
      </c>
      <c r="I192" s="89">
        <v>137.25</v>
      </c>
      <c r="J192" s="126">
        <v>91.079166666666723</v>
      </c>
      <c r="K192" s="34">
        <v>392.53146464646562</v>
      </c>
    </row>
    <row r="193" spans="1:11" x14ac:dyDescent="0.3">
      <c r="A193" s="88" t="s">
        <v>481</v>
      </c>
      <c r="B193" s="24">
        <v>39273</v>
      </c>
      <c r="C193" s="32">
        <v>15.619599965439779</v>
      </c>
      <c r="D193">
        <v>18.600000000000001</v>
      </c>
      <c r="E193">
        <v>10.7</v>
      </c>
      <c r="F193" s="126">
        <v>3.22</v>
      </c>
      <c r="G193" s="126"/>
      <c r="H193" s="126">
        <f t="shared" si="2"/>
        <v>1.2871862257172708</v>
      </c>
      <c r="I193" s="89">
        <v>162.35999999999999</v>
      </c>
      <c r="J193" s="126">
        <v>91.304166666666632</v>
      </c>
      <c r="K193" s="34">
        <v>380.23796764408405</v>
      </c>
    </row>
    <row r="194" spans="1:11" x14ac:dyDescent="0.3">
      <c r="A194" s="88" t="s">
        <v>481</v>
      </c>
      <c r="B194" s="24">
        <v>39274</v>
      </c>
      <c r="C194" s="32">
        <v>11.376972812626002</v>
      </c>
      <c r="D194">
        <v>17.2</v>
      </c>
      <c r="E194">
        <v>9.6999999999999993</v>
      </c>
      <c r="F194" s="126">
        <v>4.3</v>
      </c>
      <c r="G194" s="126"/>
      <c r="H194" s="126">
        <f t="shared" si="2"/>
        <v>1.2038879226915637</v>
      </c>
      <c r="I194" s="89">
        <v>262.70999999999998</v>
      </c>
      <c r="J194" s="126">
        <v>89.544791666666697</v>
      </c>
      <c r="K194" s="34">
        <v>376.07336782506206</v>
      </c>
    </row>
    <row r="195" spans="1:11" x14ac:dyDescent="0.3">
      <c r="A195" s="88" t="s">
        <v>481</v>
      </c>
      <c r="B195" s="24">
        <v>39275</v>
      </c>
      <c r="C195" s="32">
        <v>9.8424629917631474</v>
      </c>
      <c r="D195">
        <v>18.8</v>
      </c>
      <c r="E195">
        <v>12.8</v>
      </c>
      <c r="F195" s="126">
        <v>1.86</v>
      </c>
      <c r="G195" s="126"/>
      <c r="H195" s="126">
        <f t="shared" si="2"/>
        <v>1.4787721750550831</v>
      </c>
      <c r="I195" s="89">
        <v>336.23999999999995</v>
      </c>
      <c r="J195" s="126">
        <v>84.865624999999994</v>
      </c>
      <c r="K195" s="34">
        <v>377.61622718052655</v>
      </c>
    </row>
    <row r="196" spans="1:11" x14ac:dyDescent="0.3">
      <c r="A196" s="88" t="s">
        <v>481</v>
      </c>
      <c r="B196" s="24">
        <v>39276</v>
      </c>
      <c r="C196" s="32">
        <v>16.277504176026728</v>
      </c>
      <c r="D196">
        <v>23.7</v>
      </c>
      <c r="E196">
        <v>14.8</v>
      </c>
      <c r="F196" s="126">
        <v>3.0350000000000001</v>
      </c>
      <c r="G196" s="126"/>
      <c r="H196" s="126">
        <f t="shared" ref="H196:H259" si="3">0.611*EXP((17.27*E196)/(E196+237.3))</f>
        <v>1.6840627760776321</v>
      </c>
      <c r="I196" s="89">
        <v>253.53000000000003</v>
      </c>
      <c r="J196" s="126">
        <v>83.703125</v>
      </c>
      <c r="K196" s="34">
        <v>377.85651068158666</v>
      </c>
    </row>
    <row r="197" spans="1:11" x14ac:dyDescent="0.3">
      <c r="A197" s="88" t="s">
        <v>481</v>
      </c>
      <c r="B197" s="24">
        <v>39277</v>
      </c>
      <c r="C197" s="32">
        <v>25.487263118483956</v>
      </c>
      <c r="D197">
        <v>31</v>
      </c>
      <c r="E197">
        <v>16.100000000000001</v>
      </c>
      <c r="F197" s="126">
        <v>1.4999999999999999E-2</v>
      </c>
      <c r="G197" s="126"/>
      <c r="H197" s="126">
        <f t="shared" si="3"/>
        <v>1.8305324367134694</v>
      </c>
      <c r="I197" s="89">
        <v>201.77999999999997</v>
      </c>
      <c r="J197" s="126">
        <v>74.090625000000003</v>
      </c>
      <c r="K197" s="34">
        <v>372.40234693877579</v>
      </c>
    </row>
    <row r="198" spans="1:11" x14ac:dyDescent="0.3">
      <c r="A198" s="88" t="s">
        <v>481</v>
      </c>
      <c r="B198" s="24">
        <v>39278</v>
      </c>
      <c r="C198" s="32">
        <v>24.195754852831062</v>
      </c>
      <c r="D198">
        <v>33.9</v>
      </c>
      <c r="E198">
        <v>15.9</v>
      </c>
      <c r="F198" s="126">
        <v>0</v>
      </c>
      <c r="G198" s="126"/>
      <c r="H198" s="126">
        <f t="shared" si="3"/>
        <v>1.8072967155190105</v>
      </c>
      <c r="I198" s="89">
        <v>125.91</v>
      </c>
      <c r="J198" s="126">
        <v>75.280208333333334</v>
      </c>
      <c r="K198" s="34">
        <v>402.19734151329192</v>
      </c>
    </row>
    <row r="199" spans="1:11" x14ac:dyDescent="0.3">
      <c r="A199" s="88" t="s">
        <v>481</v>
      </c>
      <c r="B199" s="24">
        <v>39279</v>
      </c>
      <c r="C199" s="32">
        <v>27.134273659351418</v>
      </c>
      <c r="D199">
        <v>34.4</v>
      </c>
      <c r="E199">
        <v>20.8</v>
      </c>
      <c r="F199" s="126">
        <v>5.0000000000000001E-3</v>
      </c>
      <c r="G199" s="126"/>
      <c r="H199" s="126">
        <f t="shared" si="3"/>
        <v>2.457420719105694</v>
      </c>
      <c r="I199" s="89">
        <v>179.91000000000003</v>
      </c>
      <c r="J199" s="126">
        <v>60.071874999999999</v>
      </c>
      <c r="K199" s="34">
        <v>378.52802254098344</v>
      </c>
    </row>
    <row r="200" spans="1:11" x14ac:dyDescent="0.3">
      <c r="A200" s="88" t="s">
        <v>481</v>
      </c>
      <c r="B200" s="24">
        <v>39280</v>
      </c>
      <c r="C200" s="32">
        <v>22.898846552617936</v>
      </c>
      <c r="D200">
        <v>25.6</v>
      </c>
      <c r="E200">
        <v>15.8</v>
      </c>
      <c r="F200" s="126">
        <v>4.4999999999999998E-2</v>
      </c>
      <c r="G200" s="126"/>
      <c r="H200" s="126">
        <f t="shared" si="3"/>
        <v>1.7957760971031187</v>
      </c>
      <c r="I200" s="89">
        <v>273.60000000000002</v>
      </c>
      <c r="J200" s="126">
        <v>70.484375</v>
      </c>
      <c r="K200" s="34">
        <v>375.90779676660253</v>
      </c>
    </row>
    <row r="201" spans="1:11" x14ac:dyDescent="0.3">
      <c r="A201" s="88" t="s">
        <v>481</v>
      </c>
      <c r="B201" s="24">
        <v>39281</v>
      </c>
      <c r="C201" s="32">
        <v>22.248142388111283</v>
      </c>
      <c r="D201">
        <v>26.6</v>
      </c>
      <c r="E201">
        <v>13.8</v>
      </c>
      <c r="F201" s="126">
        <v>0</v>
      </c>
      <c r="G201" s="126"/>
      <c r="H201" s="126">
        <f t="shared" si="3"/>
        <v>1.5784913004187435</v>
      </c>
      <c r="I201" s="89">
        <v>167.58000000000004</v>
      </c>
      <c r="J201" s="126">
        <v>72.382291666666674</v>
      </c>
      <c r="K201" s="34">
        <v>393.42997356957216</v>
      </c>
    </row>
    <row r="202" spans="1:11" x14ac:dyDescent="0.3">
      <c r="A202" s="88" t="s">
        <v>481</v>
      </c>
      <c r="B202" s="24">
        <v>39282</v>
      </c>
      <c r="C202" s="32">
        <v>16.55470595011808</v>
      </c>
      <c r="D202">
        <v>23.9</v>
      </c>
      <c r="E202">
        <v>12.4</v>
      </c>
      <c r="F202" s="126">
        <v>1.4999999999999999E-2</v>
      </c>
      <c r="G202" s="126"/>
      <c r="H202" s="126">
        <f t="shared" si="3"/>
        <v>1.4404604588486194</v>
      </c>
      <c r="I202" s="89">
        <v>97.29000000000002</v>
      </c>
      <c r="J202" s="126">
        <v>77.895833333333357</v>
      </c>
      <c r="K202" s="34">
        <v>394.45773993808052</v>
      </c>
    </row>
    <row r="203" spans="1:11" x14ac:dyDescent="0.3">
      <c r="A203" s="88" t="s">
        <v>481</v>
      </c>
      <c r="B203" s="24">
        <v>39283</v>
      </c>
      <c r="C203" s="32">
        <v>20.165529059385982</v>
      </c>
      <c r="D203">
        <v>27</v>
      </c>
      <c r="E203">
        <v>16</v>
      </c>
      <c r="F203" s="126">
        <v>0.26500000000000001</v>
      </c>
      <c r="G203" s="126"/>
      <c r="H203" s="126">
        <f t="shared" si="3"/>
        <v>1.8188820592283421</v>
      </c>
      <c r="I203" s="89">
        <v>233.28000000000003</v>
      </c>
      <c r="J203" s="126">
        <v>76.389583333333334</v>
      </c>
      <c r="K203" s="34">
        <v>383.3831920604382</v>
      </c>
    </row>
    <row r="204" spans="1:11" x14ac:dyDescent="0.3">
      <c r="A204" s="88" t="s">
        <v>481</v>
      </c>
      <c r="B204" s="24">
        <v>39284</v>
      </c>
      <c r="C204" s="32">
        <v>21.122235182305168</v>
      </c>
      <c r="D204">
        <v>24.3</v>
      </c>
      <c r="E204">
        <v>16.100000000000001</v>
      </c>
      <c r="F204" s="126">
        <v>1.875</v>
      </c>
      <c r="G204" s="126"/>
      <c r="H204" s="126">
        <f t="shared" si="3"/>
        <v>1.8305324367134694</v>
      </c>
      <c r="I204" s="89">
        <v>174.78000000000003</v>
      </c>
      <c r="J204" s="126">
        <v>77.78854166666666</v>
      </c>
      <c r="K204" s="34">
        <v>374.39595015576145</v>
      </c>
    </row>
    <row r="205" spans="1:11" x14ac:dyDescent="0.3">
      <c r="A205" s="88" t="s">
        <v>481</v>
      </c>
      <c r="B205" s="24">
        <v>39285</v>
      </c>
      <c r="C205" s="32">
        <v>16.172203502102416</v>
      </c>
      <c r="D205">
        <v>21.6</v>
      </c>
      <c r="E205">
        <v>13.1</v>
      </c>
      <c r="F205" s="126">
        <v>11.33</v>
      </c>
      <c r="G205" s="126"/>
      <c r="H205" s="126">
        <f t="shared" si="3"/>
        <v>1.5080901913058991</v>
      </c>
      <c r="I205" s="89">
        <v>222.93000000000006</v>
      </c>
      <c r="J205" s="126">
        <v>87.45</v>
      </c>
      <c r="K205" s="34">
        <v>378.71451612903195</v>
      </c>
    </row>
    <row r="206" spans="1:11" x14ac:dyDescent="0.3">
      <c r="A206" s="88" t="s">
        <v>481</v>
      </c>
      <c r="B206" s="24">
        <v>39286</v>
      </c>
      <c r="C206" s="32">
        <v>16.897608144692125</v>
      </c>
      <c r="D206">
        <v>22</v>
      </c>
      <c r="E206">
        <v>11.6</v>
      </c>
      <c r="F206" s="126">
        <v>0.58499999999999996</v>
      </c>
      <c r="G206" s="126"/>
      <c r="H206" s="126">
        <f t="shared" si="3"/>
        <v>1.3664431264636057</v>
      </c>
      <c r="I206" s="89">
        <v>112.95000000000002</v>
      </c>
      <c r="J206" s="126">
        <v>81.21770833333332</v>
      </c>
      <c r="K206" s="34">
        <v>377.14175283923885</v>
      </c>
    </row>
    <row r="207" spans="1:11" x14ac:dyDescent="0.3">
      <c r="A207" s="88" t="s">
        <v>481</v>
      </c>
      <c r="B207" s="24">
        <v>39287</v>
      </c>
      <c r="C207" s="32">
        <v>9.1836587754161627</v>
      </c>
      <c r="D207">
        <v>19.5</v>
      </c>
      <c r="E207">
        <v>12.4</v>
      </c>
      <c r="F207" s="126">
        <v>9.1150000000000002</v>
      </c>
      <c r="G207" s="126"/>
      <c r="H207" s="126">
        <f t="shared" si="3"/>
        <v>1.4404604588486194</v>
      </c>
      <c r="I207" s="89">
        <v>379.71</v>
      </c>
      <c r="J207" s="126">
        <v>88.661458333333329</v>
      </c>
      <c r="K207" s="34">
        <v>367.66464435146264</v>
      </c>
    </row>
    <row r="208" spans="1:11" x14ac:dyDescent="0.3">
      <c r="A208" s="88" t="s">
        <v>481</v>
      </c>
      <c r="B208" s="24">
        <v>39288</v>
      </c>
      <c r="C208" s="32">
        <v>20.098928633143252</v>
      </c>
      <c r="D208">
        <v>22.7</v>
      </c>
      <c r="E208">
        <v>13.3</v>
      </c>
      <c r="F208" s="126">
        <v>0</v>
      </c>
      <c r="G208" s="126"/>
      <c r="H208" s="126">
        <f t="shared" si="3"/>
        <v>1.5279178496783383</v>
      </c>
      <c r="I208" s="89">
        <v>397.26000000000005</v>
      </c>
      <c r="J208" s="126">
        <v>73.363541666666706</v>
      </c>
      <c r="K208" s="34">
        <v>371.83399790136343</v>
      </c>
    </row>
    <row r="209" spans="1:11" x14ac:dyDescent="0.3">
      <c r="A209" s="88" t="s">
        <v>481</v>
      </c>
      <c r="B209" s="24">
        <v>39289</v>
      </c>
      <c r="C209" s="32">
        <v>19.405924197914867</v>
      </c>
      <c r="D209">
        <v>26.6</v>
      </c>
      <c r="E209">
        <v>14</v>
      </c>
      <c r="F209" s="126">
        <v>0</v>
      </c>
      <c r="G209" s="126"/>
      <c r="H209" s="126">
        <f t="shared" si="3"/>
        <v>1.5991283056791965</v>
      </c>
      <c r="I209" s="89">
        <v>176.13</v>
      </c>
      <c r="J209" s="126">
        <v>62.692708333333314</v>
      </c>
      <c r="K209" s="34">
        <v>373.17989473684213</v>
      </c>
    </row>
    <row r="210" spans="1:11" x14ac:dyDescent="0.3">
      <c r="A210" s="88" t="s">
        <v>481</v>
      </c>
      <c r="B210" s="24">
        <v>39290</v>
      </c>
      <c r="C210" s="32">
        <v>19.835226945452451</v>
      </c>
      <c r="D210">
        <v>22.6</v>
      </c>
      <c r="E210">
        <v>14.5</v>
      </c>
      <c r="F210" s="126">
        <v>1.41</v>
      </c>
      <c r="G210" s="126"/>
      <c r="H210" s="126">
        <f t="shared" si="3"/>
        <v>1.6517598297933815</v>
      </c>
      <c r="I210" s="89">
        <v>366.39</v>
      </c>
      <c r="J210" s="126">
        <v>65.486458333333331</v>
      </c>
      <c r="K210" s="34">
        <v>368.89321345962821</v>
      </c>
    </row>
    <row r="211" spans="1:11" x14ac:dyDescent="0.3">
      <c r="A211" s="88" t="s">
        <v>481</v>
      </c>
      <c r="B211" s="24">
        <v>39291</v>
      </c>
      <c r="C211" s="32">
        <v>8.6031550601923854</v>
      </c>
      <c r="D211">
        <v>20.6</v>
      </c>
      <c r="E211">
        <v>13.3</v>
      </c>
      <c r="F211" s="126">
        <v>5.4450000000000003</v>
      </c>
      <c r="G211" s="126"/>
      <c r="H211" s="126">
        <f t="shared" si="3"/>
        <v>1.5279178496783383</v>
      </c>
      <c r="I211" s="89">
        <v>204.39000000000004</v>
      </c>
      <c r="J211" s="126">
        <v>81.237499999999997</v>
      </c>
      <c r="K211" s="34">
        <v>378.67055084745755</v>
      </c>
    </row>
    <row r="212" spans="1:11" x14ac:dyDescent="0.3">
      <c r="A212" s="88" t="s">
        <v>481</v>
      </c>
      <c r="B212" s="24">
        <v>39292</v>
      </c>
      <c r="C212" s="32">
        <v>4.7988307125165601</v>
      </c>
      <c r="D212">
        <v>15.7</v>
      </c>
      <c r="E212">
        <v>11.4</v>
      </c>
      <c r="F212" s="126">
        <v>6.2750000000000004</v>
      </c>
      <c r="G212" s="126"/>
      <c r="H212" s="126">
        <f t="shared" si="3"/>
        <v>1.3484693686655054</v>
      </c>
      <c r="I212" s="89">
        <v>184.95</v>
      </c>
      <c r="J212" s="126">
        <v>88.905208333333334</v>
      </c>
      <c r="K212" s="34">
        <v>377.9105207226346</v>
      </c>
    </row>
    <row r="213" spans="1:11" x14ac:dyDescent="0.3">
      <c r="A213" s="88" t="s">
        <v>481</v>
      </c>
      <c r="B213" s="24">
        <v>39293</v>
      </c>
      <c r="C213" s="32">
        <v>15.469299003513623</v>
      </c>
      <c r="D213">
        <v>15.6</v>
      </c>
      <c r="E213">
        <v>9.6999999999999993</v>
      </c>
      <c r="F213" s="126">
        <v>1.5149999999999999</v>
      </c>
      <c r="G213" s="126"/>
      <c r="H213" s="126">
        <f t="shared" si="3"/>
        <v>1.2038879226915637</v>
      </c>
      <c r="I213" s="89">
        <v>488.88000000000022</v>
      </c>
      <c r="J213" s="126">
        <v>80.242708333333312</v>
      </c>
      <c r="K213" s="34">
        <v>368.59333688699297</v>
      </c>
    </row>
    <row r="214" spans="1:11" x14ac:dyDescent="0.3">
      <c r="A214" s="88" t="s">
        <v>481</v>
      </c>
      <c r="B214" s="24">
        <v>39294</v>
      </c>
      <c r="C214" s="32">
        <v>16.1011030470595</v>
      </c>
      <c r="D214">
        <v>17.8</v>
      </c>
      <c r="E214">
        <v>11.1</v>
      </c>
      <c r="F214" s="126">
        <v>2.5000000000000001E-2</v>
      </c>
      <c r="G214" s="126"/>
      <c r="H214" s="126">
        <f t="shared" si="3"/>
        <v>1.3218981992116727</v>
      </c>
      <c r="I214" s="89">
        <v>399.77999999999986</v>
      </c>
      <c r="J214" s="126">
        <v>74.792708333333351</v>
      </c>
      <c r="K214" s="34">
        <v>369.85770053475881</v>
      </c>
    </row>
    <row r="215" spans="1:11" x14ac:dyDescent="0.3">
      <c r="A215" s="88" t="s">
        <v>481</v>
      </c>
      <c r="B215" s="24">
        <v>39295</v>
      </c>
      <c r="C215" s="32">
        <v>25.223561430793158</v>
      </c>
      <c r="D215">
        <v>21.7</v>
      </c>
      <c r="E215">
        <v>9.1999999999999993</v>
      </c>
      <c r="F215" s="126">
        <v>5.0000000000000001E-3</v>
      </c>
      <c r="G215" s="126"/>
      <c r="H215" s="126">
        <f t="shared" si="3"/>
        <v>1.16404559315309</v>
      </c>
      <c r="I215" s="89">
        <v>159.30000000000001</v>
      </c>
      <c r="J215" s="126">
        <v>69.235416666666666</v>
      </c>
      <c r="K215" s="34">
        <v>371.98893662728244</v>
      </c>
    </row>
    <row r="216" spans="1:11" x14ac:dyDescent="0.3">
      <c r="A216" s="88" t="s">
        <v>481</v>
      </c>
      <c r="B216" s="24">
        <v>39296</v>
      </c>
      <c r="C216" s="32">
        <v>6.8283437013996888</v>
      </c>
      <c r="D216">
        <v>19.8</v>
      </c>
      <c r="E216">
        <v>13</v>
      </c>
      <c r="F216" s="126">
        <v>10.15</v>
      </c>
      <c r="G216" s="126"/>
      <c r="H216" s="126">
        <f t="shared" si="3"/>
        <v>1.498261331998219</v>
      </c>
      <c r="I216" s="89">
        <v>206.18999999999997</v>
      </c>
      <c r="J216" s="126">
        <v>78.494791666666643</v>
      </c>
      <c r="K216" s="34">
        <v>378.93872718808274</v>
      </c>
    </row>
    <row r="217" spans="1:11" x14ac:dyDescent="0.3">
      <c r="A217" s="88" t="s">
        <v>481</v>
      </c>
      <c r="B217" s="24">
        <v>39297</v>
      </c>
      <c r="C217" s="32">
        <v>20.070128448822071</v>
      </c>
      <c r="D217">
        <v>20.9</v>
      </c>
      <c r="E217">
        <v>13</v>
      </c>
      <c r="F217" s="126">
        <v>5.0000000000000001E-3</v>
      </c>
      <c r="G217" s="126"/>
      <c r="H217" s="126">
        <f t="shared" si="3"/>
        <v>1.498261331998219</v>
      </c>
      <c r="I217" s="89">
        <v>287.45999999999992</v>
      </c>
      <c r="J217" s="126">
        <v>76.351041666666688</v>
      </c>
      <c r="K217" s="34">
        <v>374.12603769469911</v>
      </c>
    </row>
    <row r="218" spans="1:11" x14ac:dyDescent="0.3">
      <c r="A218" s="88" t="s">
        <v>481</v>
      </c>
      <c r="B218" s="24">
        <v>39298</v>
      </c>
      <c r="C218" s="32">
        <v>21.846739819134843</v>
      </c>
      <c r="D218">
        <v>24.4</v>
      </c>
      <c r="E218">
        <v>11.2</v>
      </c>
      <c r="F218" s="126">
        <v>5.0000000000000001E-3</v>
      </c>
      <c r="G218" s="126"/>
      <c r="H218" s="126">
        <f t="shared" si="3"/>
        <v>1.3307036698161701</v>
      </c>
      <c r="I218" s="89">
        <v>175.05000000000007</v>
      </c>
      <c r="J218" s="126">
        <v>68.840625000000003</v>
      </c>
      <c r="K218" s="34">
        <v>376.85732899022742</v>
      </c>
    </row>
    <row r="219" spans="1:11" x14ac:dyDescent="0.3">
      <c r="A219" s="88" t="s">
        <v>481</v>
      </c>
      <c r="B219" s="24">
        <v>39299</v>
      </c>
      <c r="C219" s="32">
        <v>24.961659754622431</v>
      </c>
      <c r="D219">
        <v>27.1</v>
      </c>
      <c r="E219">
        <v>15.2</v>
      </c>
      <c r="F219" s="126">
        <v>0</v>
      </c>
      <c r="G219" s="126"/>
      <c r="H219" s="126">
        <f t="shared" si="3"/>
        <v>1.7279944907780873</v>
      </c>
      <c r="I219" s="89">
        <v>247.49999999999994</v>
      </c>
      <c r="J219" s="126">
        <v>59.798958333333353</v>
      </c>
      <c r="K219" s="34">
        <v>380.41403699673555</v>
      </c>
    </row>
    <row r="220" spans="1:11" x14ac:dyDescent="0.3">
      <c r="A220" s="88" t="s">
        <v>481</v>
      </c>
      <c r="B220" s="24">
        <v>39300</v>
      </c>
      <c r="C220" s="32">
        <v>25.737464719774209</v>
      </c>
      <c r="D220">
        <v>28.3</v>
      </c>
      <c r="E220">
        <v>16.5</v>
      </c>
      <c r="F220" s="126">
        <v>0</v>
      </c>
      <c r="G220" s="126"/>
      <c r="H220" s="126">
        <f t="shared" si="3"/>
        <v>1.8777904954698514</v>
      </c>
      <c r="I220" s="89">
        <v>264.06</v>
      </c>
      <c r="J220" s="126">
        <v>52.613541666666684</v>
      </c>
      <c r="K220" s="34">
        <v>378.09349726775923</v>
      </c>
    </row>
    <row r="221" spans="1:11" x14ac:dyDescent="0.3">
      <c r="A221" s="88" t="s">
        <v>481</v>
      </c>
      <c r="B221" s="24">
        <v>39301</v>
      </c>
      <c r="C221" s="32">
        <v>20.454430908357814</v>
      </c>
      <c r="D221">
        <v>25.9</v>
      </c>
      <c r="E221">
        <v>14.2</v>
      </c>
      <c r="F221" s="126">
        <v>5.0000000000000001E-3</v>
      </c>
      <c r="G221" s="126"/>
      <c r="H221" s="126">
        <f t="shared" si="3"/>
        <v>1.6200016491976139</v>
      </c>
      <c r="I221" s="89">
        <v>218.70000000000002</v>
      </c>
      <c r="J221" s="126">
        <v>77.432291666666714</v>
      </c>
      <c r="K221" s="34">
        <v>394.6525219298253</v>
      </c>
    </row>
    <row r="222" spans="1:11" x14ac:dyDescent="0.3">
      <c r="A222" s="88" t="s">
        <v>481</v>
      </c>
      <c r="B222" s="24">
        <v>39302</v>
      </c>
      <c r="C222" s="32">
        <v>5.0949326075686887</v>
      </c>
      <c r="D222">
        <v>18.3</v>
      </c>
      <c r="E222">
        <v>15.2</v>
      </c>
      <c r="F222" s="126">
        <v>0</v>
      </c>
      <c r="G222" s="126"/>
      <c r="H222" s="126">
        <f t="shared" si="3"/>
        <v>1.7279944907780873</v>
      </c>
      <c r="I222" s="89">
        <v>260.09999999999997</v>
      </c>
      <c r="J222" s="126">
        <v>92.329166666666652</v>
      </c>
      <c r="K222" s="34">
        <v>377.05545154184978</v>
      </c>
    </row>
    <row r="223" spans="1:11" x14ac:dyDescent="0.3">
      <c r="A223" s="88" t="s">
        <v>481</v>
      </c>
      <c r="B223" s="24">
        <v>39303</v>
      </c>
      <c r="C223" s="32">
        <v>19.886527273774551</v>
      </c>
      <c r="D223">
        <v>28.8</v>
      </c>
      <c r="E223">
        <v>16.2</v>
      </c>
      <c r="F223" s="126">
        <v>5.0000000000000001E-3</v>
      </c>
      <c r="G223" s="126"/>
      <c r="H223" s="126">
        <f t="shared" si="3"/>
        <v>1.842248157637969</v>
      </c>
      <c r="I223" s="89">
        <v>230.94000000000011</v>
      </c>
      <c r="J223" s="126">
        <v>80.322916666666657</v>
      </c>
      <c r="K223" s="34">
        <v>371.87112831858366</v>
      </c>
    </row>
    <row r="224" spans="1:11" x14ac:dyDescent="0.3">
      <c r="A224" s="88" t="s">
        <v>481</v>
      </c>
      <c r="B224" s="24">
        <v>39304</v>
      </c>
      <c r="C224" s="32">
        <v>4.7907306606762283</v>
      </c>
      <c r="D224">
        <v>21.1</v>
      </c>
      <c r="E224">
        <v>16</v>
      </c>
      <c r="F224" s="126">
        <v>13.484999999999999</v>
      </c>
      <c r="G224" s="126"/>
      <c r="H224" s="126">
        <f t="shared" si="3"/>
        <v>1.8188820592283421</v>
      </c>
      <c r="I224" s="89">
        <v>222.92999999999995</v>
      </c>
      <c r="J224" s="126">
        <v>93.946875000000006</v>
      </c>
      <c r="K224" s="34">
        <v>387.78568257491781</v>
      </c>
    </row>
    <row r="225" spans="1:11" x14ac:dyDescent="0.3">
      <c r="A225" s="88" t="s">
        <v>481</v>
      </c>
      <c r="B225" s="24">
        <v>39305</v>
      </c>
      <c r="C225" s="32">
        <v>7.2144461724555038</v>
      </c>
      <c r="D225">
        <v>20.9</v>
      </c>
      <c r="E225">
        <v>14.6</v>
      </c>
      <c r="F225" s="126">
        <v>9.2100000000000009</v>
      </c>
      <c r="G225" s="126"/>
      <c r="H225" s="126">
        <f t="shared" si="3"/>
        <v>1.6624665597000106</v>
      </c>
      <c r="I225" s="89">
        <v>389.70000000000005</v>
      </c>
      <c r="J225" s="126">
        <v>85.261458333333323</v>
      </c>
      <c r="K225" s="34">
        <v>367.44836272196852</v>
      </c>
    </row>
    <row r="226" spans="1:11" x14ac:dyDescent="0.3">
      <c r="A226" s="88" t="s">
        <v>481</v>
      </c>
      <c r="B226" s="24">
        <v>39306</v>
      </c>
      <c r="C226" s="32">
        <v>19.65162577040493</v>
      </c>
      <c r="D226">
        <v>22.3</v>
      </c>
      <c r="E226">
        <v>11.6</v>
      </c>
      <c r="F226" s="126">
        <v>0</v>
      </c>
      <c r="G226" s="126"/>
      <c r="H226" s="126">
        <f t="shared" si="3"/>
        <v>1.3664431264636057</v>
      </c>
      <c r="I226" s="89">
        <v>181.71</v>
      </c>
      <c r="J226" s="126">
        <v>78.419791666666711</v>
      </c>
      <c r="K226" s="34">
        <v>368.77402015677512</v>
      </c>
    </row>
    <row r="227" spans="1:11" x14ac:dyDescent="0.3">
      <c r="A227" s="88" t="s">
        <v>481</v>
      </c>
      <c r="B227" s="24">
        <v>39307</v>
      </c>
      <c r="C227" s="32">
        <v>11.019253681118297</v>
      </c>
      <c r="D227">
        <v>22.6</v>
      </c>
      <c r="E227">
        <v>12.1</v>
      </c>
      <c r="F227" s="126">
        <v>0</v>
      </c>
      <c r="G227" s="126"/>
      <c r="H227" s="126">
        <f t="shared" si="3"/>
        <v>1.4123014242757443</v>
      </c>
      <c r="I227" s="89">
        <v>153.97389473684211</v>
      </c>
      <c r="J227" s="126">
        <v>75.538947368421034</v>
      </c>
      <c r="K227" s="34">
        <v>384.15280898876404</v>
      </c>
    </row>
    <row r="228" spans="1:11" x14ac:dyDescent="0.3">
      <c r="A228" s="88" t="s">
        <v>481</v>
      </c>
      <c r="B228" s="24">
        <v>39308</v>
      </c>
      <c r="C228" s="32">
        <v>23.027547376303207</v>
      </c>
      <c r="D228">
        <v>24.7</v>
      </c>
      <c r="E228">
        <v>11.4</v>
      </c>
      <c r="F228" s="126">
        <v>0</v>
      </c>
      <c r="G228" s="126"/>
      <c r="H228" s="126">
        <f t="shared" si="3"/>
        <v>1.3484693686655054</v>
      </c>
      <c r="I228" s="89">
        <v>129.32999999999998</v>
      </c>
      <c r="J228" s="126">
        <v>65.970833333333346</v>
      </c>
      <c r="K228" s="34">
        <v>373.56259887005592</v>
      </c>
    </row>
    <row r="229" spans="1:11" x14ac:dyDescent="0.3">
      <c r="A229" s="88" t="s">
        <v>481</v>
      </c>
      <c r="B229" s="24">
        <v>39309</v>
      </c>
      <c r="C229" s="32">
        <v>12.507380047232301</v>
      </c>
      <c r="D229">
        <v>26.6</v>
      </c>
      <c r="E229">
        <v>18.100000000000001</v>
      </c>
      <c r="F229" s="126">
        <v>0.68</v>
      </c>
      <c r="G229" s="126"/>
      <c r="H229" s="126">
        <f t="shared" si="3"/>
        <v>2.0776827112717497</v>
      </c>
      <c r="I229" s="89">
        <v>246.51</v>
      </c>
      <c r="J229" s="126">
        <v>71.752083333333317</v>
      </c>
      <c r="K229" s="34">
        <v>369.56111111111034</v>
      </c>
    </row>
    <row r="230" spans="1:11" x14ac:dyDescent="0.3">
      <c r="A230" s="88" t="s">
        <v>481</v>
      </c>
      <c r="B230" s="24">
        <v>39310</v>
      </c>
      <c r="C230" s="32">
        <v>13.36958556534762</v>
      </c>
      <c r="D230">
        <v>21.4</v>
      </c>
      <c r="E230">
        <v>13</v>
      </c>
      <c r="F230" s="126">
        <v>6.45</v>
      </c>
      <c r="G230" s="126"/>
      <c r="H230" s="126">
        <f t="shared" si="3"/>
        <v>1.498261331998219</v>
      </c>
      <c r="I230" s="89">
        <v>299.88000000000017</v>
      </c>
      <c r="J230" s="126">
        <v>76.447916666666671</v>
      </c>
      <c r="K230" s="34">
        <v>370.32408883826861</v>
      </c>
    </row>
    <row r="231" spans="1:11" x14ac:dyDescent="0.3">
      <c r="A231" s="88" t="s">
        <v>481</v>
      </c>
      <c r="B231" s="24">
        <v>39311</v>
      </c>
      <c r="C231" s="32">
        <v>14.767294510684868</v>
      </c>
      <c r="D231">
        <v>19.899999999999999</v>
      </c>
      <c r="E231">
        <v>11.8</v>
      </c>
      <c r="F231" s="126">
        <v>2.0950000000000002</v>
      </c>
      <c r="G231" s="126"/>
      <c r="H231" s="126">
        <f t="shared" si="3"/>
        <v>1.3846270162501679</v>
      </c>
      <c r="I231" s="89">
        <v>223.92000000000002</v>
      </c>
      <c r="J231" s="126">
        <v>76.23645833333336</v>
      </c>
      <c r="K231" s="34">
        <v>394.34446666666707</v>
      </c>
    </row>
    <row r="232" spans="1:11" x14ac:dyDescent="0.3">
      <c r="A232" s="88" t="s">
        <v>481</v>
      </c>
      <c r="B232" s="24">
        <v>39312</v>
      </c>
      <c r="C232" s="32">
        <v>18.280916997868786</v>
      </c>
      <c r="D232">
        <v>20.5</v>
      </c>
      <c r="E232">
        <v>10.3</v>
      </c>
      <c r="F232" s="126">
        <v>0</v>
      </c>
      <c r="G232" s="126"/>
      <c r="H232" s="126">
        <f t="shared" si="3"/>
        <v>1.2532780017936267</v>
      </c>
      <c r="I232" s="89">
        <v>115.55999999999999</v>
      </c>
      <c r="J232" s="126">
        <v>77.186458333333363</v>
      </c>
      <c r="K232" s="34"/>
    </row>
    <row r="233" spans="1:11" x14ac:dyDescent="0.3">
      <c r="A233" s="88" t="s">
        <v>481</v>
      </c>
      <c r="B233" s="24">
        <v>39313</v>
      </c>
      <c r="C233" s="32">
        <v>15.210997350383044</v>
      </c>
      <c r="D233">
        <v>24.2</v>
      </c>
      <c r="E233">
        <v>11.6</v>
      </c>
      <c r="F233" s="126">
        <v>9.125</v>
      </c>
      <c r="G233" s="126"/>
      <c r="H233" s="126">
        <f t="shared" si="3"/>
        <v>1.3664431264636057</v>
      </c>
      <c r="I233" s="89">
        <v>127.52999999999997</v>
      </c>
      <c r="J233" s="126">
        <v>69.506249999999994</v>
      </c>
      <c r="K233" s="34"/>
    </row>
    <row r="234" spans="1:11" x14ac:dyDescent="0.3">
      <c r="A234" s="88" t="s">
        <v>481</v>
      </c>
      <c r="B234" s="24">
        <v>39314</v>
      </c>
      <c r="C234" s="32">
        <v>19.716426185127585</v>
      </c>
      <c r="D234">
        <v>22.2</v>
      </c>
      <c r="E234">
        <v>12.9</v>
      </c>
      <c r="F234" s="126">
        <v>7.0000000000000007E-2</v>
      </c>
      <c r="G234" s="126"/>
      <c r="H234" s="126">
        <f t="shared" si="3"/>
        <v>1.4884887514247067</v>
      </c>
      <c r="I234" s="89">
        <v>139.67999999999998</v>
      </c>
      <c r="J234" s="126">
        <v>77.417708333333351</v>
      </c>
      <c r="K234" s="34"/>
    </row>
    <row r="235" spans="1:11" x14ac:dyDescent="0.3">
      <c r="A235" s="88" t="s">
        <v>481</v>
      </c>
      <c r="B235" s="24">
        <v>39315</v>
      </c>
      <c r="C235" s="32">
        <v>2.598316629226427</v>
      </c>
      <c r="D235">
        <v>19</v>
      </c>
      <c r="E235">
        <v>13.7</v>
      </c>
      <c r="F235" s="126">
        <v>26.785</v>
      </c>
      <c r="G235" s="126"/>
      <c r="H235" s="126">
        <f t="shared" si="3"/>
        <v>1.568260711501982</v>
      </c>
      <c r="I235" s="89">
        <v>277.64999999999998</v>
      </c>
      <c r="J235" s="126">
        <v>92.772916666666632</v>
      </c>
      <c r="K235" s="34"/>
    </row>
    <row r="236" spans="1:11" x14ac:dyDescent="0.3">
      <c r="A236" s="88" t="s">
        <v>481</v>
      </c>
      <c r="B236" s="24">
        <v>39316</v>
      </c>
      <c r="C236" s="32">
        <v>14.491892748113587</v>
      </c>
      <c r="D236">
        <v>22.9</v>
      </c>
      <c r="E236">
        <v>14.7</v>
      </c>
      <c r="F236" s="126">
        <v>1.51</v>
      </c>
      <c r="G236" s="126"/>
      <c r="H236" s="126">
        <f t="shared" si="3"/>
        <v>1.673234110655023</v>
      </c>
      <c r="I236" s="89">
        <v>130.76999999999992</v>
      </c>
      <c r="J236" s="126">
        <v>82.37708333333336</v>
      </c>
      <c r="K236" s="34"/>
    </row>
    <row r="237" spans="1:11" x14ac:dyDescent="0.3">
      <c r="A237" s="88" t="s">
        <v>481</v>
      </c>
      <c r="B237" s="24">
        <v>39317</v>
      </c>
      <c r="C237" s="32">
        <v>11.087170957894131</v>
      </c>
      <c r="D237">
        <v>22.7</v>
      </c>
      <c r="E237">
        <v>12.9</v>
      </c>
      <c r="F237" s="126">
        <v>17.524999999999999</v>
      </c>
      <c r="G237" s="126"/>
      <c r="H237" s="126">
        <f t="shared" si="3"/>
        <v>1.4884887514247067</v>
      </c>
      <c r="I237" s="89">
        <v>111.32999999999996</v>
      </c>
      <c r="J237" s="126">
        <v>90.47083333333336</v>
      </c>
      <c r="K237" s="34"/>
    </row>
    <row r="238" spans="1:11" x14ac:dyDescent="0.3">
      <c r="A238" s="88" t="s">
        <v>481</v>
      </c>
      <c r="B238" s="24">
        <v>39318</v>
      </c>
      <c r="C238" s="32">
        <v>15.988602327054894</v>
      </c>
      <c r="D238">
        <v>24</v>
      </c>
      <c r="E238">
        <v>15.5</v>
      </c>
      <c r="F238" s="126">
        <v>6.7350000000000003</v>
      </c>
      <c r="G238" s="126"/>
      <c r="H238" s="126">
        <f t="shared" si="3"/>
        <v>1.7615995264429876</v>
      </c>
      <c r="I238" s="89">
        <v>133.02000000000001</v>
      </c>
      <c r="J238" s="126">
        <v>84.880208333333343</v>
      </c>
      <c r="K238" s="34"/>
    </row>
    <row r="239" spans="1:11" x14ac:dyDescent="0.3">
      <c r="A239" s="88" t="s">
        <v>481</v>
      </c>
      <c r="B239" s="24">
        <v>39319</v>
      </c>
      <c r="C239" s="32">
        <v>14.09229019065722</v>
      </c>
      <c r="D239">
        <v>23.8</v>
      </c>
      <c r="E239">
        <v>14.5</v>
      </c>
      <c r="F239" s="126">
        <v>0</v>
      </c>
      <c r="G239" s="126"/>
      <c r="H239" s="126">
        <f t="shared" si="3"/>
        <v>1.6517598297933815</v>
      </c>
      <c r="I239" s="89">
        <v>212.04000000000011</v>
      </c>
      <c r="J239" s="126">
        <v>82.792708333333337</v>
      </c>
      <c r="K239" s="34"/>
    </row>
    <row r="240" spans="1:11" x14ac:dyDescent="0.3">
      <c r="A240" s="88" t="s">
        <v>481</v>
      </c>
      <c r="B240" s="24">
        <v>39320</v>
      </c>
      <c r="C240" s="32">
        <v>14.145390530499395</v>
      </c>
      <c r="D240">
        <v>22.6</v>
      </c>
      <c r="E240">
        <v>13.3</v>
      </c>
      <c r="F240" s="126">
        <v>0</v>
      </c>
      <c r="G240" s="126"/>
      <c r="H240" s="126">
        <f t="shared" si="3"/>
        <v>1.5279178496783383</v>
      </c>
      <c r="I240" s="89">
        <v>284.31</v>
      </c>
      <c r="J240" s="126">
        <v>78.408333333333317</v>
      </c>
      <c r="K240" s="34"/>
    </row>
    <row r="241" spans="1:11" x14ac:dyDescent="0.3">
      <c r="A241" s="88" t="s">
        <v>481</v>
      </c>
      <c r="B241" s="24">
        <v>39321</v>
      </c>
      <c r="C241" s="32">
        <v>12.922282702609296</v>
      </c>
      <c r="D241">
        <v>17.7</v>
      </c>
      <c r="E241">
        <v>12.3</v>
      </c>
      <c r="F241" s="126">
        <v>0</v>
      </c>
      <c r="G241" s="126"/>
      <c r="H241" s="126">
        <f t="shared" si="3"/>
        <v>1.4310198233396516</v>
      </c>
      <c r="I241" s="89">
        <v>232.82999999999998</v>
      </c>
      <c r="J241" s="126">
        <v>72.619791666666671</v>
      </c>
      <c r="K241" s="34">
        <v>367.07924528301891</v>
      </c>
    </row>
    <row r="242" spans="1:11" x14ac:dyDescent="0.3">
      <c r="A242" s="88" t="s">
        <v>481</v>
      </c>
      <c r="B242" s="24">
        <v>39322</v>
      </c>
      <c r="C242" s="32">
        <v>15.322598064627615</v>
      </c>
      <c r="D242">
        <v>17.399999999999999</v>
      </c>
      <c r="E242">
        <v>8.5</v>
      </c>
      <c r="F242" s="126">
        <v>5.0000000000000001E-3</v>
      </c>
      <c r="G242" s="126"/>
      <c r="H242" s="126">
        <f t="shared" si="3"/>
        <v>1.110216300480029</v>
      </c>
      <c r="I242" s="89">
        <v>184.58999999999986</v>
      </c>
      <c r="J242" s="126">
        <v>76.0677083333333</v>
      </c>
      <c r="K242" s="34">
        <v>371.62737094837917</v>
      </c>
    </row>
    <row r="243" spans="1:11" x14ac:dyDescent="0.3">
      <c r="A243" s="88" t="s">
        <v>481</v>
      </c>
      <c r="B243" s="24">
        <v>39323</v>
      </c>
      <c r="C243" s="32">
        <v>16.947108461494153</v>
      </c>
      <c r="D243">
        <v>17</v>
      </c>
      <c r="E243">
        <v>6.2</v>
      </c>
      <c r="F243" s="126">
        <v>0.01</v>
      </c>
      <c r="G243" s="126"/>
      <c r="H243" s="126">
        <f t="shared" si="3"/>
        <v>0.94844700173703456</v>
      </c>
      <c r="I243" s="89">
        <v>99.990000000000009</v>
      </c>
      <c r="J243" s="126">
        <v>79.668750000000003</v>
      </c>
      <c r="K243" s="34">
        <v>391.58710156853715</v>
      </c>
    </row>
    <row r="244" spans="1:11" x14ac:dyDescent="0.3">
      <c r="A244" s="88" t="s">
        <v>481</v>
      </c>
      <c r="B244" s="24">
        <v>39324</v>
      </c>
      <c r="C244" s="32">
        <v>12.034877023212948</v>
      </c>
      <c r="D244">
        <v>17.2</v>
      </c>
      <c r="E244">
        <v>7.5</v>
      </c>
      <c r="F244" s="126">
        <v>1.895</v>
      </c>
      <c r="G244" s="126"/>
      <c r="H244" s="126">
        <f t="shared" si="3"/>
        <v>1.0371194102680934</v>
      </c>
      <c r="I244" s="89">
        <v>313.46999999999997</v>
      </c>
      <c r="J244" s="126">
        <v>81.789583333333368</v>
      </c>
      <c r="K244" s="34">
        <v>372.75842424242296</v>
      </c>
    </row>
    <row r="245" spans="1:11" x14ac:dyDescent="0.3">
      <c r="A245" s="88" t="s">
        <v>481</v>
      </c>
      <c r="B245" s="24">
        <v>39325</v>
      </c>
      <c r="C245" s="32">
        <v>6.6564426012326487</v>
      </c>
      <c r="D245">
        <v>17.899999999999999</v>
      </c>
      <c r="E245">
        <v>12.9</v>
      </c>
      <c r="F245" s="126">
        <v>6.9</v>
      </c>
      <c r="G245" s="126"/>
      <c r="H245" s="126">
        <f t="shared" si="3"/>
        <v>1.4884887514247067</v>
      </c>
      <c r="I245" s="89">
        <v>326.15999999999997</v>
      </c>
      <c r="J245" s="126">
        <v>88.835416666666674</v>
      </c>
      <c r="K245" s="34">
        <v>372.14129346965331</v>
      </c>
    </row>
    <row r="246" spans="1:11" x14ac:dyDescent="0.3">
      <c r="A246" s="88" t="s">
        <v>481</v>
      </c>
      <c r="B246" s="24">
        <v>39326</v>
      </c>
      <c r="C246" s="32">
        <v>13.792588272564943</v>
      </c>
      <c r="D246">
        <v>19.399999999999999</v>
      </c>
      <c r="E246">
        <v>12.4</v>
      </c>
      <c r="F246" s="126">
        <v>0.27500000000000002</v>
      </c>
      <c r="G246" s="126"/>
      <c r="H246" s="126">
        <f t="shared" si="3"/>
        <v>1.4404604588486194</v>
      </c>
      <c r="I246" s="89">
        <v>260.45999999999992</v>
      </c>
      <c r="J246" s="126">
        <v>84.496875000000003</v>
      </c>
      <c r="K246" s="34">
        <v>372.30385556915559</v>
      </c>
    </row>
    <row r="247" spans="1:11" x14ac:dyDescent="0.3">
      <c r="A247" s="88" t="s">
        <v>481</v>
      </c>
      <c r="B247" s="24">
        <v>39327</v>
      </c>
      <c r="C247" s="32">
        <v>12.027676977132655</v>
      </c>
      <c r="D247">
        <v>19.8</v>
      </c>
      <c r="E247">
        <v>12.4</v>
      </c>
      <c r="F247" s="126">
        <v>0</v>
      </c>
      <c r="G247" s="126"/>
      <c r="H247" s="126">
        <f t="shared" si="3"/>
        <v>1.4404604588486194</v>
      </c>
      <c r="I247" s="89">
        <v>270.08999999999997</v>
      </c>
      <c r="J247" s="126">
        <v>79.896874999999994</v>
      </c>
      <c r="K247" s="34">
        <v>375.38173431734344</v>
      </c>
    </row>
    <row r="248" spans="1:11" x14ac:dyDescent="0.3">
      <c r="A248" s="88" t="s">
        <v>481</v>
      </c>
      <c r="B248" s="24">
        <v>39328</v>
      </c>
      <c r="C248" s="32">
        <v>9.2439591613386316</v>
      </c>
      <c r="D248">
        <v>16.3</v>
      </c>
      <c r="E248">
        <v>10.5</v>
      </c>
      <c r="F248" s="126">
        <v>17.989999999999998</v>
      </c>
      <c r="G248" s="126"/>
      <c r="H248" s="126">
        <f t="shared" si="3"/>
        <v>1.2701326466613394</v>
      </c>
      <c r="I248" s="89">
        <v>287.28000000000003</v>
      </c>
      <c r="J248" s="126">
        <v>84.140625</v>
      </c>
      <c r="K248" s="34">
        <v>366.21440049443675</v>
      </c>
    </row>
    <row r="249" spans="1:11" x14ac:dyDescent="0.3">
      <c r="A249" s="88" t="s">
        <v>481</v>
      </c>
      <c r="B249" s="24">
        <v>39329</v>
      </c>
      <c r="C249" s="32">
        <v>17.287310638788089</v>
      </c>
      <c r="D249">
        <v>16.100000000000001</v>
      </c>
      <c r="E249">
        <v>8.4</v>
      </c>
      <c r="F249" s="126">
        <v>0.52</v>
      </c>
      <c r="G249" s="126"/>
      <c r="H249" s="126">
        <f t="shared" si="3"/>
        <v>1.1027080638918816</v>
      </c>
      <c r="I249" s="89">
        <v>434.87999999999994</v>
      </c>
      <c r="J249" s="126">
        <v>72.838541666666686</v>
      </c>
      <c r="K249" s="34">
        <v>366.80105590062112</v>
      </c>
    </row>
    <row r="250" spans="1:11" x14ac:dyDescent="0.3">
      <c r="A250" s="88" t="s">
        <v>481</v>
      </c>
      <c r="B250" s="24">
        <v>39330</v>
      </c>
      <c r="C250" s="32">
        <v>14.77269454524509</v>
      </c>
      <c r="D250">
        <v>17.100000000000001</v>
      </c>
      <c r="E250">
        <v>7.6</v>
      </c>
      <c r="F250" s="126">
        <v>0</v>
      </c>
      <c r="G250" s="126"/>
      <c r="H250" s="126">
        <f t="shared" si="3"/>
        <v>1.0442332464842816</v>
      </c>
      <c r="I250" s="89">
        <v>233.19</v>
      </c>
      <c r="J250" s="126">
        <v>74.755208333333329</v>
      </c>
      <c r="K250" s="34">
        <v>373.90037453183515</v>
      </c>
    </row>
    <row r="251" spans="1:11" x14ac:dyDescent="0.3">
      <c r="A251" s="88" t="s">
        <v>481</v>
      </c>
      <c r="B251" s="24">
        <v>39331</v>
      </c>
      <c r="C251" s="32">
        <v>10.578667703473302</v>
      </c>
      <c r="D251">
        <v>19.8</v>
      </c>
      <c r="E251">
        <v>10.3</v>
      </c>
      <c r="F251" s="126">
        <v>0.495</v>
      </c>
      <c r="G251" s="126"/>
      <c r="H251" s="126">
        <f t="shared" si="3"/>
        <v>1.2532780017936267</v>
      </c>
      <c r="I251" s="89">
        <v>242.28000000000006</v>
      </c>
      <c r="J251" s="126">
        <v>81.402083333333309</v>
      </c>
      <c r="K251" s="34">
        <v>381.43883312421519</v>
      </c>
    </row>
    <row r="252" spans="1:11" x14ac:dyDescent="0.3">
      <c r="A252" s="88" t="s">
        <v>481</v>
      </c>
      <c r="B252" s="24">
        <v>39332</v>
      </c>
      <c r="C252" s="32">
        <v>6.96874459996544</v>
      </c>
      <c r="D252">
        <v>17.5</v>
      </c>
      <c r="E252">
        <v>12.9</v>
      </c>
      <c r="F252" s="126">
        <v>0.03</v>
      </c>
      <c r="G252" s="126"/>
      <c r="H252" s="126">
        <f t="shared" si="3"/>
        <v>1.4884887514247067</v>
      </c>
      <c r="I252" s="89">
        <v>325.79999999999995</v>
      </c>
      <c r="J252" s="126">
        <v>83.777083333333337</v>
      </c>
      <c r="K252" s="34">
        <v>374.15145018915416</v>
      </c>
    </row>
    <row r="253" spans="1:11" x14ac:dyDescent="0.3">
      <c r="A253" s="88" t="s">
        <v>481</v>
      </c>
      <c r="B253" s="24">
        <v>39333</v>
      </c>
      <c r="C253" s="32">
        <v>5.7375367202350098</v>
      </c>
      <c r="D253">
        <v>17.8</v>
      </c>
      <c r="E253">
        <v>13.1</v>
      </c>
      <c r="F253" s="126">
        <v>1.835</v>
      </c>
      <c r="G253" s="126"/>
      <c r="H253" s="126">
        <f t="shared" si="3"/>
        <v>1.5080901913058991</v>
      </c>
      <c r="I253" s="89">
        <v>371.33999999999992</v>
      </c>
      <c r="J253" s="126">
        <v>89.909374999999997</v>
      </c>
      <c r="K253" s="34">
        <v>375.27981012658165</v>
      </c>
    </row>
    <row r="254" spans="1:11" x14ac:dyDescent="0.3">
      <c r="A254" s="88" t="s">
        <v>481</v>
      </c>
      <c r="B254" s="24">
        <v>39334</v>
      </c>
      <c r="C254" s="32">
        <v>11.220371810379588</v>
      </c>
      <c r="D254">
        <v>17</v>
      </c>
      <c r="E254">
        <v>11.8</v>
      </c>
      <c r="F254" s="126">
        <v>0.16</v>
      </c>
      <c r="G254" s="126"/>
      <c r="H254" s="126">
        <f t="shared" si="3"/>
        <v>1.3846270162501679</v>
      </c>
      <c r="I254" s="89">
        <v>390.06000000000017</v>
      </c>
      <c r="J254" s="126">
        <v>81.541666666666643</v>
      </c>
      <c r="K254" s="34">
        <v>365.16081424936374</v>
      </c>
    </row>
    <row r="255" spans="1:11" x14ac:dyDescent="0.3">
      <c r="A255" s="88" t="s">
        <v>481</v>
      </c>
      <c r="B255" s="24">
        <v>39335</v>
      </c>
      <c r="C255" s="32">
        <v>5.2551336328552498</v>
      </c>
      <c r="D255">
        <v>15.3</v>
      </c>
      <c r="E255">
        <v>11.2</v>
      </c>
      <c r="F255" s="126">
        <v>13.164999999999999</v>
      </c>
      <c r="G255" s="126"/>
      <c r="H255" s="126">
        <f t="shared" si="3"/>
        <v>1.3307036698161701</v>
      </c>
      <c r="I255" s="89">
        <v>366.20999999999992</v>
      </c>
      <c r="J255" s="126">
        <v>85.751041666666666</v>
      </c>
      <c r="K255" s="34">
        <v>371.03860435339254</v>
      </c>
    </row>
    <row r="256" spans="1:11" x14ac:dyDescent="0.3">
      <c r="A256" s="88" t="s">
        <v>481</v>
      </c>
      <c r="B256" s="24">
        <v>39336</v>
      </c>
      <c r="C256" s="32">
        <v>12.398479350267841</v>
      </c>
      <c r="D256">
        <v>17.600000000000001</v>
      </c>
      <c r="E256">
        <v>11.2</v>
      </c>
      <c r="F256" s="126">
        <v>1.5049999999999999</v>
      </c>
      <c r="G256" s="126"/>
      <c r="H256" s="126">
        <f t="shared" si="3"/>
        <v>1.3307036698161701</v>
      </c>
      <c r="I256" s="89">
        <v>325.98</v>
      </c>
      <c r="J256" s="126">
        <v>82.163541666666688</v>
      </c>
      <c r="K256" s="34">
        <v>369.01739106145249</v>
      </c>
    </row>
    <row r="257" spans="1:11" x14ac:dyDescent="0.3">
      <c r="A257" s="88" t="s">
        <v>481</v>
      </c>
      <c r="B257" s="24">
        <v>39337</v>
      </c>
      <c r="C257" s="32">
        <v>9.6156615402338588</v>
      </c>
      <c r="D257">
        <v>16.399999999999999</v>
      </c>
      <c r="E257">
        <v>11.6</v>
      </c>
      <c r="F257" s="126">
        <v>0.33</v>
      </c>
      <c r="G257" s="126"/>
      <c r="H257" s="126">
        <f t="shared" si="3"/>
        <v>1.3664431264636057</v>
      </c>
      <c r="I257" s="89">
        <v>282.14999999999998</v>
      </c>
      <c r="J257" s="126">
        <v>82.214583333333323</v>
      </c>
      <c r="K257" s="34">
        <v>375.42477360931468</v>
      </c>
    </row>
    <row r="258" spans="1:11" x14ac:dyDescent="0.3">
      <c r="A258" s="88" t="s">
        <v>481</v>
      </c>
      <c r="B258" s="24">
        <v>39338</v>
      </c>
      <c r="C258" s="32">
        <v>7.2297462703761299</v>
      </c>
      <c r="D258">
        <v>14.7</v>
      </c>
      <c r="E258">
        <v>9.1999999999999993</v>
      </c>
      <c r="F258" s="126">
        <v>0</v>
      </c>
      <c r="G258" s="126"/>
      <c r="H258" s="126">
        <f t="shared" si="3"/>
        <v>1.16404559315309</v>
      </c>
      <c r="I258" s="89">
        <v>164.16</v>
      </c>
      <c r="J258" s="126">
        <v>75.040625000000006</v>
      </c>
      <c r="K258" s="34">
        <v>373.8652795838758</v>
      </c>
    </row>
    <row r="259" spans="1:11" x14ac:dyDescent="0.3">
      <c r="A259" s="88" t="s">
        <v>481</v>
      </c>
      <c r="B259" s="24">
        <v>39339</v>
      </c>
      <c r="C259" s="32">
        <v>14.939195610851909</v>
      </c>
      <c r="D259">
        <v>19</v>
      </c>
      <c r="E259">
        <v>6.5</v>
      </c>
      <c r="F259" s="126">
        <v>0.32500000000000001</v>
      </c>
      <c r="G259" s="126"/>
      <c r="H259" s="126">
        <f t="shared" si="3"/>
        <v>0.96829408068935052</v>
      </c>
      <c r="I259" s="89">
        <v>246.78000000000003</v>
      </c>
      <c r="J259" s="126">
        <v>79.105208333333323</v>
      </c>
      <c r="K259" s="34">
        <v>382.84320261437887</v>
      </c>
    </row>
    <row r="260" spans="1:11" x14ac:dyDescent="0.3">
      <c r="A260" s="88" t="s">
        <v>481</v>
      </c>
      <c r="B260" s="24">
        <v>39340</v>
      </c>
      <c r="C260" s="32">
        <v>13.448786072230863</v>
      </c>
      <c r="D260">
        <v>16.100000000000001</v>
      </c>
      <c r="E260">
        <v>8.8000000000000007</v>
      </c>
      <c r="F260" s="126">
        <v>0</v>
      </c>
      <c r="G260" s="126"/>
      <c r="H260" s="126">
        <f t="shared" ref="H260:H323" si="4">0.611*EXP((17.27*E260)/(E260+237.3))</f>
        <v>1.1330116523877718</v>
      </c>
      <c r="I260" s="89">
        <v>369.27000000000021</v>
      </c>
      <c r="J260" s="126">
        <v>70.535416666666677</v>
      </c>
      <c r="K260" s="34">
        <v>371.16202365308777</v>
      </c>
    </row>
    <row r="261" spans="1:11" x14ac:dyDescent="0.3">
      <c r="A261" s="88" t="s">
        <v>481</v>
      </c>
      <c r="B261" s="24">
        <v>39341</v>
      </c>
      <c r="C261" s="32">
        <v>16.643806520361728</v>
      </c>
      <c r="D261">
        <v>20.6</v>
      </c>
      <c r="E261">
        <v>8</v>
      </c>
      <c r="F261" s="126">
        <v>0</v>
      </c>
      <c r="G261" s="126"/>
      <c r="H261" s="126">
        <f t="shared" si="4"/>
        <v>1.0731200926872433</v>
      </c>
      <c r="I261" s="89">
        <v>203.31</v>
      </c>
      <c r="J261" s="126">
        <v>69.944791666666717</v>
      </c>
      <c r="K261" s="34">
        <v>369.81294583883755</v>
      </c>
    </row>
    <row r="262" spans="1:11" x14ac:dyDescent="0.3">
      <c r="A262" s="88" t="s">
        <v>481</v>
      </c>
      <c r="B262" s="24">
        <v>39342</v>
      </c>
      <c r="C262" s="32">
        <v>9.5742612752721623</v>
      </c>
      <c r="D262">
        <v>21.6</v>
      </c>
      <c r="E262">
        <v>12</v>
      </c>
      <c r="F262" s="126">
        <v>2.1749999999999998</v>
      </c>
      <c r="G262" s="126"/>
      <c r="H262" s="126">
        <f t="shared" si="4"/>
        <v>1.4030231277532583</v>
      </c>
      <c r="I262" s="89">
        <v>218.07</v>
      </c>
      <c r="J262" s="126">
        <v>75.36041666666668</v>
      </c>
      <c r="K262" s="34">
        <v>371.86107856135322</v>
      </c>
    </row>
    <row r="263" spans="1:11" x14ac:dyDescent="0.3">
      <c r="A263" s="88" t="s">
        <v>481</v>
      </c>
      <c r="B263" s="24">
        <v>39343</v>
      </c>
      <c r="C263" s="32">
        <v>7.0020448130868038</v>
      </c>
      <c r="D263">
        <v>13.7</v>
      </c>
      <c r="E263">
        <v>7.2</v>
      </c>
      <c r="F263" s="126">
        <v>6.3449999999999998</v>
      </c>
      <c r="G263" s="126"/>
      <c r="H263" s="126">
        <f t="shared" si="4"/>
        <v>1.0160332727272676</v>
      </c>
      <c r="I263" s="89">
        <v>300.51</v>
      </c>
      <c r="J263" s="126">
        <v>84.735416666666694</v>
      </c>
      <c r="K263" s="34">
        <v>370.4981975967948</v>
      </c>
    </row>
    <row r="264" spans="1:11" x14ac:dyDescent="0.3">
      <c r="A264" s="88" t="s">
        <v>481</v>
      </c>
      <c r="B264" s="24">
        <v>39344</v>
      </c>
      <c r="C264" s="32">
        <v>12.825982086285352</v>
      </c>
      <c r="D264">
        <v>15</v>
      </c>
      <c r="E264">
        <v>6.3</v>
      </c>
      <c r="F264" s="126">
        <v>0</v>
      </c>
      <c r="G264" s="126"/>
      <c r="H264" s="126">
        <f t="shared" si="4"/>
        <v>0.95502249025252561</v>
      </c>
      <c r="I264" s="89">
        <v>269.45999999999998</v>
      </c>
      <c r="J264" s="126">
        <v>71.596874999999997</v>
      </c>
      <c r="K264" s="34">
        <v>374.83054478932002</v>
      </c>
    </row>
    <row r="265" spans="1:11" x14ac:dyDescent="0.3">
      <c r="A265" s="88" t="s">
        <v>481</v>
      </c>
      <c r="B265" s="24">
        <v>39345</v>
      </c>
      <c r="C265" s="32">
        <v>11.593874200794886</v>
      </c>
      <c r="D265">
        <v>18.5</v>
      </c>
      <c r="E265">
        <v>8.9</v>
      </c>
      <c r="F265" s="126">
        <v>0</v>
      </c>
      <c r="G265" s="126"/>
      <c r="H265" s="126">
        <f t="shared" si="4"/>
        <v>1.1407010860938473</v>
      </c>
      <c r="I265" s="89">
        <v>252.09</v>
      </c>
      <c r="J265" s="126">
        <v>69.161458333333314</v>
      </c>
      <c r="K265" s="34">
        <v>372.8601889338733</v>
      </c>
    </row>
    <row r="266" spans="1:11" x14ac:dyDescent="0.3">
      <c r="A266" s="88" t="s">
        <v>481</v>
      </c>
      <c r="B266" s="24">
        <v>39346</v>
      </c>
      <c r="C266" s="32">
        <v>11.496673578710904</v>
      </c>
      <c r="D266">
        <v>19.100000000000001</v>
      </c>
      <c r="E266">
        <v>12.6</v>
      </c>
      <c r="F266" s="126">
        <v>0</v>
      </c>
      <c r="G266" s="126"/>
      <c r="H266" s="126">
        <f t="shared" si="4"/>
        <v>1.4595059422181114</v>
      </c>
      <c r="I266" s="89">
        <v>168.75</v>
      </c>
      <c r="J266" s="126">
        <v>66.742708333333326</v>
      </c>
      <c r="K266" s="34">
        <v>373.69179104477598</v>
      </c>
    </row>
    <row r="267" spans="1:11" x14ac:dyDescent="0.3">
      <c r="A267" s="88" t="s">
        <v>481</v>
      </c>
      <c r="B267" s="24">
        <v>39347</v>
      </c>
      <c r="C267" s="32">
        <v>13.930289153850584</v>
      </c>
      <c r="D267">
        <v>20.6</v>
      </c>
      <c r="E267">
        <v>10.1</v>
      </c>
      <c r="F267" s="126">
        <v>0</v>
      </c>
      <c r="G267" s="126"/>
      <c r="H267" s="126">
        <f t="shared" si="4"/>
        <v>1.2366203081300822</v>
      </c>
      <c r="I267" s="89">
        <v>151.92000000000004</v>
      </c>
      <c r="J267" s="126">
        <v>74.5</v>
      </c>
      <c r="K267" s="34">
        <v>380.43321964529343</v>
      </c>
    </row>
    <row r="268" spans="1:11" x14ac:dyDescent="0.3">
      <c r="A268" s="88" t="s">
        <v>481</v>
      </c>
      <c r="B268" s="24">
        <v>39348</v>
      </c>
      <c r="C268" s="32">
        <v>14.811394792926675</v>
      </c>
      <c r="D268">
        <v>23.5</v>
      </c>
      <c r="E268">
        <v>7.8</v>
      </c>
      <c r="F268" s="126">
        <v>0</v>
      </c>
      <c r="G268" s="126"/>
      <c r="H268" s="126">
        <f t="shared" si="4"/>
        <v>1.0585899253295545</v>
      </c>
      <c r="I268" s="89">
        <v>79.020000000000039</v>
      </c>
      <c r="J268" s="126">
        <v>76.452083333333334</v>
      </c>
      <c r="K268" s="34">
        <v>398.73326474622729</v>
      </c>
    </row>
    <row r="269" spans="1:11" x14ac:dyDescent="0.3">
      <c r="A269" s="88" t="s">
        <v>481</v>
      </c>
      <c r="B269" s="24">
        <v>39349</v>
      </c>
      <c r="C269" s="32">
        <v>13.686387592880594</v>
      </c>
      <c r="D269">
        <v>24.1</v>
      </c>
      <c r="E269">
        <v>13.2</v>
      </c>
      <c r="F269" s="126">
        <v>6.5000000000000002E-2</v>
      </c>
      <c r="G269" s="126"/>
      <c r="H269" s="126">
        <f t="shared" si="4"/>
        <v>1.5179756049640964</v>
      </c>
      <c r="I269" s="89">
        <v>219.51</v>
      </c>
      <c r="J269" s="126">
        <v>67.365624999999994</v>
      </c>
      <c r="K269" s="34">
        <v>382.10800000000023</v>
      </c>
    </row>
    <row r="270" spans="1:11" x14ac:dyDescent="0.3">
      <c r="A270" s="88" t="s">
        <v>481</v>
      </c>
      <c r="B270" s="24">
        <v>39350</v>
      </c>
      <c r="C270" s="32">
        <v>9.9036633834456538</v>
      </c>
      <c r="D270">
        <v>16</v>
      </c>
      <c r="E270">
        <v>9.6</v>
      </c>
      <c r="F270" s="126">
        <v>5.125</v>
      </c>
      <c r="G270" s="126"/>
      <c r="H270" s="126">
        <f t="shared" si="4"/>
        <v>1.1958248668287446</v>
      </c>
      <c r="I270" s="89">
        <v>204.39000000000004</v>
      </c>
      <c r="J270" s="126">
        <v>77.837500000000006</v>
      </c>
      <c r="K270" s="34">
        <v>372.57468793342616</v>
      </c>
    </row>
    <row r="271" spans="1:11" x14ac:dyDescent="0.3">
      <c r="A271" s="88" t="s">
        <v>481</v>
      </c>
      <c r="B271" s="24">
        <v>39351</v>
      </c>
      <c r="C271" s="32">
        <v>9.1467585392546518</v>
      </c>
      <c r="D271">
        <v>15.2</v>
      </c>
      <c r="E271">
        <v>8.3000000000000007</v>
      </c>
      <c r="F271" s="126">
        <v>0</v>
      </c>
      <c r="G271" s="126"/>
      <c r="H271" s="126">
        <f t="shared" si="4"/>
        <v>1.0952445521994474</v>
      </c>
      <c r="I271" s="89">
        <v>116.01000000000002</v>
      </c>
      <c r="J271" s="126">
        <v>80.674999999999997</v>
      </c>
      <c r="K271" s="34">
        <v>377.82489539749014</v>
      </c>
    </row>
    <row r="272" spans="1:11" x14ac:dyDescent="0.3">
      <c r="A272" s="88" t="s">
        <v>481</v>
      </c>
      <c r="B272" s="24">
        <v>39352</v>
      </c>
      <c r="C272" s="32">
        <v>4.3497278382581648</v>
      </c>
      <c r="D272">
        <v>14.7</v>
      </c>
      <c r="E272">
        <v>9.1</v>
      </c>
      <c r="F272" s="126">
        <v>27.83</v>
      </c>
      <c r="G272" s="126"/>
      <c r="H272" s="126">
        <f t="shared" si="4"/>
        <v>1.156217822409108</v>
      </c>
      <c r="I272" s="89">
        <v>342.18000000000006</v>
      </c>
      <c r="J272" s="126">
        <v>87.984375</v>
      </c>
      <c r="K272" s="34">
        <v>384.38141654978955</v>
      </c>
    </row>
    <row r="273" spans="1:11" x14ac:dyDescent="0.3">
      <c r="A273" s="88" t="s">
        <v>481</v>
      </c>
      <c r="B273" s="24">
        <v>39353</v>
      </c>
      <c r="C273" s="32">
        <v>4.0860261505673634</v>
      </c>
      <c r="D273">
        <v>15.9</v>
      </c>
      <c r="E273">
        <v>12.9</v>
      </c>
      <c r="F273" s="126">
        <v>15.365</v>
      </c>
      <c r="G273" s="126"/>
      <c r="H273" s="126">
        <f t="shared" si="4"/>
        <v>1.4884887514247067</v>
      </c>
      <c r="I273" s="89">
        <v>268.2</v>
      </c>
      <c r="J273" s="126">
        <v>90.622916666666697</v>
      </c>
      <c r="K273" s="34">
        <v>385.17672778561382</v>
      </c>
    </row>
    <row r="274" spans="1:11" x14ac:dyDescent="0.3">
      <c r="A274" s="88" t="s">
        <v>481</v>
      </c>
      <c r="B274" s="24">
        <v>39354</v>
      </c>
      <c r="C274" s="32">
        <v>1.8639119290363459</v>
      </c>
      <c r="D274">
        <v>12.9</v>
      </c>
      <c r="E274">
        <v>11.7</v>
      </c>
      <c r="F274" s="126">
        <v>26.85</v>
      </c>
      <c r="G274" s="126"/>
      <c r="H274" s="126">
        <f t="shared" si="4"/>
        <v>1.3755086746426002</v>
      </c>
      <c r="I274" s="89">
        <v>227.25</v>
      </c>
      <c r="J274" s="126">
        <v>96.690625000000054</v>
      </c>
      <c r="K274" s="34">
        <v>381.07517730496568</v>
      </c>
    </row>
    <row r="275" spans="1:11" x14ac:dyDescent="0.3">
      <c r="A275" s="88" t="s">
        <v>481</v>
      </c>
      <c r="B275" s="24">
        <v>39355</v>
      </c>
      <c r="C275" s="32">
        <v>5.8347373423189905</v>
      </c>
      <c r="D275">
        <v>14.8</v>
      </c>
      <c r="E275">
        <v>10.9</v>
      </c>
      <c r="F275" s="126">
        <v>0.33500000000000002</v>
      </c>
      <c r="G275" s="126"/>
      <c r="H275" s="126">
        <f t="shared" si="4"/>
        <v>1.3044407381026226</v>
      </c>
      <c r="I275" s="89">
        <v>233.01</v>
      </c>
      <c r="J275" s="126">
        <v>85.506249999999994</v>
      </c>
      <c r="K275" s="34">
        <v>380.66069900142747</v>
      </c>
    </row>
    <row r="276" spans="1:11" x14ac:dyDescent="0.3">
      <c r="A276" s="88" t="s">
        <v>481</v>
      </c>
      <c r="B276" s="24">
        <v>39356</v>
      </c>
      <c r="C276" s="32">
        <v>8.5041544265883307</v>
      </c>
      <c r="D276">
        <v>16.3</v>
      </c>
      <c r="E276">
        <v>8.6</v>
      </c>
      <c r="F276" s="126">
        <v>4.5599999999999996</v>
      </c>
      <c r="G276" s="126"/>
      <c r="H276" s="126">
        <f t="shared" si="4"/>
        <v>1.117769490765057</v>
      </c>
      <c r="I276" s="89">
        <v>136.07999999999998</v>
      </c>
      <c r="J276" s="126">
        <v>89.519791666666677</v>
      </c>
      <c r="K276" s="34">
        <v>404.27195121951263</v>
      </c>
    </row>
    <row r="277" spans="1:11" x14ac:dyDescent="0.3">
      <c r="A277" s="88" t="s">
        <v>481</v>
      </c>
      <c r="B277" s="24">
        <v>39357</v>
      </c>
      <c r="C277" s="32">
        <v>2.1519137722481423</v>
      </c>
      <c r="D277">
        <v>13.9</v>
      </c>
      <c r="E277">
        <v>11.9</v>
      </c>
      <c r="F277" s="126">
        <v>3.5000000000000003E-2</v>
      </c>
      <c r="G277" s="126"/>
      <c r="H277" s="126">
        <f t="shared" si="4"/>
        <v>1.3937984130245886</v>
      </c>
      <c r="I277" s="89">
        <v>179.55</v>
      </c>
      <c r="J277" s="126">
        <v>93.407291666666637</v>
      </c>
      <c r="K277" s="34">
        <v>403.29317585301902</v>
      </c>
    </row>
    <row r="278" spans="1:11" x14ac:dyDescent="0.3">
      <c r="A278" s="88" t="s">
        <v>481</v>
      </c>
      <c r="B278" s="24">
        <v>39358</v>
      </c>
      <c r="C278" s="32">
        <v>7.4853479062266004</v>
      </c>
      <c r="D278">
        <v>15.4</v>
      </c>
      <c r="E278">
        <v>9.6999999999999993</v>
      </c>
      <c r="F278" s="126">
        <v>2.52</v>
      </c>
      <c r="G278" s="126"/>
      <c r="H278" s="126">
        <f t="shared" si="4"/>
        <v>1.2038879226915637</v>
      </c>
      <c r="I278" s="89">
        <v>215.45999999999998</v>
      </c>
      <c r="J278" s="126">
        <v>87.139583333333334</v>
      </c>
    </row>
    <row r="279" spans="1:11" x14ac:dyDescent="0.3">
      <c r="A279" s="88" t="s">
        <v>481</v>
      </c>
      <c r="B279" s="24">
        <v>39359</v>
      </c>
      <c r="C279" s="32">
        <v>3.6324232475087839</v>
      </c>
      <c r="D279">
        <v>17.8</v>
      </c>
      <c r="E279">
        <v>11.7</v>
      </c>
      <c r="F279" s="126">
        <v>0.26</v>
      </c>
      <c r="G279" s="126"/>
      <c r="H279" s="126">
        <f t="shared" si="4"/>
        <v>1.3755086746426002</v>
      </c>
      <c r="I279" s="89">
        <v>132.92999999999998</v>
      </c>
      <c r="J279" s="126">
        <v>92.330208333333346</v>
      </c>
    </row>
    <row r="280" spans="1:11" x14ac:dyDescent="0.3">
      <c r="A280" s="88" t="s">
        <v>481</v>
      </c>
      <c r="B280" s="24">
        <v>39360</v>
      </c>
      <c r="C280" s="32">
        <v>7.6923492310350792</v>
      </c>
      <c r="D280">
        <v>14.4</v>
      </c>
      <c r="E280">
        <v>8.9</v>
      </c>
      <c r="F280" s="126">
        <v>0</v>
      </c>
      <c r="G280" s="126"/>
      <c r="H280" s="126">
        <f t="shared" si="4"/>
        <v>1.1407010860938473</v>
      </c>
      <c r="I280" s="89">
        <v>136.70999999999995</v>
      </c>
      <c r="J280" s="126">
        <v>90.920833333333363</v>
      </c>
    </row>
    <row r="281" spans="1:11" x14ac:dyDescent="0.3">
      <c r="A281" s="88" t="s">
        <v>481</v>
      </c>
      <c r="B281" s="24">
        <v>39361</v>
      </c>
      <c r="C281" s="32">
        <v>7.5366482345487018</v>
      </c>
      <c r="D281">
        <v>14</v>
      </c>
      <c r="E281">
        <v>5.9</v>
      </c>
      <c r="F281" s="126">
        <v>0</v>
      </c>
      <c r="G281" s="126"/>
      <c r="H281" s="126">
        <f t="shared" si="4"/>
        <v>0.92895926237531279</v>
      </c>
      <c r="I281" s="89">
        <v>144.09000000000009</v>
      </c>
      <c r="J281" s="126">
        <v>90.561458333333363</v>
      </c>
    </row>
    <row r="282" spans="1:11" x14ac:dyDescent="0.3">
      <c r="A282" s="88" t="s">
        <v>481</v>
      </c>
      <c r="B282" s="24">
        <v>39362</v>
      </c>
      <c r="C282" s="32">
        <v>10.906269800126722</v>
      </c>
      <c r="D282">
        <v>15</v>
      </c>
      <c r="E282">
        <v>3.7</v>
      </c>
      <c r="F282" s="126">
        <v>1.4999999999999999E-2</v>
      </c>
      <c r="G282" s="126"/>
      <c r="H282" s="126">
        <f t="shared" si="4"/>
        <v>0.79650868879481573</v>
      </c>
      <c r="I282" s="89">
        <v>58.77000000000001</v>
      </c>
      <c r="J282" s="126">
        <v>84.831249999999997</v>
      </c>
    </row>
    <row r="283" spans="1:11" x14ac:dyDescent="0.3">
      <c r="A283" s="88" t="s">
        <v>481</v>
      </c>
      <c r="B283" s="24">
        <v>39363</v>
      </c>
      <c r="C283" s="32">
        <v>7.8822504464028578</v>
      </c>
      <c r="D283">
        <v>13.5</v>
      </c>
      <c r="E283">
        <v>5.4</v>
      </c>
      <c r="F283" s="126">
        <v>5.0000000000000001E-3</v>
      </c>
      <c r="G283" s="126"/>
      <c r="H283" s="126">
        <f t="shared" si="4"/>
        <v>0.8972630930441321</v>
      </c>
      <c r="I283" s="89">
        <v>125.82000000000002</v>
      </c>
      <c r="J283" s="126">
        <v>87.083333333333357</v>
      </c>
    </row>
    <row r="284" spans="1:11" x14ac:dyDescent="0.3">
      <c r="A284" s="88" t="s">
        <v>481</v>
      </c>
      <c r="B284" s="24">
        <v>39364</v>
      </c>
      <c r="C284" s="32">
        <v>6.1416393064915615</v>
      </c>
      <c r="D284">
        <v>12.3</v>
      </c>
      <c r="E284">
        <v>5.5</v>
      </c>
      <c r="F284" s="126">
        <v>5.0000000000000001E-3</v>
      </c>
      <c r="G284" s="126"/>
      <c r="H284" s="126">
        <f t="shared" si="4"/>
        <v>0.90352494025987484</v>
      </c>
      <c r="I284" s="89">
        <v>87.659999999999982</v>
      </c>
      <c r="J284" s="126">
        <v>83.279166666666654</v>
      </c>
    </row>
    <row r="285" spans="1:11" x14ac:dyDescent="0.3">
      <c r="A285" s="88" t="s">
        <v>481</v>
      </c>
      <c r="B285" s="24">
        <v>39365</v>
      </c>
      <c r="C285" s="32">
        <v>10.071064454812511</v>
      </c>
      <c r="D285">
        <v>13.7</v>
      </c>
      <c r="E285">
        <v>3.2</v>
      </c>
      <c r="F285" s="126">
        <v>0</v>
      </c>
      <c r="G285" s="126"/>
      <c r="H285" s="126">
        <f t="shared" si="4"/>
        <v>0.76884154961442475</v>
      </c>
      <c r="I285" s="89">
        <v>106.47000000000003</v>
      </c>
      <c r="J285" s="126">
        <v>85.171875</v>
      </c>
    </row>
    <row r="286" spans="1:11" x14ac:dyDescent="0.3">
      <c r="A286" s="88" t="s">
        <v>481</v>
      </c>
      <c r="B286" s="24">
        <v>39366</v>
      </c>
      <c r="C286" s="32">
        <v>8.395253729623871</v>
      </c>
      <c r="D286">
        <v>13.1</v>
      </c>
      <c r="E286">
        <v>5.7</v>
      </c>
      <c r="F286" s="126">
        <v>0</v>
      </c>
      <c r="G286" s="126"/>
      <c r="H286" s="126">
        <f t="shared" si="4"/>
        <v>0.91616430843021424</v>
      </c>
      <c r="I286" s="89">
        <v>120.50999999999999</v>
      </c>
      <c r="J286" s="126">
        <v>88.903125000000003</v>
      </c>
    </row>
    <row r="287" spans="1:11" x14ac:dyDescent="0.3">
      <c r="A287" s="88" t="s">
        <v>481</v>
      </c>
      <c r="B287" s="24">
        <v>39367</v>
      </c>
      <c r="C287" s="32">
        <v>3.9726254248027186</v>
      </c>
      <c r="D287">
        <v>15.9</v>
      </c>
      <c r="E287">
        <v>9.4</v>
      </c>
      <c r="F287" s="126">
        <v>0.28000000000000003</v>
      </c>
      <c r="G287" s="126"/>
      <c r="H287" s="126">
        <f t="shared" si="4"/>
        <v>1.1798411174091483</v>
      </c>
      <c r="I287" s="89">
        <v>354.24</v>
      </c>
      <c r="J287" s="126">
        <v>86.289583333333283</v>
      </c>
    </row>
    <row r="288" spans="1:11" x14ac:dyDescent="0.3">
      <c r="A288" s="88" t="s">
        <v>481</v>
      </c>
      <c r="B288" s="24">
        <v>39368</v>
      </c>
      <c r="C288" s="32">
        <v>9.8847632624848796</v>
      </c>
      <c r="D288">
        <v>12.6</v>
      </c>
      <c r="E288">
        <v>4.3</v>
      </c>
      <c r="F288" s="126">
        <v>0</v>
      </c>
      <c r="G288" s="126"/>
      <c r="H288" s="126">
        <f t="shared" si="4"/>
        <v>0.83086609768035358</v>
      </c>
      <c r="I288" s="89">
        <v>130.05000000000001</v>
      </c>
      <c r="J288" s="126">
        <v>84.215625000000003</v>
      </c>
    </row>
    <row r="289" spans="1:10" x14ac:dyDescent="0.3">
      <c r="A289" s="88" t="s">
        <v>481</v>
      </c>
      <c r="B289" s="24">
        <v>39369</v>
      </c>
      <c r="C289" s="32">
        <v>10.966570186049191</v>
      </c>
      <c r="D289">
        <v>14.5</v>
      </c>
      <c r="E289">
        <v>1.6</v>
      </c>
      <c r="F289" s="126">
        <v>0</v>
      </c>
      <c r="G289" s="126"/>
      <c r="H289" s="126">
        <f t="shared" si="4"/>
        <v>0.68591959793818613</v>
      </c>
      <c r="I289" s="89">
        <v>136.97999999999999</v>
      </c>
      <c r="J289" s="126">
        <v>74.113541666666663</v>
      </c>
    </row>
    <row r="290" spans="1:10" x14ac:dyDescent="0.3">
      <c r="A290" s="88" t="s">
        <v>481</v>
      </c>
      <c r="B290" s="24">
        <v>39370</v>
      </c>
      <c r="C290" s="32">
        <v>10.526467369391163</v>
      </c>
      <c r="D290">
        <v>16.5</v>
      </c>
      <c r="E290">
        <v>2.5</v>
      </c>
      <c r="F290" s="126">
        <v>0</v>
      </c>
      <c r="G290" s="126"/>
      <c r="H290" s="126">
        <f t="shared" si="4"/>
        <v>0.73153336467415264</v>
      </c>
      <c r="I290" s="89">
        <v>160.19999999999987</v>
      </c>
      <c r="J290" s="126">
        <v>73.570833333333326</v>
      </c>
    </row>
    <row r="291" spans="1:10" x14ac:dyDescent="0.3">
      <c r="A291" s="88" t="s">
        <v>481</v>
      </c>
      <c r="B291" s="24">
        <v>39371</v>
      </c>
      <c r="C291" s="32">
        <v>6.2190398018547324</v>
      </c>
      <c r="D291">
        <v>17.100000000000001</v>
      </c>
      <c r="E291">
        <v>11.4</v>
      </c>
      <c r="F291" s="126">
        <v>0</v>
      </c>
      <c r="G291" s="126"/>
      <c r="H291" s="126">
        <f t="shared" si="4"/>
        <v>1.3484693686655054</v>
      </c>
      <c r="I291" s="89">
        <v>172.62</v>
      </c>
      <c r="J291" s="126">
        <v>76.994791666666657</v>
      </c>
    </row>
    <row r="292" spans="1:10" x14ac:dyDescent="0.3">
      <c r="A292" s="88" t="s">
        <v>481</v>
      </c>
      <c r="B292" s="24">
        <v>39372</v>
      </c>
      <c r="C292" s="32">
        <v>6.1875396002534409</v>
      </c>
      <c r="D292">
        <v>17.600000000000001</v>
      </c>
      <c r="E292">
        <v>9.6</v>
      </c>
      <c r="F292" s="126">
        <v>5.5650000000000004</v>
      </c>
      <c r="G292" s="126"/>
      <c r="H292" s="126">
        <f t="shared" si="4"/>
        <v>1.1958248668287446</v>
      </c>
      <c r="I292" s="89">
        <v>238.8600000000001</v>
      </c>
      <c r="J292" s="126">
        <v>81.928124999999994</v>
      </c>
    </row>
    <row r="293" spans="1:10" x14ac:dyDescent="0.3">
      <c r="A293" s="88" t="s">
        <v>481</v>
      </c>
      <c r="B293" s="24">
        <v>39373</v>
      </c>
      <c r="C293" s="32">
        <v>6.8265436898796157</v>
      </c>
      <c r="D293">
        <v>10.7</v>
      </c>
      <c r="E293">
        <v>5.9</v>
      </c>
      <c r="F293" s="126">
        <v>2.83</v>
      </c>
      <c r="G293" s="126"/>
      <c r="H293" s="126">
        <f t="shared" si="4"/>
        <v>0.92895926237531279</v>
      </c>
      <c r="I293" s="89">
        <v>373.86</v>
      </c>
      <c r="J293" s="126">
        <v>85.697916666666671</v>
      </c>
    </row>
    <row r="294" spans="1:10" x14ac:dyDescent="0.3">
      <c r="A294" s="88" t="s">
        <v>481</v>
      </c>
      <c r="B294" s="24">
        <v>39374</v>
      </c>
      <c r="C294" s="32">
        <v>7.9650509763262489</v>
      </c>
      <c r="D294">
        <v>9.8000000000000007</v>
      </c>
      <c r="E294">
        <v>1.9</v>
      </c>
      <c r="F294" s="126">
        <v>0</v>
      </c>
      <c r="G294" s="126"/>
      <c r="H294" s="126">
        <f t="shared" si="4"/>
        <v>0.70083680221327738</v>
      </c>
      <c r="I294" s="89">
        <v>267.38999999999993</v>
      </c>
      <c r="J294" s="126">
        <v>79.007291666666703</v>
      </c>
    </row>
    <row r="295" spans="1:10" x14ac:dyDescent="0.3">
      <c r="A295" s="88" t="s">
        <v>481</v>
      </c>
      <c r="B295" s="24">
        <v>39375</v>
      </c>
      <c r="C295" s="32">
        <v>7.4601477449455675</v>
      </c>
      <c r="D295">
        <v>8.3000000000000007</v>
      </c>
      <c r="E295">
        <v>-0.6</v>
      </c>
      <c r="F295" s="126">
        <v>0</v>
      </c>
      <c r="G295" s="126"/>
      <c r="H295" s="126">
        <f t="shared" si="4"/>
        <v>0.58482930968803559</v>
      </c>
      <c r="I295" s="89">
        <v>132.75</v>
      </c>
      <c r="J295" s="126">
        <v>82.441666666666706</v>
      </c>
    </row>
    <row r="296" spans="1:10" x14ac:dyDescent="0.3">
      <c r="A296" s="88" t="s">
        <v>481</v>
      </c>
      <c r="B296" s="24">
        <v>39376</v>
      </c>
      <c r="C296" s="32">
        <v>4.6278296181095557</v>
      </c>
      <c r="D296">
        <v>9.3000000000000007</v>
      </c>
      <c r="E296">
        <v>1.3</v>
      </c>
      <c r="F296" s="126">
        <v>2.6850000000000001</v>
      </c>
      <c r="G296" s="126"/>
      <c r="H296" s="126">
        <f t="shared" si="4"/>
        <v>0.67128358518521281</v>
      </c>
      <c r="I296" s="89">
        <v>222.93000000000006</v>
      </c>
      <c r="J296" s="126">
        <v>86.030208333333348</v>
      </c>
    </row>
    <row r="297" spans="1:10" x14ac:dyDescent="0.3">
      <c r="A297" s="88" t="s">
        <v>481</v>
      </c>
      <c r="B297" s="24">
        <v>39377</v>
      </c>
      <c r="C297" s="32">
        <v>8.4024537757041653</v>
      </c>
      <c r="D297">
        <v>7.2</v>
      </c>
      <c r="E297">
        <v>-0.8</v>
      </c>
      <c r="F297" s="126">
        <v>0</v>
      </c>
      <c r="G297" s="126"/>
      <c r="H297" s="126">
        <f t="shared" si="4"/>
        <v>0.57632881345991693</v>
      </c>
      <c r="I297" s="89">
        <v>240.48000000000002</v>
      </c>
      <c r="J297" s="126">
        <v>81.394791666666677</v>
      </c>
    </row>
    <row r="298" spans="1:10" x14ac:dyDescent="0.3">
      <c r="A298" s="88" t="s">
        <v>481</v>
      </c>
      <c r="B298" s="24">
        <v>39378</v>
      </c>
      <c r="C298" s="32">
        <v>6.0363386325672481</v>
      </c>
      <c r="D298">
        <v>7.9</v>
      </c>
      <c r="E298">
        <v>0.6</v>
      </c>
      <c r="F298" s="126">
        <v>0</v>
      </c>
      <c r="G298" s="126"/>
      <c r="H298" s="126">
        <f t="shared" si="4"/>
        <v>0.63820086880942895</v>
      </c>
      <c r="I298" s="89">
        <v>245.43</v>
      </c>
      <c r="J298" s="126">
        <v>81.491666666666674</v>
      </c>
    </row>
    <row r="299" spans="1:10" x14ac:dyDescent="0.3">
      <c r="A299" s="88" t="s">
        <v>481</v>
      </c>
      <c r="B299" s="24">
        <v>39379</v>
      </c>
      <c r="C299" s="32">
        <v>1.3824088474166234</v>
      </c>
      <c r="D299">
        <v>7.2</v>
      </c>
      <c r="E299">
        <v>5.6</v>
      </c>
      <c r="F299" s="126">
        <v>0</v>
      </c>
      <c r="G299" s="126"/>
      <c r="H299" s="126">
        <f t="shared" si="4"/>
        <v>0.9098252778997602</v>
      </c>
      <c r="I299" s="89">
        <v>307.88999999999993</v>
      </c>
      <c r="J299" s="126">
        <v>84.433333333333351</v>
      </c>
    </row>
    <row r="300" spans="1:10" x14ac:dyDescent="0.3">
      <c r="A300" s="88" t="s">
        <v>481</v>
      </c>
      <c r="B300" s="24">
        <v>39380</v>
      </c>
      <c r="C300" s="32">
        <v>0.84330539715454178</v>
      </c>
      <c r="D300">
        <v>7.5</v>
      </c>
      <c r="E300">
        <v>6.7</v>
      </c>
      <c r="F300" s="126">
        <v>1.4999999999999999E-2</v>
      </c>
      <c r="G300" s="126"/>
      <c r="H300" s="126">
        <f t="shared" si="4"/>
        <v>0.98172789008858663</v>
      </c>
      <c r="I300" s="89">
        <v>230.94000000000011</v>
      </c>
      <c r="J300" s="126">
        <v>89.852083333333326</v>
      </c>
    </row>
    <row r="301" spans="1:10" x14ac:dyDescent="0.3">
      <c r="A301" s="88" t="s">
        <v>481</v>
      </c>
      <c r="B301" s="24">
        <v>39381</v>
      </c>
      <c r="C301" s="32">
        <v>0.46170295489891133</v>
      </c>
      <c r="D301">
        <v>7.6</v>
      </c>
      <c r="E301">
        <v>6</v>
      </c>
      <c r="F301" s="126">
        <v>0.83499999999999996</v>
      </c>
      <c r="G301" s="126"/>
      <c r="H301" s="126">
        <f t="shared" si="4"/>
        <v>0.93541559507788385</v>
      </c>
      <c r="I301" s="89">
        <v>201.51</v>
      </c>
      <c r="J301" s="126">
        <v>93.288541666666674</v>
      </c>
    </row>
    <row r="302" spans="1:10" x14ac:dyDescent="0.3">
      <c r="A302" s="88" t="s">
        <v>481</v>
      </c>
      <c r="B302" s="24">
        <v>39382</v>
      </c>
      <c r="C302" s="32">
        <v>1.6056102759057658</v>
      </c>
      <c r="D302">
        <v>8.6</v>
      </c>
      <c r="E302">
        <v>2.9</v>
      </c>
      <c r="F302" s="126">
        <v>0.05</v>
      </c>
      <c r="G302" s="126"/>
      <c r="H302" s="126">
        <f t="shared" si="4"/>
        <v>0.75265154972421666</v>
      </c>
      <c r="I302" s="89">
        <v>133.01999999999998</v>
      </c>
      <c r="J302" s="126">
        <v>93.138541666666654</v>
      </c>
    </row>
    <row r="303" spans="1:10" x14ac:dyDescent="0.3">
      <c r="A303" s="88" t="s">
        <v>481</v>
      </c>
      <c r="B303" s="24">
        <v>39383</v>
      </c>
      <c r="C303" s="32">
        <v>7.6239487932722767</v>
      </c>
      <c r="D303">
        <v>10.3</v>
      </c>
      <c r="E303">
        <v>2</v>
      </c>
      <c r="F303" s="126">
        <v>0.01</v>
      </c>
      <c r="G303" s="126"/>
      <c r="H303" s="126">
        <f t="shared" si="4"/>
        <v>0.70587248896856769</v>
      </c>
      <c r="I303" s="89">
        <v>164.52</v>
      </c>
      <c r="J303" s="126">
        <v>83.418750000000003</v>
      </c>
    </row>
    <row r="304" spans="1:10" x14ac:dyDescent="0.3">
      <c r="A304" s="88" t="s">
        <v>481</v>
      </c>
      <c r="B304" s="24">
        <v>39384</v>
      </c>
      <c r="C304" s="32">
        <v>2.8836184551581132</v>
      </c>
      <c r="D304">
        <v>10.5</v>
      </c>
      <c r="E304">
        <v>7.6</v>
      </c>
      <c r="F304" s="126">
        <v>5.44</v>
      </c>
      <c r="G304" s="126"/>
      <c r="H304" s="126">
        <f t="shared" si="4"/>
        <v>1.0442332464842816</v>
      </c>
      <c r="I304" s="89">
        <v>140.67000000000002</v>
      </c>
      <c r="J304" s="126">
        <v>81.232291666666654</v>
      </c>
    </row>
    <row r="305" spans="1:10" x14ac:dyDescent="0.3">
      <c r="A305" s="88" t="s">
        <v>481</v>
      </c>
      <c r="B305" s="24">
        <v>39385</v>
      </c>
      <c r="C305" s="32">
        <v>2.7900178561142788</v>
      </c>
      <c r="D305">
        <v>10.6</v>
      </c>
      <c r="E305">
        <v>5.5</v>
      </c>
      <c r="F305" s="126">
        <v>5</v>
      </c>
      <c r="G305" s="126"/>
      <c r="H305" s="126">
        <f t="shared" si="4"/>
        <v>0.90352494025987484</v>
      </c>
      <c r="I305" s="89">
        <v>181.71</v>
      </c>
      <c r="J305" s="126">
        <v>92.131249999999994</v>
      </c>
    </row>
    <row r="306" spans="1:10" x14ac:dyDescent="0.3">
      <c r="A306" s="88" t="s">
        <v>481</v>
      </c>
      <c r="B306" s="24">
        <v>39386</v>
      </c>
      <c r="C306" s="32">
        <v>7.2495463970969416</v>
      </c>
      <c r="D306">
        <v>10.8</v>
      </c>
      <c r="E306">
        <v>4.0999999999999996</v>
      </c>
      <c r="F306" s="126">
        <v>0</v>
      </c>
      <c r="G306" s="126"/>
      <c r="H306" s="126">
        <f t="shared" si="4"/>
        <v>0.81927114982761395</v>
      </c>
      <c r="I306" s="89">
        <v>229.1399999999999</v>
      </c>
      <c r="J306" s="126">
        <v>85.178124999999994</v>
      </c>
    </row>
    <row r="307" spans="1:10" x14ac:dyDescent="0.3">
      <c r="A307" s="88" t="s">
        <v>481</v>
      </c>
      <c r="B307" s="24">
        <v>39387</v>
      </c>
      <c r="C307" s="32">
        <v>1.2402079373307988</v>
      </c>
      <c r="D307">
        <v>9.9</v>
      </c>
      <c r="E307">
        <v>0</v>
      </c>
      <c r="F307" s="126">
        <v>0</v>
      </c>
      <c r="G307" s="126"/>
      <c r="H307" s="126">
        <f t="shared" si="4"/>
        <v>0.61099999999999999</v>
      </c>
      <c r="I307" s="89">
        <v>236.96999999999997</v>
      </c>
      <c r="J307" s="126">
        <v>83.041666666666643</v>
      </c>
    </row>
    <row r="308" spans="1:10" x14ac:dyDescent="0.3">
      <c r="A308" s="88" t="s">
        <v>481</v>
      </c>
      <c r="B308" s="24">
        <v>39388</v>
      </c>
      <c r="C308" s="32">
        <v>1.1088070963654169</v>
      </c>
      <c r="D308">
        <v>2.6</v>
      </c>
      <c r="E308">
        <v>0.7</v>
      </c>
      <c r="F308" s="126">
        <v>2.0449999999999999</v>
      </c>
      <c r="G308" s="126"/>
      <c r="H308" s="126">
        <f t="shared" si="4"/>
        <v>0.64283692539220627</v>
      </c>
      <c r="I308" s="89">
        <v>193.14000000000007</v>
      </c>
      <c r="J308" s="126">
        <v>97.427083333333357</v>
      </c>
    </row>
    <row r="309" spans="1:10" x14ac:dyDescent="0.3">
      <c r="A309" s="88" t="s">
        <v>481</v>
      </c>
      <c r="B309" s="24">
        <v>39389</v>
      </c>
      <c r="C309" s="32">
        <v>2.6568170036288232</v>
      </c>
      <c r="D309">
        <v>9.9</v>
      </c>
      <c r="E309">
        <v>0</v>
      </c>
      <c r="F309" s="126">
        <v>0.85499999999999998</v>
      </c>
      <c r="G309" s="126"/>
      <c r="H309" s="126">
        <f t="shared" si="4"/>
        <v>0.61099999999999999</v>
      </c>
      <c r="I309" s="89">
        <v>293.03999999999996</v>
      </c>
      <c r="J309" s="126">
        <v>91.95729166666672</v>
      </c>
    </row>
    <row r="310" spans="1:10" x14ac:dyDescent="0.3">
      <c r="A310" s="88" t="s">
        <v>481</v>
      </c>
      <c r="B310" s="24">
        <v>39390</v>
      </c>
      <c r="C310" s="32">
        <v>4.9059313979609467</v>
      </c>
      <c r="D310">
        <v>9.9</v>
      </c>
      <c r="E310">
        <v>0</v>
      </c>
      <c r="F310" s="126">
        <v>0.05</v>
      </c>
      <c r="G310" s="126"/>
      <c r="H310" s="126">
        <f t="shared" si="4"/>
        <v>0.61099999999999999</v>
      </c>
      <c r="I310" s="89">
        <v>267.38999999999993</v>
      </c>
      <c r="J310" s="126">
        <v>80.87916666666662</v>
      </c>
    </row>
    <row r="311" spans="1:10" x14ac:dyDescent="0.3">
      <c r="A311" s="88" t="s">
        <v>481</v>
      </c>
      <c r="B311" s="24">
        <v>39391</v>
      </c>
      <c r="C311" s="32">
        <v>5.8176372328782904</v>
      </c>
      <c r="D311">
        <v>9.9</v>
      </c>
      <c r="E311">
        <v>0</v>
      </c>
      <c r="F311" s="126">
        <v>1.52</v>
      </c>
      <c r="G311" s="126"/>
      <c r="H311" s="126">
        <f t="shared" si="4"/>
        <v>0.61099999999999999</v>
      </c>
      <c r="I311" s="89">
        <v>144</v>
      </c>
      <c r="J311" s="126">
        <v>81.856250000000003</v>
      </c>
    </row>
    <row r="312" spans="1:10" x14ac:dyDescent="0.3">
      <c r="A312" s="88" t="s">
        <v>481</v>
      </c>
      <c r="B312" s="24">
        <v>39392</v>
      </c>
      <c r="C312" s="32">
        <v>3.3597215022176141</v>
      </c>
      <c r="D312">
        <v>8</v>
      </c>
      <c r="E312">
        <v>4.3</v>
      </c>
      <c r="F312" s="126">
        <v>8.0299999999999994</v>
      </c>
      <c r="G312" s="126"/>
      <c r="H312" s="126">
        <f t="shared" si="4"/>
        <v>0.83086609768035358</v>
      </c>
      <c r="I312" s="89">
        <v>436.14</v>
      </c>
      <c r="J312" s="126">
        <v>86.201041666666697</v>
      </c>
    </row>
    <row r="313" spans="1:10" x14ac:dyDescent="0.3">
      <c r="A313" s="88" t="s">
        <v>481</v>
      </c>
      <c r="B313" s="24">
        <v>39393</v>
      </c>
      <c r="C313" s="32">
        <v>0.66780427394735331</v>
      </c>
      <c r="D313">
        <v>9.5</v>
      </c>
      <c r="E313">
        <v>5.4</v>
      </c>
      <c r="F313" s="126">
        <v>5.97</v>
      </c>
      <c r="G313" s="126"/>
      <c r="H313" s="126">
        <f t="shared" si="4"/>
        <v>0.8972630930441321</v>
      </c>
      <c r="I313" s="89">
        <v>539.82000000000016</v>
      </c>
      <c r="J313" s="126">
        <v>87.441666666666706</v>
      </c>
    </row>
    <row r="314" spans="1:10" x14ac:dyDescent="0.3">
      <c r="A314" s="88" t="s">
        <v>481</v>
      </c>
      <c r="B314" s="24">
        <v>39394</v>
      </c>
      <c r="C314" s="32">
        <v>3.0834197338862968</v>
      </c>
      <c r="D314">
        <v>9.9</v>
      </c>
      <c r="E314">
        <v>0</v>
      </c>
      <c r="F314" s="126">
        <v>3.4849999999999999</v>
      </c>
      <c r="G314" s="126"/>
      <c r="H314" s="126">
        <f t="shared" si="4"/>
        <v>0.61099999999999999</v>
      </c>
      <c r="I314" s="89">
        <v>388.35000000000014</v>
      </c>
      <c r="J314" s="126">
        <v>83.491666666666688</v>
      </c>
    </row>
    <row r="315" spans="1:10" x14ac:dyDescent="0.3">
      <c r="A315" s="88" t="s">
        <v>481</v>
      </c>
      <c r="B315" s="24">
        <v>39395</v>
      </c>
      <c r="C315" s="32">
        <v>2.91601866251944</v>
      </c>
      <c r="D315">
        <v>6.9</v>
      </c>
      <c r="E315">
        <v>1.3</v>
      </c>
      <c r="F315" s="126">
        <v>5.09</v>
      </c>
      <c r="G315" s="126"/>
      <c r="H315" s="126">
        <f t="shared" si="4"/>
        <v>0.67128358518521281</v>
      </c>
      <c r="I315" s="89">
        <v>585.09</v>
      </c>
      <c r="J315" s="126">
        <v>84.984375</v>
      </c>
    </row>
    <row r="316" spans="1:10" x14ac:dyDescent="0.3">
      <c r="A316" s="88" t="s">
        <v>481</v>
      </c>
      <c r="B316" s="24">
        <v>39396</v>
      </c>
      <c r="C316" s="32">
        <v>2.492115949542077</v>
      </c>
      <c r="D316">
        <v>5.0999999999999996</v>
      </c>
      <c r="E316">
        <v>2.2000000000000002</v>
      </c>
      <c r="F316" s="126">
        <v>6.3049999999999997</v>
      </c>
      <c r="G316" s="126"/>
      <c r="H316" s="126">
        <f t="shared" si="4"/>
        <v>0.71603982725344328</v>
      </c>
      <c r="I316" s="89">
        <v>343.35</v>
      </c>
      <c r="J316" s="126">
        <v>89.006249999999994</v>
      </c>
    </row>
    <row r="317" spans="1:10" x14ac:dyDescent="0.3">
      <c r="A317" s="88" t="s">
        <v>481</v>
      </c>
      <c r="B317" s="24">
        <v>39397</v>
      </c>
      <c r="C317" s="32">
        <v>1.30590835781349</v>
      </c>
      <c r="D317">
        <v>8.6</v>
      </c>
      <c r="E317">
        <v>2</v>
      </c>
      <c r="F317" s="126">
        <v>7.5</v>
      </c>
      <c r="G317" s="126"/>
      <c r="H317" s="126">
        <f t="shared" si="4"/>
        <v>0.70587248896856769</v>
      </c>
      <c r="I317" s="89">
        <v>394.20000000000005</v>
      </c>
      <c r="J317" s="126">
        <v>88.651041666666671</v>
      </c>
    </row>
    <row r="318" spans="1:10" x14ac:dyDescent="0.3">
      <c r="A318" s="88" t="s">
        <v>481</v>
      </c>
      <c r="B318" s="24">
        <v>39398</v>
      </c>
      <c r="C318" s="32">
        <v>2.3364149530556997</v>
      </c>
      <c r="D318">
        <v>6.5</v>
      </c>
      <c r="E318">
        <v>1.8</v>
      </c>
      <c r="F318" s="126">
        <v>5.6150000000000002</v>
      </c>
      <c r="G318" s="126"/>
      <c r="H318" s="126">
        <f t="shared" si="4"/>
        <v>0.69583287280742301</v>
      </c>
      <c r="I318" s="89">
        <v>451.43999999999994</v>
      </c>
      <c r="J318" s="126">
        <v>85.47708333333334</v>
      </c>
    </row>
    <row r="319" spans="1:10" x14ac:dyDescent="0.3">
      <c r="A319" s="88" t="s">
        <v>481</v>
      </c>
      <c r="B319" s="24">
        <v>39399</v>
      </c>
      <c r="C319" s="32">
        <v>0.51840331778123383</v>
      </c>
      <c r="D319">
        <v>5</v>
      </c>
      <c r="E319">
        <v>2</v>
      </c>
      <c r="F319" s="126">
        <v>6.2249999999999996</v>
      </c>
      <c r="G319" s="126"/>
      <c r="H319" s="126">
        <f t="shared" si="4"/>
        <v>0.70587248896856769</v>
      </c>
      <c r="I319" s="89">
        <v>300.60000000000025</v>
      </c>
      <c r="J319" s="126">
        <v>88.889583333333306</v>
      </c>
    </row>
    <row r="320" spans="1:10" x14ac:dyDescent="0.3">
      <c r="A320" s="88" t="s">
        <v>481</v>
      </c>
      <c r="B320" s="24">
        <v>39400</v>
      </c>
      <c r="C320" s="32">
        <v>2.558716375784805</v>
      </c>
      <c r="D320">
        <v>2.6</v>
      </c>
      <c r="E320">
        <v>0.4</v>
      </c>
      <c r="F320" s="126">
        <v>0.19500000000000001</v>
      </c>
      <c r="G320" s="126"/>
      <c r="H320" s="126">
        <f t="shared" si="4"/>
        <v>0.62901732612537431</v>
      </c>
      <c r="I320" s="89">
        <v>329.75999999999982</v>
      </c>
      <c r="J320" s="126">
        <v>87.676041666666663</v>
      </c>
    </row>
    <row r="321" spans="1:10" x14ac:dyDescent="0.3">
      <c r="A321" s="88" t="s">
        <v>481</v>
      </c>
      <c r="B321" s="24">
        <v>39401</v>
      </c>
      <c r="C321" s="32">
        <v>2.799017913714648</v>
      </c>
      <c r="D321">
        <v>3.8</v>
      </c>
      <c r="E321">
        <v>0.5</v>
      </c>
      <c r="F321" s="126">
        <v>0</v>
      </c>
      <c r="G321" s="126"/>
      <c r="H321" s="126">
        <f t="shared" si="4"/>
        <v>0.63359438986733596</v>
      </c>
      <c r="I321" s="89">
        <v>234</v>
      </c>
      <c r="J321" s="126">
        <v>85.626041666666652</v>
      </c>
    </row>
    <row r="322" spans="1:10" x14ac:dyDescent="0.3">
      <c r="A322" s="88" t="s">
        <v>481</v>
      </c>
      <c r="B322" s="24">
        <v>39402</v>
      </c>
      <c r="C322" s="32">
        <v>1.0962070157249006</v>
      </c>
      <c r="D322">
        <v>4.0999999999999996</v>
      </c>
      <c r="E322">
        <v>0</v>
      </c>
      <c r="F322" s="126">
        <v>1.22</v>
      </c>
      <c r="G322" s="126"/>
      <c r="H322" s="126">
        <f t="shared" si="4"/>
        <v>0.61099999999999999</v>
      </c>
      <c r="I322" s="89">
        <v>236.88000000000002</v>
      </c>
      <c r="J322" s="126">
        <v>87.641666666666666</v>
      </c>
    </row>
    <row r="323" spans="1:10" x14ac:dyDescent="0.3">
      <c r="A323" s="88" t="s">
        <v>481</v>
      </c>
      <c r="B323" s="24">
        <v>39403</v>
      </c>
      <c r="C323" s="32">
        <v>1.1943076435689188</v>
      </c>
      <c r="D323">
        <v>6.2</v>
      </c>
      <c r="E323">
        <v>4.0999999999999996</v>
      </c>
      <c r="F323" s="126">
        <v>0.90500000000000003</v>
      </c>
      <c r="G323" s="126"/>
      <c r="H323" s="126">
        <f t="shared" si="4"/>
        <v>0.81927114982761395</v>
      </c>
      <c r="I323" s="89">
        <v>228.60000000000008</v>
      </c>
      <c r="J323" s="126">
        <v>91.75</v>
      </c>
    </row>
    <row r="324" spans="1:10" x14ac:dyDescent="0.3">
      <c r="A324" s="88" t="s">
        <v>481</v>
      </c>
      <c r="B324" s="24">
        <v>39404</v>
      </c>
      <c r="C324" s="32">
        <v>0.83340533379413639</v>
      </c>
      <c r="D324">
        <v>6.3</v>
      </c>
      <c r="E324">
        <v>3.6</v>
      </c>
      <c r="F324" s="126">
        <v>0.57499999999999996</v>
      </c>
      <c r="G324" s="126"/>
      <c r="H324" s="126">
        <f t="shared" ref="H324:H387" si="5">0.611*EXP((17.27*E324)/(E324+237.3))</f>
        <v>0.79090602148237243</v>
      </c>
      <c r="I324" s="89">
        <v>168.84</v>
      </c>
      <c r="J324" s="126">
        <v>91.014583333333306</v>
      </c>
    </row>
    <row r="325" spans="1:10" x14ac:dyDescent="0.3">
      <c r="A325" s="88" t="s">
        <v>481</v>
      </c>
      <c r="B325" s="24">
        <v>39405</v>
      </c>
      <c r="C325" s="32">
        <v>1.7595112608720695</v>
      </c>
      <c r="D325">
        <v>3.5</v>
      </c>
      <c r="E325">
        <v>0.5</v>
      </c>
      <c r="F325" s="126">
        <v>0.19500000000000001</v>
      </c>
      <c r="G325" s="126"/>
      <c r="H325" s="126">
        <f t="shared" si="5"/>
        <v>0.63359438986733596</v>
      </c>
      <c r="I325" s="89">
        <v>299.60999999999996</v>
      </c>
      <c r="J325" s="126">
        <v>85.45</v>
      </c>
    </row>
    <row r="326" spans="1:10" x14ac:dyDescent="0.3">
      <c r="A326" s="88" t="s">
        <v>481</v>
      </c>
      <c r="B326" s="24">
        <v>39406</v>
      </c>
      <c r="C326" s="32">
        <v>2.1978140660100225</v>
      </c>
      <c r="D326">
        <v>5.6</v>
      </c>
      <c r="E326">
        <v>0.7</v>
      </c>
      <c r="F326" s="126">
        <v>0</v>
      </c>
      <c r="G326" s="126"/>
      <c r="H326" s="126">
        <f t="shared" si="5"/>
        <v>0.64283692539220627</v>
      </c>
      <c r="I326" s="89">
        <v>116.37</v>
      </c>
      <c r="J326" s="126">
        <v>88.009375000000006</v>
      </c>
    </row>
    <row r="327" spans="1:10" x14ac:dyDescent="0.3">
      <c r="A327" s="88" t="s">
        <v>481</v>
      </c>
      <c r="B327" s="24">
        <v>39407</v>
      </c>
      <c r="C327" s="32">
        <v>1.4418092275790566</v>
      </c>
      <c r="D327">
        <v>7.8</v>
      </c>
      <c r="E327">
        <v>0.1</v>
      </c>
      <c r="F327" s="126">
        <v>0</v>
      </c>
      <c r="G327" s="126"/>
      <c r="H327" s="126">
        <f t="shared" si="5"/>
        <v>0.61546101269605991</v>
      </c>
      <c r="I327" s="89">
        <v>147.06</v>
      </c>
      <c r="J327" s="126">
        <v>85.783333333333303</v>
      </c>
    </row>
    <row r="328" spans="1:10" x14ac:dyDescent="0.3">
      <c r="A328" s="88" t="s">
        <v>481</v>
      </c>
      <c r="B328" s="24">
        <v>39408</v>
      </c>
      <c r="C328" s="32">
        <v>0.97380623235988717</v>
      </c>
      <c r="D328">
        <v>9.6</v>
      </c>
      <c r="E328">
        <v>4.2</v>
      </c>
      <c r="F328" s="126">
        <v>0</v>
      </c>
      <c r="G328" s="126"/>
      <c r="H328" s="126">
        <f t="shared" si="5"/>
        <v>0.82505065566727931</v>
      </c>
      <c r="I328" s="89">
        <v>103.05000000000003</v>
      </c>
      <c r="J328" s="126">
        <v>85.840625000000003</v>
      </c>
    </row>
    <row r="329" spans="1:10" x14ac:dyDescent="0.3">
      <c r="A329" s="88" t="s">
        <v>481</v>
      </c>
      <c r="B329" s="24">
        <v>39409</v>
      </c>
      <c r="C329" s="32">
        <v>1.072806865963942</v>
      </c>
      <c r="D329">
        <v>9</v>
      </c>
      <c r="E329">
        <v>3.8</v>
      </c>
      <c r="F329" s="126">
        <v>0.28999999999999998</v>
      </c>
      <c r="G329" s="126"/>
      <c r="H329" s="126">
        <f t="shared" si="5"/>
        <v>0.80214634758046521</v>
      </c>
      <c r="I329" s="89">
        <v>206.55</v>
      </c>
      <c r="J329" s="126">
        <v>88.568749999999994</v>
      </c>
    </row>
    <row r="330" spans="1:10" x14ac:dyDescent="0.3">
      <c r="A330" s="88" t="s">
        <v>481</v>
      </c>
      <c r="B330" s="24">
        <v>39410</v>
      </c>
      <c r="C330" s="32">
        <v>4.6719299003513619</v>
      </c>
      <c r="D330">
        <v>4.8</v>
      </c>
      <c r="E330">
        <v>0.1</v>
      </c>
      <c r="F330" s="126">
        <v>0</v>
      </c>
      <c r="G330" s="126"/>
      <c r="H330" s="126">
        <f t="shared" si="5"/>
        <v>0.61546101269605991</v>
      </c>
      <c r="I330" s="89">
        <v>260.82</v>
      </c>
      <c r="J330" s="126">
        <v>74.807291666666686</v>
      </c>
    </row>
    <row r="331" spans="1:10" x14ac:dyDescent="0.3">
      <c r="A331" s="88" t="s">
        <v>481</v>
      </c>
      <c r="B331" s="24">
        <v>39411</v>
      </c>
      <c r="C331" s="32">
        <v>1.9287123437590001</v>
      </c>
      <c r="D331">
        <v>8.1</v>
      </c>
      <c r="E331">
        <v>1.6</v>
      </c>
      <c r="F331" s="126">
        <v>3.8050000000000002</v>
      </c>
      <c r="G331" s="126"/>
      <c r="H331" s="126">
        <f t="shared" si="5"/>
        <v>0.68591959793818613</v>
      </c>
      <c r="I331" s="89">
        <v>439.92000000000013</v>
      </c>
      <c r="J331" s="126">
        <v>84.10833333333332</v>
      </c>
    </row>
    <row r="332" spans="1:10" x14ac:dyDescent="0.3">
      <c r="A332" s="88" t="s">
        <v>481</v>
      </c>
      <c r="B332" s="24">
        <v>39412</v>
      </c>
      <c r="C332" s="32">
        <v>1.7982115085536547</v>
      </c>
      <c r="D332">
        <v>2.8</v>
      </c>
      <c r="E332">
        <v>0.7</v>
      </c>
      <c r="F332" s="126">
        <v>1.21</v>
      </c>
      <c r="G332" s="126"/>
      <c r="H332" s="126">
        <f t="shared" si="5"/>
        <v>0.64283692539220627</v>
      </c>
      <c r="I332" s="89">
        <v>517.50000000000045</v>
      </c>
      <c r="J332" s="126">
        <v>86.579166666666637</v>
      </c>
    </row>
    <row r="333" spans="1:10" x14ac:dyDescent="0.3">
      <c r="A333" s="88" t="s">
        <v>481</v>
      </c>
      <c r="B333" s="24">
        <v>39413</v>
      </c>
      <c r="C333" s="32">
        <v>3.9960255745636775</v>
      </c>
      <c r="D333">
        <v>4.8</v>
      </c>
      <c r="E333">
        <v>0.1</v>
      </c>
      <c r="F333" s="126">
        <v>0</v>
      </c>
      <c r="G333" s="126"/>
      <c r="H333" s="126">
        <f t="shared" si="5"/>
        <v>0.61546101269605991</v>
      </c>
      <c r="I333" s="89">
        <v>270.71999999999991</v>
      </c>
      <c r="J333" s="126">
        <v>86.316666666666677</v>
      </c>
    </row>
    <row r="334" spans="1:10" x14ac:dyDescent="0.3">
      <c r="A334" s="88" t="s">
        <v>481</v>
      </c>
      <c r="B334" s="24">
        <v>39414</v>
      </c>
      <c r="C334" s="32">
        <v>2.2032141005702437</v>
      </c>
      <c r="D334">
        <v>5.0999999999999996</v>
      </c>
      <c r="E334">
        <v>0.4</v>
      </c>
      <c r="F334" s="126">
        <v>0</v>
      </c>
      <c r="G334" s="126"/>
      <c r="H334" s="126">
        <f t="shared" si="5"/>
        <v>0.62901732612537431</v>
      </c>
      <c r="I334" s="89">
        <v>171.27</v>
      </c>
      <c r="J334" s="126">
        <v>84.182291666666643</v>
      </c>
    </row>
    <row r="335" spans="1:10" x14ac:dyDescent="0.3">
      <c r="A335" s="88" t="s">
        <v>481</v>
      </c>
      <c r="B335" s="24">
        <v>39415</v>
      </c>
      <c r="C335" s="32">
        <v>1.1628074419676286</v>
      </c>
      <c r="D335">
        <v>4.5999999999999996</v>
      </c>
      <c r="E335">
        <v>0.6</v>
      </c>
      <c r="F335" s="126">
        <v>0.13</v>
      </c>
      <c r="G335" s="126"/>
      <c r="H335" s="126">
        <f t="shared" si="5"/>
        <v>0.63820086880942895</v>
      </c>
      <c r="I335" s="89">
        <v>288.99000000000007</v>
      </c>
      <c r="J335" s="126">
        <v>78.193749999999994</v>
      </c>
    </row>
    <row r="336" spans="1:10" x14ac:dyDescent="0.3">
      <c r="A336" s="88" t="s">
        <v>481</v>
      </c>
      <c r="B336" s="24">
        <v>39416</v>
      </c>
      <c r="C336" s="32">
        <v>1.9476124647197743</v>
      </c>
      <c r="D336">
        <v>7.6</v>
      </c>
      <c r="E336">
        <v>3.8</v>
      </c>
      <c r="F336" s="126">
        <v>3.9950000000000001</v>
      </c>
      <c r="G336" s="126"/>
      <c r="H336" s="126">
        <f t="shared" si="5"/>
        <v>0.80214634758046521</v>
      </c>
      <c r="I336" s="89">
        <v>387.63000000000011</v>
      </c>
      <c r="J336" s="126">
        <v>86.36145833333336</v>
      </c>
    </row>
    <row r="337" spans="1:10" x14ac:dyDescent="0.3">
      <c r="A337" s="88" t="s">
        <v>481</v>
      </c>
      <c r="B337" s="24">
        <v>39417</v>
      </c>
      <c r="C337" s="32">
        <v>2.1654138586486953</v>
      </c>
      <c r="D337">
        <v>9.9</v>
      </c>
      <c r="E337">
        <v>0</v>
      </c>
      <c r="F337" s="126">
        <v>1.355</v>
      </c>
      <c r="G337" s="126"/>
      <c r="H337" s="126">
        <f t="shared" si="5"/>
        <v>0.61099999999999999</v>
      </c>
      <c r="I337" s="89">
        <v>363.24000000000018</v>
      </c>
      <c r="J337" s="126">
        <v>77.541666666666643</v>
      </c>
    </row>
    <row r="338" spans="1:10" x14ac:dyDescent="0.3">
      <c r="A338" s="88" t="s">
        <v>481</v>
      </c>
      <c r="B338" s="24">
        <v>39418</v>
      </c>
      <c r="C338" s="32">
        <v>0.60300385922469912</v>
      </c>
      <c r="D338">
        <v>9.9</v>
      </c>
      <c r="E338">
        <v>6</v>
      </c>
      <c r="F338" s="126">
        <v>3.8149999999999999</v>
      </c>
      <c r="G338" s="126"/>
      <c r="H338" s="126">
        <f t="shared" si="5"/>
        <v>0.93541559507788385</v>
      </c>
      <c r="I338" s="89">
        <v>388.17000000000007</v>
      </c>
      <c r="J338" s="126">
        <v>79.706249999999997</v>
      </c>
    </row>
    <row r="339" spans="1:10" x14ac:dyDescent="0.3">
      <c r="A339" s="88" t="s">
        <v>481</v>
      </c>
      <c r="B339" s="24">
        <v>39419</v>
      </c>
      <c r="C339" s="32">
        <v>1.0822806108064356</v>
      </c>
      <c r="D339">
        <v>8.4</v>
      </c>
      <c r="E339">
        <v>3.8</v>
      </c>
      <c r="F339" s="126">
        <v>6.17</v>
      </c>
      <c r="G339" s="126"/>
      <c r="H339" s="126">
        <f t="shared" si="5"/>
        <v>0.80214634758046521</v>
      </c>
      <c r="I339" s="89">
        <v>617.89642105263147</v>
      </c>
      <c r="J339" s="126">
        <v>82.214736842105282</v>
      </c>
    </row>
    <row r="340" spans="1:10" x14ac:dyDescent="0.3">
      <c r="A340" s="88" t="s">
        <v>481</v>
      </c>
      <c r="B340" s="24">
        <v>39420</v>
      </c>
      <c r="C340" s="32">
        <v>2.4192154829790913</v>
      </c>
      <c r="D340">
        <v>7.1</v>
      </c>
      <c r="E340">
        <v>4.3</v>
      </c>
      <c r="F340" s="126">
        <v>0.51500000000000001</v>
      </c>
      <c r="G340" s="126"/>
      <c r="H340" s="126">
        <f t="shared" si="5"/>
        <v>0.83086609768035358</v>
      </c>
      <c r="I340" s="89">
        <v>394.20000000000005</v>
      </c>
      <c r="J340" s="126">
        <v>81.279166666666669</v>
      </c>
    </row>
    <row r="341" spans="1:10" x14ac:dyDescent="0.3">
      <c r="A341" s="88" t="s">
        <v>481</v>
      </c>
      <c r="B341" s="24">
        <v>39421</v>
      </c>
      <c r="C341" s="32">
        <v>0.78300501123207189</v>
      </c>
      <c r="D341">
        <v>9.9</v>
      </c>
      <c r="E341">
        <v>0</v>
      </c>
      <c r="F341" s="126">
        <v>0.34</v>
      </c>
      <c r="G341" s="126"/>
      <c r="H341" s="126">
        <f t="shared" si="5"/>
        <v>0.61099999999999999</v>
      </c>
      <c r="I341" s="89">
        <v>341.1</v>
      </c>
      <c r="J341" s="126">
        <v>80.816666666666691</v>
      </c>
    </row>
    <row r="342" spans="1:10" x14ac:dyDescent="0.3">
      <c r="A342" s="88" t="s">
        <v>481</v>
      </c>
      <c r="B342" s="24">
        <v>39422</v>
      </c>
      <c r="C342" s="32">
        <v>1.5642100109440702</v>
      </c>
      <c r="D342">
        <v>9.9</v>
      </c>
      <c r="E342">
        <v>0</v>
      </c>
      <c r="F342" s="126">
        <v>5.085</v>
      </c>
      <c r="G342" s="126"/>
      <c r="H342" s="126">
        <f t="shared" si="5"/>
        <v>0.61099999999999999</v>
      </c>
      <c r="I342" s="89">
        <v>332.00999999999993</v>
      </c>
      <c r="J342" s="126">
        <v>83.05</v>
      </c>
    </row>
    <row r="343" spans="1:10" x14ac:dyDescent="0.3">
      <c r="A343" s="88" t="s">
        <v>481</v>
      </c>
      <c r="B343" s="24">
        <v>39423</v>
      </c>
      <c r="C343" s="32">
        <v>1.3509086458153332</v>
      </c>
      <c r="D343">
        <v>9.8000000000000007</v>
      </c>
      <c r="E343">
        <v>0</v>
      </c>
      <c r="F343" s="126">
        <v>8.1349999999999998</v>
      </c>
      <c r="G343" s="126"/>
      <c r="H343" s="126">
        <f t="shared" si="5"/>
        <v>0.61099999999999999</v>
      </c>
      <c r="I343" s="89">
        <v>563.94000000000017</v>
      </c>
      <c r="J343" s="126">
        <v>81.379166666666677</v>
      </c>
    </row>
    <row r="344" spans="1:10" x14ac:dyDescent="0.3">
      <c r="A344" s="88" t="s">
        <v>481</v>
      </c>
      <c r="B344" s="24">
        <v>39424</v>
      </c>
      <c r="C344" s="32">
        <v>1.4472092621392778</v>
      </c>
      <c r="D344">
        <v>7</v>
      </c>
      <c r="E344">
        <v>4.3</v>
      </c>
      <c r="F344" s="126">
        <v>0.185</v>
      </c>
      <c r="G344" s="126"/>
      <c r="H344" s="126">
        <f t="shared" si="5"/>
        <v>0.83086609768035358</v>
      </c>
      <c r="I344" s="89">
        <v>393.75</v>
      </c>
      <c r="J344" s="126">
        <v>74.263541666666711</v>
      </c>
    </row>
    <row r="345" spans="1:10" x14ac:dyDescent="0.3">
      <c r="A345" s="88" t="s">
        <v>481</v>
      </c>
      <c r="B345" s="24">
        <v>39425</v>
      </c>
      <c r="C345" s="32">
        <v>2.1267136109671103</v>
      </c>
      <c r="D345">
        <v>9.1999999999999993</v>
      </c>
      <c r="E345">
        <v>4.0999999999999996</v>
      </c>
      <c r="F345" s="126">
        <v>2.2250000000000001</v>
      </c>
      <c r="G345" s="126"/>
      <c r="H345" s="126">
        <f t="shared" si="5"/>
        <v>0.81927114982761395</v>
      </c>
      <c r="I345" s="89">
        <v>247.86</v>
      </c>
      <c r="J345" s="126">
        <v>79.135416666666686</v>
      </c>
    </row>
    <row r="346" spans="1:10" x14ac:dyDescent="0.3">
      <c r="A346" s="88" t="s">
        <v>481</v>
      </c>
      <c r="B346" s="24">
        <v>39426</v>
      </c>
      <c r="C346" s="32">
        <v>0.73530470595011799</v>
      </c>
      <c r="D346">
        <v>5.9</v>
      </c>
      <c r="E346">
        <v>4.3</v>
      </c>
      <c r="F346" s="126">
        <v>1.24</v>
      </c>
      <c r="G346" s="126"/>
      <c r="H346" s="126">
        <f t="shared" si="5"/>
        <v>0.83086609768035358</v>
      </c>
      <c r="I346" s="89">
        <v>163.89000000000001</v>
      </c>
      <c r="J346" s="126">
        <v>87.397916666666674</v>
      </c>
    </row>
    <row r="347" spans="1:10" x14ac:dyDescent="0.3">
      <c r="A347" s="88" t="s">
        <v>481</v>
      </c>
      <c r="B347" s="24">
        <v>39427</v>
      </c>
      <c r="C347" s="32">
        <v>0.16380104832670928</v>
      </c>
      <c r="D347">
        <v>5</v>
      </c>
      <c r="E347">
        <v>3.6</v>
      </c>
      <c r="F347" s="126">
        <v>3.415</v>
      </c>
      <c r="G347" s="126"/>
      <c r="H347" s="126">
        <f t="shared" si="5"/>
        <v>0.79090602148237243</v>
      </c>
      <c r="I347" s="89">
        <v>282.78000000000009</v>
      </c>
      <c r="J347" s="126">
        <v>94.272916666666632</v>
      </c>
    </row>
    <row r="348" spans="1:10" x14ac:dyDescent="0.3">
      <c r="A348" s="88" t="s">
        <v>481</v>
      </c>
      <c r="B348" s="24">
        <v>39428</v>
      </c>
      <c r="C348" s="32">
        <v>0.27450175681124361</v>
      </c>
      <c r="D348">
        <v>4.5999999999999996</v>
      </c>
      <c r="E348">
        <v>3.7</v>
      </c>
      <c r="F348" s="126">
        <v>0.23499999999999999</v>
      </c>
      <c r="G348" s="126"/>
      <c r="H348" s="126">
        <f t="shared" si="5"/>
        <v>0.79650868879481573</v>
      </c>
      <c r="I348" s="89">
        <v>275.31000000000017</v>
      </c>
      <c r="J348" s="126">
        <v>89.775000000000006</v>
      </c>
    </row>
    <row r="349" spans="1:10" x14ac:dyDescent="0.3">
      <c r="A349" s="88" t="s">
        <v>481</v>
      </c>
      <c r="B349" s="24">
        <v>39429</v>
      </c>
      <c r="C349" s="32">
        <v>0.98280628996025576</v>
      </c>
      <c r="D349">
        <v>4</v>
      </c>
      <c r="E349">
        <v>2.2000000000000002</v>
      </c>
      <c r="F349" s="126">
        <v>0</v>
      </c>
      <c r="G349" s="126"/>
      <c r="H349" s="126">
        <f t="shared" si="5"/>
        <v>0.71603982725344328</v>
      </c>
      <c r="I349" s="89">
        <v>130.58999999999997</v>
      </c>
      <c r="J349" s="126">
        <v>85.198958333333323</v>
      </c>
    </row>
    <row r="350" spans="1:10" x14ac:dyDescent="0.3">
      <c r="A350" s="88" t="s">
        <v>481</v>
      </c>
      <c r="B350" s="24">
        <v>39430</v>
      </c>
      <c r="C350" s="32">
        <v>0.24660157825010079</v>
      </c>
      <c r="D350">
        <v>2.2999999999999998</v>
      </c>
      <c r="E350">
        <v>1.4</v>
      </c>
      <c r="F350" s="126">
        <v>0.01</v>
      </c>
      <c r="G350" s="126"/>
      <c r="H350" s="126">
        <f t="shared" si="5"/>
        <v>0.67613129580825593</v>
      </c>
      <c r="I350" s="89">
        <v>98.550000000000011</v>
      </c>
      <c r="J350" s="126">
        <v>81.890625</v>
      </c>
    </row>
    <row r="351" spans="1:10" x14ac:dyDescent="0.3">
      <c r="A351" s="88" t="s">
        <v>481</v>
      </c>
      <c r="B351" s="24">
        <v>39431</v>
      </c>
      <c r="C351" s="32">
        <v>2.7909178618743162</v>
      </c>
      <c r="D351">
        <v>3</v>
      </c>
      <c r="E351">
        <v>0</v>
      </c>
      <c r="F351" s="126">
        <v>0</v>
      </c>
      <c r="G351" s="126"/>
      <c r="H351" s="126">
        <f t="shared" si="5"/>
        <v>0.61099999999999999</v>
      </c>
      <c r="I351" s="89">
        <v>221.03999999999996</v>
      </c>
      <c r="J351" s="126">
        <v>82.481250000000003</v>
      </c>
    </row>
    <row r="352" spans="1:10" x14ac:dyDescent="0.3">
      <c r="A352" s="88" t="s">
        <v>481</v>
      </c>
      <c r="B352" s="24">
        <v>39432</v>
      </c>
      <c r="C352" s="32">
        <v>0.55980358274292963</v>
      </c>
      <c r="D352">
        <v>4.4000000000000004</v>
      </c>
      <c r="E352">
        <v>1.1000000000000001</v>
      </c>
      <c r="F352" s="126">
        <v>0</v>
      </c>
      <c r="G352" s="126"/>
      <c r="H352" s="126">
        <f t="shared" si="5"/>
        <v>0.66168020278676021</v>
      </c>
      <c r="I352" s="89">
        <v>181.61999999999995</v>
      </c>
      <c r="J352" s="126">
        <v>91.106250000000003</v>
      </c>
    </row>
    <row r="353" spans="1:10" x14ac:dyDescent="0.3">
      <c r="A353" s="88" t="s">
        <v>481</v>
      </c>
      <c r="B353" s="24">
        <v>39433</v>
      </c>
      <c r="C353" s="32">
        <v>1.7964114970335812</v>
      </c>
      <c r="D353">
        <v>1.4</v>
      </c>
      <c r="E353">
        <v>0</v>
      </c>
      <c r="F353" s="126">
        <v>0</v>
      </c>
      <c r="G353" s="126"/>
      <c r="H353" s="126">
        <f t="shared" si="5"/>
        <v>0.61099999999999999</v>
      </c>
      <c r="I353" s="89">
        <v>301.76999999999987</v>
      </c>
      <c r="J353" s="126">
        <v>84.293750000000003</v>
      </c>
    </row>
    <row r="354" spans="1:10" x14ac:dyDescent="0.3">
      <c r="A354" s="88" t="s">
        <v>481</v>
      </c>
      <c r="B354" s="24">
        <v>39434</v>
      </c>
      <c r="C354" s="32">
        <v>1.1349072634064858</v>
      </c>
      <c r="D354">
        <v>2.4</v>
      </c>
      <c r="E354">
        <v>0.3</v>
      </c>
      <c r="F354" s="126">
        <v>0</v>
      </c>
      <c r="G354" s="126"/>
      <c r="H354" s="126">
        <f t="shared" si="5"/>
        <v>0.62446951587741306</v>
      </c>
      <c r="I354" s="89">
        <v>271.17</v>
      </c>
      <c r="J354" s="126">
        <v>88.55520833333334</v>
      </c>
    </row>
    <row r="355" spans="1:10" x14ac:dyDescent="0.3">
      <c r="A355" s="88" t="s">
        <v>481</v>
      </c>
      <c r="B355" s="24">
        <v>39435</v>
      </c>
      <c r="C355" s="32">
        <v>0.38610247105581474</v>
      </c>
      <c r="D355">
        <v>3.5</v>
      </c>
      <c r="E355">
        <v>2.4</v>
      </c>
      <c r="F355" s="126">
        <v>0</v>
      </c>
      <c r="G355" s="126"/>
      <c r="H355" s="126">
        <f t="shared" si="5"/>
        <v>0.7263362808555901</v>
      </c>
      <c r="I355" s="89">
        <v>118.17000000000002</v>
      </c>
      <c r="J355" s="126">
        <v>94.529166666666654</v>
      </c>
    </row>
    <row r="356" spans="1:10" x14ac:dyDescent="0.3">
      <c r="A356" s="88" t="s">
        <v>481</v>
      </c>
      <c r="B356" s="24">
        <v>39436</v>
      </c>
      <c r="C356" s="32">
        <v>0.85320546051494728</v>
      </c>
      <c r="D356">
        <v>4.5</v>
      </c>
      <c r="E356">
        <v>3.3</v>
      </c>
      <c r="F356" s="126">
        <v>0</v>
      </c>
      <c r="G356" s="126"/>
      <c r="H356" s="126">
        <f t="shared" si="5"/>
        <v>0.77430610767805441</v>
      </c>
      <c r="I356" s="89">
        <v>89.460000000000008</v>
      </c>
      <c r="J356" s="126">
        <v>96.25833333333334</v>
      </c>
    </row>
    <row r="357" spans="1:10" x14ac:dyDescent="0.3">
      <c r="A357" s="88" t="s">
        <v>481</v>
      </c>
      <c r="B357" s="24">
        <v>39437</v>
      </c>
      <c r="C357" s="32">
        <v>1.2411079430908358</v>
      </c>
      <c r="D357">
        <v>5.2</v>
      </c>
      <c r="E357">
        <v>3.8</v>
      </c>
      <c r="F357" s="126">
        <v>0</v>
      </c>
      <c r="G357" s="126"/>
      <c r="H357" s="126">
        <f t="shared" si="5"/>
        <v>0.80214634758046521</v>
      </c>
      <c r="I357" s="89">
        <v>143.73000000000005</v>
      </c>
      <c r="J357" s="126">
        <v>98.844791666666694</v>
      </c>
    </row>
    <row r="358" spans="1:10" x14ac:dyDescent="0.3">
      <c r="A358" s="88" t="s">
        <v>481</v>
      </c>
      <c r="B358" s="24">
        <v>39438</v>
      </c>
      <c r="C358" s="32">
        <v>2.2473143828120503</v>
      </c>
      <c r="D358">
        <v>6.6</v>
      </c>
      <c r="E358">
        <v>2.7</v>
      </c>
      <c r="F358" s="126">
        <v>0</v>
      </c>
      <c r="G358" s="126"/>
      <c r="H358" s="126">
        <f t="shared" si="5"/>
        <v>0.74202613073523482</v>
      </c>
      <c r="I358" s="89">
        <v>60.480000000000004</v>
      </c>
      <c r="J358" s="126">
        <v>98.269791666666677</v>
      </c>
    </row>
    <row r="359" spans="1:10" x14ac:dyDescent="0.3">
      <c r="A359" s="88" t="s">
        <v>481</v>
      </c>
      <c r="B359" s="24">
        <v>39439</v>
      </c>
      <c r="C359" s="32">
        <v>0.86220551811531587</v>
      </c>
      <c r="D359">
        <v>5.2</v>
      </c>
      <c r="E359">
        <v>0</v>
      </c>
      <c r="F359" s="126">
        <v>0.18</v>
      </c>
      <c r="G359" s="126"/>
      <c r="H359" s="126">
        <f t="shared" si="5"/>
        <v>0.61099999999999999</v>
      </c>
      <c r="I359" s="89">
        <v>174.51000000000002</v>
      </c>
      <c r="J359" s="126">
        <v>94.275000000000006</v>
      </c>
    </row>
    <row r="360" spans="1:10" x14ac:dyDescent="0.3">
      <c r="A360" s="88" t="s">
        <v>481</v>
      </c>
      <c r="B360" s="24">
        <v>39440</v>
      </c>
      <c r="C360" s="32">
        <v>0.85680548355509467</v>
      </c>
      <c r="D360">
        <v>1.3</v>
      </c>
      <c r="E360">
        <v>0</v>
      </c>
      <c r="F360" s="126">
        <v>0</v>
      </c>
      <c r="G360" s="126"/>
      <c r="H360" s="126">
        <f t="shared" si="5"/>
        <v>0.61099999999999999</v>
      </c>
      <c r="I360" s="89">
        <v>94.23</v>
      </c>
      <c r="J360" s="126">
        <v>97.38229166666666</v>
      </c>
    </row>
    <row r="361" spans="1:10" x14ac:dyDescent="0.3">
      <c r="A361" s="88" t="s">
        <v>481</v>
      </c>
      <c r="B361" s="24">
        <v>39441</v>
      </c>
      <c r="C361" s="32">
        <v>3.0078192500432004</v>
      </c>
      <c r="D361">
        <v>3.1</v>
      </c>
      <c r="E361">
        <v>0.1</v>
      </c>
      <c r="F361" s="126">
        <v>0</v>
      </c>
      <c r="G361" s="126"/>
      <c r="H361" s="126">
        <f t="shared" si="5"/>
        <v>0.61546101269605991</v>
      </c>
      <c r="I361" s="89">
        <v>163.98</v>
      </c>
      <c r="J361" s="126">
        <v>77.314583333333317</v>
      </c>
    </row>
    <row r="362" spans="1:10" x14ac:dyDescent="0.3">
      <c r="A362" s="88" t="s">
        <v>481</v>
      </c>
      <c r="B362" s="24">
        <v>39442</v>
      </c>
      <c r="C362" s="32">
        <v>0.80010512067277229</v>
      </c>
      <c r="D362">
        <v>2.2000000000000002</v>
      </c>
      <c r="E362">
        <v>0</v>
      </c>
      <c r="F362" s="126">
        <v>0</v>
      </c>
      <c r="G362" s="126"/>
      <c r="H362" s="126">
        <f t="shared" si="5"/>
        <v>0.61099999999999999</v>
      </c>
      <c r="I362" s="89">
        <v>234.63000000000002</v>
      </c>
      <c r="J362" s="126">
        <v>75.290625000000006</v>
      </c>
    </row>
    <row r="363" spans="1:10" x14ac:dyDescent="0.3">
      <c r="A363" s="88" t="s">
        <v>481</v>
      </c>
      <c r="B363" s="24">
        <v>39443</v>
      </c>
      <c r="C363" s="32">
        <v>2.2833146132135247</v>
      </c>
      <c r="D363">
        <v>3.9</v>
      </c>
      <c r="E363">
        <v>0.1</v>
      </c>
      <c r="F363" s="126">
        <v>0</v>
      </c>
      <c r="G363" s="126"/>
      <c r="H363" s="126">
        <f t="shared" si="5"/>
        <v>0.61546101269605991</v>
      </c>
      <c r="I363" s="89">
        <v>250.74000000000004</v>
      </c>
      <c r="J363" s="126">
        <v>82.422916666666637</v>
      </c>
    </row>
    <row r="364" spans="1:10" x14ac:dyDescent="0.3">
      <c r="A364" s="88" t="s">
        <v>481</v>
      </c>
      <c r="B364" s="24">
        <v>39444</v>
      </c>
      <c r="C364" s="32">
        <v>1.570510051264328</v>
      </c>
      <c r="D364">
        <v>6</v>
      </c>
      <c r="E364">
        <v>3.8</v>
      </c>
      <c r="F364" s="126">
        <v>0</v>
      </c>
      <c r="G364" s="126"/>
      <c r="H364" s="126">
        <f t="shared" si="5"/>
        <v>0.80214634758046521</v>
      </c>
      <c r="I364" s="89">
        <v>328.95</v>
      </c>
      <c r="J364" s="126">
        <v>80.294791666666683</v>
      </c>
    </row>
    <row r="365" spans="1:10" x14ac:dyDescent="0.3">
      <c r="A365" s="88" t="s">
        <v>481</v>
      </c>
      <c r="B365" s="24">
        <v>39445</v>
      </c>
      <c r="C365" s="32">
        <v>0.82260526467369399</v>
      </c>
      <c r="D365">
        <v>5</v>
      </c>
      <c r="E365">
        <v>2.5</v>
      </c>
      <c r="F365" s="126">
        <v>0</v>
      </c>
      <c r="G365" s="126"/>
      <c r="H365" s="126">
        <f t="shared" si="5"/>
        <v>0.73153336467415264</v>
      </c>
      <c r="I365" s="89">
        <v>329.31000000000006</v>
      </c>
      <c r="J365" s="126">
        <v>72.228125000000006</v>
      </c>
    </row>
    <row r="366" spans="1:10" x14ac:dyDescent="0.3">
      <c r="A366" s="88" t="s">
        <v>481</v>
      </c>
      <c r="B366" s="24">
        <v>39446</v>
      </c>
      <c r="C366" s="32">
        <v>0.6741043142676113</v>
      </c>
      <c r="D366">
        <v>4.9000000000000004</v>
      </c>
      <c r="E366">
        <v>2.7</v>
      </c>
      <c r="F366" s="126">
        <v>0.52500000000000002</v>
      </c>
      <c r="G366" s="126"/>
      <c r="H366" s="126">
        <f t="shared" si="5"/>
        <v>0.74202613073523482</v>
      </c>
      <c r="I366" s="89">
        <v>246.15000000000003</v>
      </c>
      <c r="J366" s="126">
        <v>84.98333333333332</v>
      </c>
    </row>
    <row r="367" spans="1:10" x14ac:dyDescent="0.3">
      <c r="A367" s="88" t="s">
        <v>481</v>
      </c>
      <c r="B367" s="24">
        <v>39447</v>
      </c>
      <c r="C367" s="32">
        <v>1.9368123955993319</v>
      </c>
      <c r="D367">
        <v>4</v>
      </c>
      <c r="E367">
        <v>1.1000000000000001</v>
      </c>
      <c r="F367" s="126">
        <v>0</v>
      </c>
      <c r="G367" s="126"/>
      <c r="H367" s="126">
        <f t="shared" si="5"/>
        <v>0.66168020278676021</v>
      </c>
      <c r="I367" s="89">
        <v>256.41000000000003</v>
      </c>
      <c r="J367" s="126">
        <v>90.83645833333334</v>
      </c>
    </row>
    <row r="368" spans="1:10" x14ac:dyDescent="0.3">
      <c r="A368" s="88" t="s">
        <v>481</v>
      </c>
      <c r="B368" s="24">
        <v>39448</v>
      </c>
      <c r="C368" s="32">
        <v>0.84240539139450499</v>
      </c>
      <c r="D368" s="125">
        <v>1.1000000000000001</v>
      </c>
      <c r="E368" s="125">
        <v>-1</v>
      </c>
      <c r="F368" s="126">
        <v>1.4650000000000001</v>
      </c>
      <c r="G368" s="126"/>
      <c r="H368" s="126">
        <f t="shared" si="5"/>
        <v>0.5679377955282604</v>
      </c>
      <c r="I368" s="89">
        <v>141.84000000000003</v>
      </c>
      <c r="J368" s="125">
        <v>95.430208333333326</v>
      </c>
    </row>
    <row r="369" spans="1:10" x14ac:dyDescent="0.3">
      <c r="A369" s="88" t="s">
        <v>481</v>
      </c>
      <c r="B369" s="24">
        <v>39449</v>
      </c>
      <c r="C369" s="32">
        <v>1.30590835781349</v>
      </c>
      <c r="D369" s="125">
        <v>0</v>
      </c>
      <c r="E369" s="125">
        <v>-1.2</v>
      </c>
      <c r="F369" s="126">
        <v>0.48</v>
      </c>
      <c r="G369" s="126"/>
      <c r="H369" s="126">
        <f t="shared" si="5"/>
        <v>0.55965503960920326</v>
      </c>
      <c r="I369" s="89">
        <v>209.97000000000008</v>
      </c>
      <c r="J369" s="125">
        <v>92.261458333333351</v>
      </c>
    </row>
    <row r="370" spans="1:10" x14ac:dyDescent="0.3">
      <c r="A370" s="88" t="s">
        <v>481</v>
      </c>
      <c r="B370" s="24">
        <v>39450</v>
      </c>
      <c r="C370" s="32">
        <v>0.85680548355509467</v>
      </c>
      <c r="D370" s="125">
        <v>-1.1000000000000001</v>
      </c>
      <c r="E370" s="125">
        <v>-3.6</v>
      </c>
      <c r="F370" s="126">
        <v>0</v>
      </c>
      <c r="G370" s="126"/>
      <c r="H370" s="126">
        <f t="shared" si="5"/>
        <v>0.46827867731545425</v>
      </c>
      <c r="I370" s="89">
        <v>589.95000000000005</v>
      </c>
      <c r="J370" s="125">
        <v>89.7708333333333</v>
      </c>
    </row>
    <row r="371" spans="1:10" x14ac:dyDescent="0.3">
      <c r="A371" s="88" t="s">
        <v>481</v>
      </c>
      <c r="B371" s="24">
        <v>39451</v>
      </c>
      <c r="C371" s="32">
        <v>2.6073166868267954</v>
      </c>
      <c r="D371" s="125">
        <v>-3.1</v>
      </c>
      <c r="E371" s="125">
        <v>-5.5</v>
      </c>
      <c r="F371" s="126">
        <v>0</v>
      </c>
      <c r="G371" s="126"/>
      <c r="H371" s="126">
        <f t="shared" si="5"/>
        <v>0.40558302691933429</v>
      </c>
      <c r="I371" s="89">
        <v>428.4</v>
      </c>
      <c r="J371" s="125">
        <v>92.546875</v>
      </c>
    </row>
    <row r="372" spans="1:10" x14ac:dyDescent="0.3">
      <c r="A372" s="88" t="s">
        <v>481</v>
      </c>
      <c r="B372" s="24">
        <v>39452</v>
      </c>
      <c r="C372" s="32">
        <v>0.58500374402396171</v>
      </c>
      <c r="D372" s="125">
        <v>7.4</v>
      </c>
      <c r="E372" s="125">
        <v>-3.2</v>
      </c>
      <c r="F372" s="126">
        <v>0</v>
      </c>
      <c r="G372" s="126"/>
      <c r="H372" s="126">
        <f t="shared" si="5"/>
        <v>0.48252218724041501</v>
      </c>
      <c r="I372" s="89">
        <v>248.39999999999998</v>
      </c>
      <c r="J372" s="125">
        <v>83.01770833333336</v>
      </c>
    </row>
    <row r="373" spans="1:10" x14ac:dyDescent="0.3">
      <c r="A373" s="88" t="s">
        <v>481</v>
      </c>
      <c r="B373" s="24">
        <v>39453</v>
      </c>
      <c r="C373" s="32">
        <v>0.53820344450204483</v>
      </c>
      <c r="D373" s="125">
        <v>5.2</v>
      </c>
      <c r="E373" s="125">
        <v>1.5</v>
      </c>
      <c r="F373" s="126">
        <v>5.3650000000000002</v>
      </c>
      <c r="G373" s="126"/>
      <c r="H373" s="126">
        <f t="shared" si="5"/>
        <v>0.68100991033793745</v>
      </c>
      <c r="I373" s="89">
        <v>175.86</v>
      </c>
      <c r="J373" s="125">
        <v>91.404166666666626</v>
      </c>
    </row>
    <row r="374" spans="1:10" x14ac:dyDescent="0.3">
      <c r="A374" s="88" t="s">
        <v>481</v>
      </c>
      <c r="B374" s="24">
        <v>39454</v>
      </c>
      <c r="C374" s="32">
        <v>1.7334110938310006</v>
      </c>
      <c r="D374" s="125">
        <v>8</v>
      </c>
      <c r="E374" s="125">
        <v>0.6</v>
      </c>
      <c r="F374" s="126">
        <v>10.875</v>
      </c>
      <c r="G374" s="126"/>
      <c r="H374" s="126">
        <f t="shared" si="5"/>
        <v>0.63820086880942895</v>
      </c>
      <c r="I374" s="89">
        <v>303.65999999999997</v>
      </c>
      <c r="J374" s="125">
        <v>80.059375000000003</v>
      </c>
    </row>
    <row r="375" spans="1:10" x14ac:dyDescent="0.3">
      <c r="A375" s="88" t="s">
        <v>481</v>
      </c>
      <c r="B375" s="24">
        <v>39455</v>
      </c>
      <c r="C375" s="32">
        <v>2.691917228270261</v>
      </c>
      <c r="D375" s="125">
        <v>7.2</v>
      </c>
      <c r="E375" s="125">
        <v>2.9</v>
      </c>
      <c r="F375" s="126">
        <v>2.37</v>
      </c>
      <c r="G375" s="126"/>
      <c r="H375" s="126">
        <f t="shared" si="5"/>
        <v>0.75265154972421666</v>
      </c>
      <c r="I375" s="89">
        <v>323.90999999999997</v>
      </c>
      <c r="J375" s="125">
        <v>79.465625000000003</v>
      </c>
    </row>
    <row r="376" spans="1:10" x14ac:dyDescent="0.3">
      <c r="A376" s="88" t="s">
        <v>481</v>
      </c>
      <c r="B376" s="24">
        <v>39456</v>
      </c>
      <c r="C376" s="32">
        <v>2.0889133690455619</v>
      </c>
      <c r="D376" s="125">
        <v>6.8</v>
      </c>
      <c r="E376" s="125">
        <v>1.5</v>
      </c>
      <c r="F376" s="126">
        <v>0.245</v>
      </c>
      <c r="G376" s="126"/>
      <c r="H376" s="126">
        <f t="shared" si="5"/>
        <v>0.68100991033793745</v>
      </c>
      <c r="I376" s="89">
        <v>204.20999999999992</v>
      </c>
      <c r="J376" s="125">
        <v>79.347916666666663</v>
      </c>
    </row>
    <row r="377" spans="1:10" x14ac:dyDescent="0.3">
      <c r="A377" s="88" t="s">
        <v>481</v>
      </c>
      <c r="B377" s="24">
        <v>39457</v>
      </c>
      <c r="C377" s="32">
        <v>2.4471156615402339</v>
      </c>
      <c r="D377" s="125">
        <v>8.6</v>
      </c>
      <c r="E377" s="125">
        <v>2.7</v>
      </c>
      <c r="F377" s="126">
        <v>0</v>
      </c>
      <c r="G377" s="126"/>
      <c r="H377" s="126">
        <f t="shared" si="5"/>
        <v>0.74202613073523482</v>
      </c>
      <c r="I377" s="89">
        <v>297.27</v>
      </c>
      <c r="J377" s="125">
        <v>74.86770833333334</v>
      </c>
    </row>
    <row r="378" spans="1:10" x14ac:dyDescent="0.3">
      <c r="A378" s="88" t="s">
        <v>481</v>
      </c>
      <c r="B378" s="24">
        <v>39458</v>
      </c>
      <c r="C378" s="32">
        <v>2.9574189274811356</v>
      </c>
      <c r="D378" s="125">
        <v>12.3</v>
      </c>
      <c r="E378" s="125">
        <v>8.3000000000000007</v>
      </c>
      <c r="F378" s="126">
        <v>0</v>
      </c>
      <c r="G378" s="126"/>
      <c r="H378" s="126">
        <f t="shared" si="5"/>
        <v>1.0952445521994474</v>
      </c>
      <c r="I378" s="89">
        <v>263.70000000000005</v>
      </c>
      <c r="J378" s="125">
        <v>67.873958333333363</v>
      </c>
    </row>
    <row r="379" spans="1:10" x14ac:dyDescent="0.3">
      <c r="A379" s="88" t="s">
        <v>481</v>
      </c>
      <c r="B379" s="24">
        <v>39459</v>
      </c>
      <c r="C379" s="32">
        <v>1.8639119290363459</v>
      </c>
      <c r="D379" s="125">
        <v>11.5</v>
      </c>
      <c r="E379" s="125">
        <v>4</v>
      </c>
      <c r="F379" s="126">
        <v>0</v>
      </c>
      <c r="G379" s="126"/>
      <c r="H379" s="126">
        <f t="shared" si="5"/>
        <v>0.81352738957079329</v>
      </c>
      <c r="I379" s="89">
        <v>349.74000000000018</v>
      </c>
      <c r="J379" s="125">
        <v>64.84375</v>
      </c>
    </row>
    <row r="380" spans="1:10" x14ac:dyDescent="0.3">
      <c r="A380" s="88" t="s">
        <v>481</v>
      </c>
      <c r="B380" s="24">
        <v>39460</v>
      </c>
      <c r="C380" s="32">
        <v>3.783624215194977</v>
      </c>
      <c r="D380" s="125">
        <v>6.8</v>
      </c>
      <c r="E380" s="125">
        <v>0.5</v>
      </c>
      <c r="F380" s="126">
        <v>0</v>
      </c>
      <c r="G380" s="126"/>
      <c r="H380" s="126">
        <f t="shared" si="5"/>
        <v>0.63359438986733596</v>
      </c>
      <c r="I380" s="89">
        <v>158.49</v>
      </c>
      <c r="J380" s="125">
        <v>73.597916666666677</v>
      </c>
    </row>
    <row r="381" spans="1:10" x14ac:dyDescent="0.3">
      <c r="A381" s="88" t="s">
        <v>481</v>
      </c>
      <c r="B381" s="24">
        <v>39461</v>
      </c>
      <c r="C381" s="32">
        <v>1.8954121306376361</v>
      </c>
      <c r="D381" s="125">
        <v>7.1</v>
      </c>
      <c r="E381" s="125">
        <v>-1.1000000000000001</v>
      </c>
      <c r="F381" s="126">
        <v>0</v>
      </c>
      <c r="G381" s="126"/>
      <c r="H381" s="126">
        <f t="shared" si="5"/>
        <v>0.56378296039812681</v>
      </c>
      <c r="I381" s="89">
        <v>220.05</v>
      </c>
      <c r="J381" s="125">
        <v>72.89895833333334</v>
      </c>
    </row>
    <row r="382" spans="1:10" x14ac:dyDescent="0.3">
      <c r="A382" s="88" t="s">
        <v>481</v>
      </c>
      <c r="B382" s="24">
        <v>39462</v>
      </c>
      <c r="C382" s="32">
        <v>1.7658113011923278</v>
      </c>
      <c r="D382" s="125">
        <v>10.1</v>
      </c>
      <c r="E382" s="125">
        <v>6</v>
      </c>
      <c r="F382" s="126">
        <v>1.4999999999999999E-2</v>
      </c>
      <c r="G382" s="126"/>
      <c r="H382" s="126">
        <f t="shared" si="5"/>
        <v>0.93541559507788385</v>
      </c>
      <c r="I382" s="89">
        <v>301.68000000000006</v>
      </c>
      <c r="J382" s="125">
        <v>65.488541666666663</v>
      </c>
    </row>
    <row r="383" spans="1:10" x14ac:dyDescent="0.3">
      <c r="A383" s="88" t="s">
        <v>481</v>
      </c>
      <c r="B383" s="24">
        <v>39463</v>
      </c>
      <c r="C383" s="32">
        <v>0.86490553539542647</v>
      </c>
      <c r="D383" s="125">
        <v>10.4</v>
      </c>
      <c r="E383" s="125">
        <v>3.7</v>
      </c>
      <c r="F383" s="126">
        <v>0.25</v>
      </c>
      <c r="G383" s="126"/>
      <c r="H383" s="126">
        <f t="shared" si="5"/>
        <v>0.79650868879481573</v>
      </c>
      <c r="I383" s="89">
        <v>244.80000000000013</v>
      </c>
      <c r="J383" s="125">
        <v>71.362499999999997</v>
      </c>
    </row>
    <row r="384" spans="1:10" x14ac:dyDescent="0.3">
      <c r="A384" s="88" t="s">
        <v>481</v>
      </c>
      <c r="B384" s="24">
        <v>39464</v>
      </c>
      <c r="C384" s="32">
        <v>2.6496169575485284</v>
      </c>
      <c r="D384" s="125">
        <v>8.8000000000000007</v>
      </c>
      <c r="E384" s="125">
        <v>3.5</v>
      </c>
      <c r="F384" s="126">
        <v>2.63</v>
      </c>
      <c r="G384" s="126"/>
      <c r="H384" s="126">
        <f t="shared" si="5"/>
        <v>0.78533815916549388</v>
      </c>
      <c r="I384" s="89">
        <v>175.76999999999998</v>
      </c>
      <c r="J384" s="125">
        <v>78.018749999999997</v>
      </c>
    </row>
    <row r="385" spans="1:10" x14ac:dyDescent="0.3">
      <c r="A385" s="88" t="s">
        <v>481</v>
      </c>
      <c r="B385" s="24">
        <v>39465</v>
      </c>
      <c r="C385" s="32">
        <v>2.1159135418466679</v>
      </c>
      <c r="D385" s="125">
        <v>9.8000000000000007</v>
      </c>
      <c r="E385" s="125">
        <v>5.3</v>
      </c>
      <c r="F385" s="126">
        <v>7</v>
      </c>
      <c r="G385" s="126"/>
      <c r="H385" s="126">
        <f t="shared" si="5"/>
        <v>0.89103953465215091</v>
      </c>
      <c r="I385" s="89">
        <v>327.78000000000003</v>
      </c>
      <c r="J385" s="125">
        <v>82.441666666666677</v>
      </c>
    </row>
    <row r="386" spans="1:10" x14ac:dyDescent="0.3">
      <c r="A386" s="88" t="s">
        <v>481</v>
      </c>
      <c r="B386" s="24">
        <v>39466</v>
      </c>
      <c r="C386" s="32">
        <v>0.49140314498012788</v>
      </c>
      <c r="D386" s="125">
        <v>12.6</v>
      </c>
      <c r="E386" s="125">
        <v>8.1999999999999993</v>
      </c>
      <c r="F386" s="126">
        <v>12.14</v>
      </c>
      <c r="G386" s="126"/>
      <c r="H386" s="126">
        <f t="shared" si="5"/>
        <v>1.0878255375495476</v>
      </c>
      <c r="I386" s="89">
        <v>424.25999999999988</v>
      </c>
      <c r="J386" s="125">
        <v>92.212500000000006</v>
      </c>
    </row>
    <row r="387" spans="1:10" x14ac:dyDescent="0.3">
      <c r="A387" s="88" t="s">
        <v>481</v>
      </c>
      <c r="B387" s="24">
        <v>39467</v>
      </c>
      <c r="C387" s="32">
        <v>0.43830280513795289</v>
      </c>
      <c r="D387" s="125">
        <v>11.8</v>
      </c>
      <c r="E387" s="125">
        <v>7.9</v>
      </c>
      <c r="F387" s="126">
        <v>19.074999999999999</v>
      </c>
      <c r="G387" s="126"/>
      <c r="H387" s="126">
        <f t="shared" si="5"/>
        <v>1.0658332114824252</v>
      </c>
      <c r="I387" s="89">
        <v>377.73</v>
      </c>
      <c r="J387" s="125">
        <v>94.283333333333317</v>
      </c>
    </row>
    <row r="388" spans="1:10" x14ac:dyDescent="0.3">
      <c r="A388" s="88" t="s">
        <v>481</v>
      </c>
      <c r="B388" s="24">
        <v>39468</v>
      </c>
      <c r="C388" s="32">
        <v>0.19440124416796267</v>
      </c>
      <c r="D388" s="125">
        <v>10.7</v>
      </c>
      <c r="E388" s="125">
        <v>7.2</v>
      </c>
      <c r="F388" s="126">
        <v>6.7549999999999999</v>
      </c>
      <c r="G388" s="126"/>
      <c r="H388" s="126">
        <f t="shared" ref="H388:H451" si="6">0.611*EXP((17.27*E388)/(E388+237.3))</f>
        <v>1.0160332727272676</v>
      </c>
      <c r="I388" s="89">
        <v>556.01999999999987</v>
      </c>
      <c r="J388" s="125">
        <v>90.035416666666706</v>
      </c>
    </row>
    <row r="389" spans="1:10" x14ac:dyDescent="0.3">
      <c r="A389" s="88" t="s">
        <v>481</v>
      </c>
      <c r="B389" s="24">
        <v>39469</v>
      </c>
      <c r="C389" s="32">
        <v>4.007725649444156</v>
      </c>
      <c r="D389" s="125">
        <v>8.8000000000000007</v>
      </c>
      <c r="E389" s="125">
        <v>2.4</v>
      </c>
      <c r="F389" s="126">
        <v>2.7949999999999999</v>
      </c>
      <c r="G389" s="126"/>
      <c r="H389" s="126">
        <f t="shared" si="6"/>
        <v>0.7263362808555901</v>
      </c>
      <c r="I389" s="89">
        <v>461.79</v>
      </c>
      <c r="J389" s="125">
        <v>79.666666666666657</v>
      </c>
    </row>
    <row r="390" spans="1:10" x14ac:dyDescent="0.3">
      <c r="A390" s="88" t="s">
        <v>481</v>
      </c>
      <c r="B390" s="24">
        <v>39470</v>
      </c>
      <c r="C390" s="32">
        <v>2.7594176602730256</v>
      </c>
      <c r="D390" s="125">
        <v>6.1</v>
      </c>
      <c r="E390" s="125">
        <v>0.3</v>
      </c>
      <c r="F390" s="126">
        <v>0</v>
      </c>
      <c r="G390" s="126"/>
      <c r="H390" s="126">
        <f t="shared" si="6"/>
        <v>0.62446951587741306</v>
      </c>
      <c r="I390" s="89">
        <v>282.06000000000006</v>
      </c>
      <c r="J390" s="125">
        <v>78.181250000000006</v>
      </c>
    </row>
    <row r="391" spans="1:10" x14ac:dyDescent="0.3">
      <c r="A391" s="88" t="s">
        <v>481</v>
      </c>
      <c r="B391" s="24">
        <v>39471</v>
      </c>
      <c r="C391" s="32">
        <v>0.49500316802027539</v>
      </c>
      <c r="D391" s="125">
        <v>8.1</v>
      </c>
      <c r="E391" s="125">
        <v>5.2</v>
      </c>
      <c r="F391" s="126">
        <v>3.5449999999999999</v>
      </c>
      <c r="G391" s="126"/>
      <c r="H391" s="126">
        <f t="shared" si="6"/>
        <v>0.88485406434684233</v>
      </c>
      <c r="I391" s="89">
        <v>310.95000000000005</v>
      </c>
      <c r="J391" s="125">
        <v>80.417708333333337</v>
      </c>
    </row>
    <row r="392" spans="1:10" x14ac:dyDescent="0.3">
      <c r="A392" s="88" t="s">
        <v>481</v>
      </c>
      <c r="B392" s="24">
        <v>39472</v>
      </c>
      <c r="C392" s="32">
        <v>4.6188295605091874</v>
      </c>
      <c r="D392" s="125">
        <v>7.9</v>
      </c>
      <c r="E392" s="125">
        <v>2.1</v>
      </c>
      <c r="F392" s="126">
        <v>0</v>
      </c>
      <c r="G392" s="126"/>
      <c r="H392" s="126">
        <f t="shared" si="6"/>
        <v>0.7109401060616396</v>
      </c>
      <c r="I392" s="89">
        <v>504.80999999999983</v>
      </c>
      <c r="J392" s="125">
        <v>69.198958333333323</v>
      </c>
    </row>
    <row r="393" spans="1:10" x14ac:dyDescent="0.3">
      <c r="A393" s="88" t="s">
        <v>481</v>
      </c>
      <c r="B393" s="24">
        <v>39473</v>
      </c>
      <c r="C393" s="32">
        <v>3.2805209953343701</v>
      </c>
      <c r="D393" s="125">
        <v>9.6</v>
      </c>
      <c r="E393" s="125">
        <v>6.9</v>
      </c>
      <c r="F393" s="126">
        <v>0.17</v>
      </c>
      <c r="G393" s="126"/>
      <c r="H393" s="126">
        <f t="shared" si="6"/>
        <v>0.99532561227749294</v>
      </c>
      <c r="I393" s="89">
        <v>671.13000000000011</v>
      </c>
      <c r="J393" s="125">
        <v>75.230208333333337</v>
      </c>
    </row>
    <row r="394" spans="1:10" x14ac:dyDescent="0.3">
      <c r="A394" s="88" t="s">
        <v>481</v>
      </c>
      <c r="B394" s="24">
        <v>39474</v>
      </c>
      <c r="C394" s="32">
        <v>0.49050313922009098</v>
      </c>
      <c r="D394" s="125">
        <v>8.1</v>
      </c>
      <c r="E394" s="125">
        <v>6.4</v>
      </c>
      <c r="F394" s="126">
        <v>12.925000000000001</v>
      </c>
      <c r="G394" s="126"/>
      <c r="H394" s="126">
        <f t="shared" si="6"/>
        <v>0.96163811340513428</v>
      </c>
      <c r="I394" s="89">
        <v>577.79999999999995</v>
      </c>
      <c r="J394" s="125">
        <v>95.278125000000003</v>
      </c>
    </row>
    <row r="395" spans="1:10" x14ac:dyDescent="0.3">
      <c r="A395" s="88" t="s">
        <v>481</v>
      </c>
      <c r="B395" s="24">
        <v>39475</v>
      </c>
      <c r="C395" s="32">
        <v>0.91620586371752777</v>
      </c>
      <c r="D395" s="125">
        <v>8</v>
      </c>
      <c r="E395" s="125">
        <v>6.7</v>
      </c>
      <c r="F395" s="126">
        <v>0.16</v>
      </c>
      <c r="G395" s="126"/>
      <c r="H395" s="126">
        <f t="shared" si="6"/>
        <v>0.98172789008858663</v>
      </c>
      <c r="I395" s="89">
        <v>256.85999999999996</v>
      </c>
      <c r="J395" s="125">
        <v>92.686458333333306</v>
      </c>
    </row>
    <row r="396" spans="1:10" x14ac:dyDescent="0.3">
      <c r="A396" s="88" t="s">
        <v>481</v>
      </c>
      <c r="B396" s="24">
        <v>39476</v>
      </c>
      <c r="C396" s="32">
        <v>1.3005083232532688</v>
      </c>
      <c r="D396" s="125">
        <v>7.1</v>
      </c>
      <c r="E396" s="125">
        <v>4.9000000000000004</v>
      </c>
      <c r="F396" s="126">
        <v>0</v>
      </c>
      <c r="G396" s="126"/>
      <c r="H396" s="126">
        <f t="shared" si="6"/>
        <v>0.86652418747176108</v>
      </c>
      <c r="I396" s="89">
        <v>147.69</v>
      </c>
      <c r="J396" s="125">
        <v>74.192708333333357</v>
      </c>
    </row>
    <row r="397" spans="1:10" x14ac:dyDescent="0.3">
      <c r="A397" s="88" t="s">
        <v>481</v>
      </c>
      <c r="B397" s="24">
        <v>39477</v>
      </c>
      <c r="C397" s="32">
        <v>0.7389047289902656</v>
      </c>
      <c r="D397" s="125">
        <v>5</v>
      </c>
      <c r="E397" s="125">
        <v>2.2000000000000002</v>
      </c>
      <c r="F397" s="126">
        <v>2.1549999999999998</v>
      </c>
      <c r="G397" s="126"/>
      <c r="H397" s="126">
        <f t="shared" si="6"/>
        <v>0.71603982725344328</v>
      </c>
      <c r="I397" s="89">
        <v>256.04999999999995</v>
      </c>
      <c r="J397" s="125">
        <v>83.066666666666649</v>
      </c>
    </row>
    <row r="398" spans="1:10" x14ac:dyDescent="0.3">
      <c r="A398" s="88" t="s">
        <v>481</v>
      </c>
      <c r="B398" s="24">
        <v>39478</v>
      </c>
      <c r="C398" s="32">
        <v>2.0043128276020967</v>
      </c>
      <c r="D398" s="125">
        <v>3.8</v>
      </c>
      <c r="E398" s="125">
        <v>1</v>
      </c>
      <c r="F398" s="126">
        <v>0</v>
      </c>
      <c r="G398" s="126"/>
      <c r="H398" s="126">
        <f t="shared" si="6"/>
        <v>0.65692419645928013</v>
      </c>
      <c r="I398" s="89">
        <v>366.84000000000003</v>
      </c>
      <c r="J398" s="125">
        <v>73.9375</v>
      </c>
    </row>
    <row r="399" spans="1:10" x14ac:dyDescent="0.3">
      <c r="A399" s="88" t="s">
        <v>481</v>
      </c>
      <c r="B399" s="24">
        <v>39479</v>
      </c>
      <c r="C399" s="32">
        <v>2.9358187892402512</v>
      </c>
      <c r="D399" s="125">
        <v>6.9</v>
      </c>
      <c r="E399" s="125">
        <v>3.3</v>
      </c>
      <c r="F399" s="126">
        <v>0.76</v>
      </c>
      <c r="G399" s="126"/>
      <c r="H399" s="126">
        <f t="shared" si="6"/>
        <v>0.77430610767805441</v>
      </c>
      <c r="I399" s="89">
        <v>490.9500000000001</v>
      </c>
      <c r="J399" s="125">
        <v>71.586458333333383</v>
      </c>
    </row>
    <row r="400" spans="1:10" x14ac:dyDescent="0.3">
      <c r="A400" s="88" t="s">
        <v>481</v>
      </c>
      <c r="B400" s="24">
        <v>39480</v>
      </c>
      <c r="C400" s="32">
        <v>5.0526323368469557</v>
      </c>
      <c r="D400" s="125">
        <v>6.2</v>
      </c>
      <c r="E400" s="125">
        <v>0.3</v>
      </c>
      <c r="F400" s="126">
        <v>1.2749999999999999</v>
      </c>
      <c r="G400" s="126"/>
      <c r="H400" s="126">
        <f t="shared" si="6"/>
        <v>0.62446951587741306</v>
      </c>
      <c r="I400" s="89">
        <v>392.31000000000006</v>
      </c>
      <c r="J400" s="125">
        <v>76.467708333333348</v>
      </c>
    </row>
    <row r="401" spans="1:10" x14ac:dyDescent="0.3">
      <c r="A401" s="88" t="s">
        <v>481</v>
      </c>
      <c r="B401" s="24">
        <v>39481</v>
      </c>
      <c r="C401" s="32">
        <v>5.4531349000633611</v>
      </c>
      <c r="D401" s="125">
        <v>4.8</v>
      </c>
      <c r="E401" s="125">
        <v>0.4</v>
      </c>
      <c r="F401" s="126">
        <v>5.0000000000000001E-3</v>
      </c>
      <c r="G401" s="126"/>
      <c r="H401" s="126">
        <f t="shared" si="6"/>
        <v>0.62901732612537431</v>
      </c>
      <c r="I401" s="89">
        <v>221.39999999999998</v>
      </c>
      <c r="J401" s="125">
        <v>66.2083333333333</v>
      </c>
    </row>
    <row r="402" spans="1:10" x14ac:dyDescent="0.3">
      <c r="A402" s="88" t="s">
        <v>481</v>
      </c>
      <c r="B402" s="24">
        <v>39482</v>
      </c>
      <c r="C402" s="32">
        <v>2.3787152237774323</v>
      </c>
      <c r="D402" s="125">
        <v>7.8</v>
      </c>
      <c r="E402" s="125">
        <v>0.1</v>
      </c>
      <c r="F402" s="126">
        <v>2.5000000000000001E-2</v>
      </c>
      <c r="G402" s="126"/>
      <c r="H402" s="126">
        <f t="shared" si="6"/>
        <v>0.61546101269605991</v>
      </c>
      <c r="I402" s="89">
        <v>195.83999999999997</v>
      </c>
      <c r="J402" s="125">
        <v>67.93020833333334</v>
      </c>
    </row>
    <row r="403" spans="1:10" x14ac:dyDescent="0.3">
      <c r="A403" s="88" t="s">
        <v>481</v>
      </c>
      <c r="B403" s="24">
        <v>39483</v>
      </c>
      <c r="C403" s="32">
        <v>1.1673074707678128</v>
      </c>
      <c r="D403" s="125">
        <v>7.6</v>
      </c>
      <c r="E403" s="125">
        <v>2.5</v>
      </c>
      <c r="F403" s="126">
        <v>5.5E-2</v>
      </c>
      <c r="G403" s="126"/>
      <c r="H403" s="126">
        <f t="shared" si="6"/>
        <v>0.73153336467415264</v>
      </c>
      <c r="I403" s="89">
        <v>275.22000000000008</v>
      </c>
      <c r="J403" s="125">
        <v>75.441666666666663</v>
      </c>
    </row>
    <row r="404" spans="1:10" x14ac:dyDescent="0.3">
      <c r="A404" s="88" t="s">
        <v>481</v>
      </c>
      <c r="B404" s="24">
        <v>39484</v>
      </c>
      <c r="C404" s="32">
        <v>1.8891120903173779</v>
      </c>
      <c r="D404" s="125">
        <v>9.5</v>
      </c>
      <c r="E404" s="125">
        <v>4.5</v>
      </c>
      <c r="F404" s="126">
        <v>10.029999999999999</v>
      </c>
      <c r="G404" s="126"/>
      <c r="H404" s="126">
        <f t="shared" si="6"/>
        <v>0.84260555674484927</v>
      </c>
      <c r="I404" s="89">
        <v>396.36</v>
      </c>
      <c r="J404" s="125">
        <v>86.836458333333326</v>
      </c>
    </row>
    <row r="405" spans="1:10" x14ac:dyDescent="0.3">
      <c r="A405" s="88" t="s">
        <v>481</v>
      </c>
      <c r="B405" s="24">
        <v>39485</v>
      </c>
      <c r="C405" s="32">
        <v>5.9409380220033414</v>
      </c>
      <c r="D405" s="125">
        <v>7.2</v>
      </c>
      <c r="E405" s="125">
        <v>3.3</v>
      </c>
      <c r="F405" s="126">
        <v>0</v>
      </c>
      <c r="G405" s="126"/>
      <c r="H405" s="126">
        <f t="shared" si="6"/>
        <v>0.77430610767805441</v>
      </c>
      <c r="I405" s="89">
        <v>342.18000000000006</v>
      </c>
      <c r="J405" s="125">
        <v>79.191666666666691</v>
      </c>
    </row>
    <row r="406" spans="1:10" x14ac:dyDescent="0.3">
      <c r="A406" s="88" t="s">
        <v>481</v>
      </c>
      <c r="B406" s="24">
        <v>39486</v>
      </c>
      <c r="C406" s="32">
        <v>6.5340418178676343</v>
      </c>
      <c r="D406" s="125">
        <v>11.1</v>
      </c>
      <c r="E406" s="125">
        <v>3.3</v>
      </c>
      <c r="F406" s="126">
        <v>0</v>
      </c>
      <c r="G406" s="126"/>
      <c r="H406" s="126">
        <f t="shared" si="6"/>
        <v>0.77430610767805441</v>
      </c>
      <c r="I406" s="89">
        <v>149.67000000000002</v>
      </c>
      <c r="J406" s="125">
        <v>65.585416666666688</v>
      </c>
    </row>
    <row r="407" spans="1:10" x14ac:dyDescent="0.3">
      <c r="A407" s="88" t="s">
        <v>481</v>
      </c>
      <c r="B407" s="24">
        <v>39487</v>
      </c>
      <c r="C407" s="32">
        <v>7.1730459074938073</v>
      </c>
      <c r="D407" s="125">
        <v>11.1</v>
      </c>
      <c r="E407" s="125">
        <v>0.9</v>
      </c>
      <c r="F407" s="126">
        <v>2.5000000000000001E-2</v>
      </c>
      <c r="G407" s="126"/>
      <c r="H407" s="126">
        <f t="shared" si="6"/>
        <v>0.65219842492921176</v>
      </c>
      <c r="I407" s="89">
        <v>71.910000000000011</v>
      </c>
      <c r="J407" s="125">
        <v>76.946875000000006</v>
      </c>
    </row>
    <row r="408" spans="1:10" x14ac:dyDescent="0.3">
      <c r="A408" s="88" t="s">
        <v>481</v>
      </c>
      <c r="B408" s="24">
        <v>39488</v>
      </c>
      <c r="C408" s="32">
        <v>6.9399444156442609</v>
      </c>
      <c r="D408" s="125">
        <v>12.1</v>
      </c>
      <c r="E408" s="125">
        <v>1.4</v>
      </c>
      <c r="F408" s="126">
        <v>0</v>
      </c>
      <c r="G408" s="126"/>
      <c r="H408" s="126">
        <f t="shared" si="6"/>
        <v>0.67613129580825593</v>
      </c>
      <c r="I408" s="89">
        <v>82.08</v>
      </c>
      <c r="J408" s="125">
        <v>80.159374999999997</v>
      </c>
    </row>
    <row r="409" spans="1:10" x14ac:dyDescent="0.3">
      <c r="A409" s="88" t="s">
        <v>481</v>
      </c>
      <c r="B409" s="24">
        <v>39489</v>
      </c>
      <c r="C409" s="32">
        <v>7.4511476873451983</v>
      </c>
      <c r="D409" s="125">
        <v>11.6</v>
      </c>
      <c r="E409" s="125">
        <v>0.1</v>
      </c>
      <c r="F409" s="126">
        <v>0</v>
      </c>
      <c r="G409" s="126"/>
      <c r="H409" s="126">
        <f t="shared" si="6"/>
        <v>0.61546101269605991</v>
      </c>
      <c r="I409" s="89">
        <v>75.87</v>
      </c>
      <c r="J409" s="125">
        <v>82</v>
      </c>
    </row>
    <row r="410" spans="1:10" x14ac:dyDescent="0.3">
      <c r="A410" s="88" t="s">
        <v>481</v>
      </c>
      <c r="B410" s="24">
        <v>39490</v>
      </c>
      <c r="C410" s="32">
        <v>1.1745075168481078</v>
      </c>
      <c r="D410" s="125">
        <v>5.5</v>
      </c>
      <c r="E410" s="125">
        <v>1.7</v>
      </c>
      <c r="F410" s="126">
        <v>9.5000000000000001E-2</v>
      </c>
      <c r="G410" s="126"/>
      <c r="H410" s="126">
        <f t="shared" si="6"/>
        <v>0.69086052853268343</v>
      </c>
      <c r="I410" s="89">
        <v>132.12</v>
      </c>
      <c r="J410" s="125">
        <v>91.746875000000003</v>
      </c>
    </row>
    <row r="411" spans="1:10" x14ac:dyDescent="0.3">
      <c r="A411" s="88" t="s">
        <v>481</v>
      </c>
      <c r="B411" s="24">
        <v>39491</v>
      </c>
      <c r="C411" s="32">
        <v>5.6763363285525035</v>
      </c>
      <c r="D411" s="125">
        <v>5.3</v>
      </c>
      <c r="E411" s="125">
        <v>0.3</v>
      </c>
      <c r="F411" s="126">
        <v>0</v>
      </c>
      <c r="G411" s="126"/>
      <c r="H411" s="126">
        <f t="shared" si="6"/>
        <v>0.62446951587741306</v>
      </c>
      <c r="I411" s="89">
        <v>106.10999999999999</v>
      </c>
      <c r="J411" s="125">
        <v>75.506249999999994</v>
      </c>
    </row>
    <row r="412" spans="1:10" x14ac:dyDescent="0.3">
      <c r="A412" s="88" t="s">
        <v>481</v>
      </c>
      <c r="B412" s="24">
        <v>39492</v>
      </c>
      <c r="C412" s="32">
        <v>0.7470047808305974</v>
      </c>
      <c r="D412" s="125">
        <v>2.7</v>
      </c>
      <c r="E412" s="125">
        <v>1.1000000000000001</v>
      </c>
      <c r="F412" s="126">
        <v>0</v>
      </c>
      <c r="G412" s="126"/>
      <c r="H412" s="126">
        <f t="shared" si="6"/>
        <v>0.66168020278676021</v>
      </c>
      <c r="I412" s="89">
        <v>91.170000000000016</v>
      </c>
      <c r="J412" s="125">
        <v>91.102083333333326</v>
      </c>
    </row>
    <row r="413" spans="1:10" x14ac:dyDescent="0.3">
      <c r="A413" s="88" t="s">
        <v>481</v>
      </c>
      <c r="B413" s="24">
        <v>39493</v>
      </c>
      <c r="C413" s="32">
        <v>9.6201615690340425</v>
      </c>
      <c r="D413" s="125">
        <v>4</v>
      </c>
      <c r="E413" s="125">
        <v>0</v>
      </c>
      <c r="F413" s="126">
        <v>0</v>
      </c>
      <c r="G413" s="126"/>
      <c r="H413" s="126">
        <f t="shared" si="6"/>
        <v>0.61099999999999999</v>
      </c>
      <c r="I413" s="89">
        <v>188.73000000000002</v>
      </c>
      <c r="J413" s="125">
        <v>78.13333333333334</v>
      </c>
    </row>
    <row r="414" spans="1:10" x14ac:dyDescent="0.3">
      <c r="A414" s="88" t="s">
        <v>481</v>
      </c>
      <c r="B414" s="24">
        <v>39494</v>
      </c>
      <c r="C414" s="32">
        <v>9.7650624963999775</v>
      </c>
      <c r="D414" s="125">
        <v>6.2</v>
      </c>
      <c r="E414" s="125">
        <v>0</v>
      </c>
      <c r="F414" s="126">
        <v>0</v>
      </c>
      <c r="G414" s="126"/>
      <c r="H414" s="126">
        <f t="shared" si="6"/>
        <v>0.61099999999999999</v>
      </c>
      <c r="I414" s="89">
        <v>75.149999999999977</v>
      </c>
      <c r="J414" s="125">
        <v>90.405208333333334</v>
      </c>
    </row>
    <row r="415" spans="1:10" x14ac:dyDescent="0.3">
      <c r="A415" s="88" t="s">
        <v>481</v>
      </c>
      <c r="B415" s="24">
        <v>39495</v>
      </c>
      <c r="C415" s="32">
        <v>8.0235513507286438</v>
      </c>
      <c r="D415" s="125">
        <v>5.0999999999999996</v>
      </c>
      <c r="E415" s="125">
        <v>0.1</v>
      </c>
      <c r="F415" s="126">
        <v>0</v>
      </c>
      <c r="G415" s="126"/>
      <c r="H415" s="126">
        <f t="shared" si="6"/>
        <v>0.61546101269605991</v>
      </c>
      <c r="I415" s="89">
        <v>272.79000000000008</v>
      </c>
      <c r="J415" s="125">
        <v>71.652083333333351</v>
      </c>
    </row>
    <row r="416" spans="1:10" x14ac:dyDescent="0.3">
      <c r="A416" s="88" t="s">
        <v>481</v>
      </c>
      <c r="B416" s="24">
        <v>39496</v>
      </c>
      <c r="C416" s="32">
        <v>0.80550515523299349</v>
      </c>
      <c r="D416" s="125">
        <v>3.9</v>
      </c>
      <c r="E416" s="125">
        <v>0.8</v>
      </c>
      <c r="F416" s="126">
        <v>0</v>
      </c>
      <c r="G416" s="126"/>
      <c r="H416" s="126">
        <f t="shared" si="6"/>
        <v>0.64750272279315535</v>
      </c>
      <c r="I416" s="89">
        <v>415.71000000000004</v>
      </c>
      <c r="J416" s="125">
        <v>88.866666666666674</v>
      </c>
    </row>
    <row r="417" spans="1:10" x14ac:dyDescent="0.3">
      <c r="A417" s="88" t="s">
        <v>481</v>
      </c>
      <c r="B417" s="24">
        <v>39497</v>
      </c>
      <c r="C417" s="32">
        <v>3.4047217902194573</v>
      </c>
      <c r="D417" s="125">
        <v>6.2</v>
      </c>
      <c r="E417" s="125">
        <v>0.4</v>
      </c>
      <c r="F417" s="126">
        <v>0</v>
      </c>
      <c r="G417" s="126"/>
      <c r="H417" s="126">
        <f t="shared" si="6"/>
        <v>0.62901732612537431</v>
      </c>
      <c r="I417" s="89">
        <v>211.41</v>
      </c>
      <c r="J417" s="125">
        <v>85.503124999999997</v>
      </c>
    </row>
    <row r="418" spans="1:10" x14ac:dyDescent="0.3">
      <c r="A418" s="88" t="s">
        <v>481</v>
      </c>
      <c r="B418" s="24">
        <v>39498</v>
      </c>
      <c r="C418" s="32">
        <v>4.2939274811358787</v>
      </c>
      <c r="D418" s="125">
        <v>6.7</v>
      </c>
      <c r="E418" s="125">
        <v>0.1</v>
      </c>
      <c r="F418" s="126">
        <v>0</v>
      </c>
      <c r="G418" s="126"/>
      <c r="H418" s="126">
        <f t="shared" si="6"/>
        <v>0.61546101269605991</v>
      </c>
      <c r="I418" s="89">
        <v>138.95999999999992</v>
      </c>
      <c r="J418" s="125">
        <v>81.130208333333357</v>
      </c>
    </row>
    <row r="419" spans="1:10" x14ac:dyDescent="0.3">
      <c r="A419" s="88" t="s">
        <v>481</v>
      </c>
      <c r="B419" s="24">
        <v>39499</v>
      </c>
      <c r="C419" s="32">
        <v>4.420828293301077</v>
      </c>
      <c r="D419" s="125">
        <v>9.1</v>
      </c>
      <c r="E419" s="125">
        <v>2.1</v>
      </c>
      <c r="F419" s="126">
        <v>0</v>
      </c>
      <c r="G419" s="126"/>
      <c r="H419" s="126">
        <f t="shared" si="6"/>
        <v>0.7109401060616396</v>
      </c>
      <c r="I419" s="89">
        <v>304.10999999999996</v>
      </c>
      <c r="J419" s="125">
        <v>80.115624999999994</v>
      </c>
    </row>
    <row r="420" spans="1:10" x14ac:dyDescent="0.3">
      <c r="A420" s="88" t="s">
        <v>481</v>
      </c>
      <c r="B420" s="24">
        <v>39500</v>
      </c>
      <c r="C420" s="32">
        <v>0.7236046310696389</v>
      </c>
      <c r="D420" s="125">
        <v>10.4</v>
      </c>
      <c r="E420" s="125">
        <v>8.9</v>
      </c>
      <c r="F420" s="126">
        <v>0.36</v>
      </c>
      <c r="G420" s="126"/>
      <c r="H420" s="126">
        <f t="shared" si="6"/>
        <v>1.1407010860938473</v>
      </c>
      <c r="I420" s="89">
        <v>628.29</v>
      </c>
      <c r="J420" s="125">
        <v>80.77395833333334</v>
      </c>
    </row>
    <row r="421" spans="1:10" x14ac:dyDescent="0.3">
      <c r="A421" s="88" t="s">
        <v>481</v>
      </c>
      <c r="B421" s="24">
        <v>39501</v>
      </c>
      <c r="C421" s="32">
        <v>7.3593470998214388</v>
      </c>
      <c r="D421" s="125">
        <v>10.5</v>
      </c>
      <c r="E421" s="125">
        <v>5.8</v>
      </c>
      <c r="F421" s="126">
        <v>0.7</v>
      </c>
      <c r="G421" s="126"/>
      <c r="H421" s="126">
        <f t="shared" si="6"/>
        <v>0.92254223518646628</v>
      </c>
      <c r="I421" s="89">
        <v>459.89999999999986</v>
      </c>
      <c r="J421" s="125">
        <v>66.754166666666663</v>
      </c>
    </row>
    <row r="422" spans="1:10" x14ac:dyDescent="0.3">
      <c r="A422" s="88" t="s">
        <v>481</v>
      </c>
      <c r="B422" s="24">
        <v>39502</v>
      </c>
      <c r="C422" s="32">
        <v>2.651416969068602</v>
      </c>
      <c r="D422" s="125">
        <v>9.5</v>
      </c>
      <c r="E422" s="125">
        <v>7</v>
      </c>
      <c r="F422" s="126">
        <v>0</v>
      </c>
      <c r="G422" s="126"/>
      <c r="H422" s="126">
        <f t="shared" si="6"/>
        <v>1.0021864739217894</v>
      </c>
      <c r="I422" s="89">
        <v>265.50000000000011</v>
      </c>
      <c r="J422" s="125">
        <v>76.366666666666703</v>
      </c>
    </row>
    <row r="423" spans="1:10" x14ac:dyDescent="0.3">
      <c r="A423" s="88" t="s">
        <v>481</v>
      </c>
      <c r="B423" s="24">
        <v>39503</v>
      </c>
      <c r="C423" s="32">
        <v>8.8236564714014172</v>
      </c>
      <c r="D423" s="125">
        <v>9.6</v>
      </c>
      <c r="E423" s="125">
        <v>3.8</v>
      </c>
      <c r="F423" s="126">
        <v>2.2749999999999999</v>
      </c>
      <c r="G423" s="126"/>
      <c r="H423" s="126">
        <f t="shared" si="6"/>
        <v>0.80214634758046521</v>
      </c>
      <c r="I423" s="89">
        <v>276.48</v>
      </c>
      <c r="J423" s="125">
        <v>73.801041666666706</v>
      </c>
    </row>
    <row r="424" spans="1:10" x14ac:dyDescent="0.3">
      <c r="A424" s="88" t="s">
        <v>481</v>
      </c>
      <c r="B424" s="24">
        <v>39504</v>
      </c>
      <c r="C424" s="32">
        <v>2.3976153447382065</v>
      </c>
      <c r="D424" s="125">
        <v>13.1</v>
      </c>
      <c r="E424" s="125">
        <v>2.9</v>
      </c>
      <c r="F424" s="126">
        <v>1.675</v>
      </c>
      <c r="G424" s="126"/>
      <c r="H424" s="126">
        <f t="shared" si="6"/>
        <v>0.75265154972421666</v>
      </c>
      <c r="I424" s="89">
        <v>350.6400000000001</v>
      </c>
      <c r="J424" s="125">
        <v>76.696875000000006</v>
      </c>
    </row>
    <row r="425" spans="1:10" x14ac:dyDescent="0.3">
      <c r="A425" s="88" t="s">
        <v>481</v>
      </c>
      <c r="B425" s="24">
        <v>39505</v>
      </c>
      <c r="C425" s="32">
        <v>5.4153346581418127</v>
      </c>
      <c r="D425" s="125">
        <v>9.5</v>
      </c>
      <c r="E425" s="125">
        <v>4.2</v>
      </c>
      <c r="F425" s="126">
        <v>0</v>
      </c>
      <c r="G425" s="126"/>
      <c r="H425" s="126">
        <f t="shared" si="6"/>
        <v>0.82505065566727931</v>
      </c>
      <c r="I425" s="89">
        <v>536.39999999999964</v>
      </c>
      <c r="J425" s="125">
        <v>67.446875000000006</v>
      </c>
    </row>
    <row r="426" spans="1:10" x14ac:dyDescent="0.3">
      <c r="A426" s="88" t="s">
        <v>481</v>
      </c>
      <c r="B426" s="24">
        <v>39506</v>
      </c>
      <c r="C426" s="32">
        <v>6.3324405276193776</v>
      </c>
      <c r="D426" s="125">
        <v>9.3000000000000007</v>
      </c>
      <c r="E426" s="125">
        <v>3.4</v>
      </c>
      <c r="F426" s="126">
        <v>0</v>
      </c>
      <c r="G426" s="126"/>
      <c r="H426" s="126">
        <f t="shared" si="6"/>
        <v>0.77980491618110859</v>
      </c>
      <c r="I426" s="89">
        <v>247.41000000000008</v>
      </c>
      <c r="J426" s="125">
        <v>71.170833333333363</v>
      </c>
    </row>
    <row r="427" spans="1:10" x14ac:dyDescent="0.3">
      <c r="A427" s="88" t="s">
        <v>481</v>
      </c>
      <c r="B427" s="24">
        <v>39507</v>
      </c>
      <c r="C427" s="32">
        <v>5.5728356661482632</v>
      </c>
      <c r="D427" s="125">
        <v>9.8000000000000007</v>
      </c>
      <c r="E427" s="125">
        <v>3.3</v>
      </c>
      <c r="F427" s="126">
        <v>3.57</v>
      </c>
      <c r="G427" s="126"/>
      <c r="H427" s="126">
        <f t="shared" si="6"/>
        <v>0.77430610767805441</v>
      </c>
      <c r="I427" s="89">
        <v>215.91000000000003</v>
      </c>
      <c r="J427" s="125">
        <v>74.789583333333326</v>
      </c>
    </row>
    <row r="428" spans="1:10" x14ac:dyDescent="0.3">
      <c r="A428" s="88" t="s">
        <v>481</v>
      </c>
      <c r="B428" s="24">
        <v>39508</v>
      </c>
      <c r="C428" s="32">
        <v>2.7009172858706298</v>
      </c>
      <c r="D428" s="125">
        <v>9.1</v>
      </c>
      <c r="E428" s="125">
        <v>2.1</v>
      </c>
      <c r="F428" s="126">
        <v>12.815</v>
      </c>
      <c r="G428" s="126"/>
      <c r="H428" s="126">
        <f t="shared" si="6"/>
        <v>0.7109401060616396</v>
      </c>
      <c r="I428" s="89">
        <v>776.16000000000031</v>
      </c>
      <c r="J428" s="125">
        <v>83.407291666666694</v>
      </c>
    </row>
    <row r="429" spans="1:10" x14ac:dyDescent="0.3">
      <c r="A429" s="88" t="s">
        <v>481</v>
      </c>
      <c r="B429" s="24">
        <v>39509</v>
      </c>
      <c r="C429" s="32">
        <v>5.0922325902885781</v>
      </c>
      <c r="D429" s="125">
        <v>10</v>
      </c>
      <c r="E429" s="125">
        <v>3.9</v>
      </c>
      <c r="F429" s="126">
        <v>4.16</v>
      </c>
      <c r="G429" s="126"/>
      <c r="H429" s="126">
        <f t="shared" si="6"/>
        <v>0.80781918513419737</v>
      </c>
      <c r="I429" s="89">
        <v>700.74000000000035</v>
      </c>
      <c r="J429" s="125">
        <v>75.793750000000003</v>
      </c>
    </row>
    <row r="430" spans="1:10" x14ac:dyDescent="0.3">
      <c r="A430" s="88" t="s">
        <v>481</v>
      </c>
      <c r="B430" s="24">
        <v>39510</v>
      </c>
      <c r="C430" s="32">
        <v>6.3486406313000412</v>
      </c>
      <c r="D430" s="125">
        <v>8.6999999999999993</v>
      </c>
      <c r="E430" s="125">
        <v>1.1000000000000001</v>
      </c>
      <c r="F430" s="126">
        <v>0.57499999999999996</v>
      </c>
      <c r="G430" s="126"/>
      <c r="H430" s="126">
        <f t="shared" si="6"/>
        <v>0.66168020278676021</v>
      </c>
      <c r="I430" s="89">
        <v>459.44999999999982</v>
      </c>
      <c r="J430" s="125">
        <v>72.411458333333329</v>
      </c>
    </row>
    <row r="431" spans="1:10" x14ac:dyDescent="0.3">
      <c r="A431" s="88" t="s">
        <v>481</v>
      </c>
      <c r="B431" s="24">
        <v>39511</v>
      </c>
      <c r="C431" s="32">
        <v>8.381753643223318</v>
      </c>
      <c r="D431" s="125">
        <v>6.7</v>
      </c>
      <c r="E431" s="125">
        <v>0.1</v>
      </c>
      <c r="F431" s="126">
        <v>0</v>
      </c>
      <c r="G431" s="126"/>
      <c r="H431" s="126">
        <f t="shared" si="6"/>
        <v>0.61546101269605991</v>
      </c>
      <c r="I431" s="89">
        <v>429.93000000000018</v>
      </c>
      <c r="J431" s="125">
        <v>70.205208333333331</v>
      </c>
    </row>
    <row r="432" spans="1:10" x14ac:dyDescent="0.3">
      <c r="A432" s="88" t="s">
        <v>481</v>
      </c>
      <c r="B432" s="24">
        <v>39512</v>
      </c>
      <c r="C432" s="32">
        <v>12.923182708369334</v>
      </c>
      <c r="D432" s="125">
        <v>4.8</v>
      </c>
      <c r="E432" s="125">
        <v>0.1</v>
      </c>
      <c r="F432" s="126">
        <v>0</v>
      </c>
      <c r="G432" s="126"/>
      <c r="H432" s="126">
        <f t="shared" si="6"/>
        <v>0.61546101269605991</v>
      </c>
      <c r="I432" s="89">
        <v>324.4500000000001</v>
      </c>
      <c r="J432" s="125">
        <v>63.315624999999997</v>
      </c>
    </row>
    <row r="433" spans="1:10" x14ac:dyDescent="0.3">
      <c r="A433" s="88" t="s">
        <v>481</v>
      </c>
      <c r="B433" s="24">
        <v>39513</v>
      </c>
      <c r="C433" s="32">
        <v>2.5011160071424459</v>
      </c>
      <c r="D433" s="125">
        <v>6.2</v>
      </c>
      <c r="E433" s="125">
        <v>0.8</v>
      </c>
      <c r="F433" s="126">
        <v>0.42</v>
      </c>
      <c r="G433" s="126"/>
      <c r="H433" s="126">
        <f t="shared" si="6"/>
        <v>0.64750272279315535</v>
      </c>
      <c r="I433" s="89">
        <v>407.43</v>
      </c>
      <c r="J433" s="125">
        <v>73.8489583333333</v>
      </c>
    </row>
    <row r="434" spans="1:10" x14ac:dyDescent="0.3">
      <c r="A434" s="88" t="s">
        <v>481</v>
      </c>
      <c r="B434" s="24">
        <v>39514</v>
      </c>
      <c r="C434" s="32">
        <v>2.7639176890732098</v>
      </c>
      <c r="D434" s="125">
        <v>8.6</v>
      </c>
      <c r="E434" s="125">
        <v>5.8</v>
      </c>
      <c r="F434" s="126">
        <v>1.45</v>
      </c>
      <c r="G434" s="126"/>
      <c r="H434" s="126">
        <f t="shared" si="6"/>
        <v>0.92254223518646628</v>
      </c>
      <c r="I434" s="89">
        <v>190.70999999999992</v>
      </c>
      <c r="J434" s="125">
        <v>87.746875000000003</v>
      </c>
    </row>
    <row r="435" spans="1:10" x14ac:dyDescent="0.3">
      <c r="A435" s="88" t="s">
        <v>481</v>
      </c>
      <c r="B435" s="24">
        <v>39515</v>
      </c>
      <c r="C435" s="32">
        <v>9.7992627152813778</v>
      </c>
      <c r="D435" s="125">
        <v>10.6</v>
      </c>
      <c r="E435" s="125">
        <v>5.4</v>
      </c>
      <c r="F435" s="126">
        <v>0.12</v>
      </c>
      <c r="G435" s="126"/>
      <c r="H435" s="126">
        <f t="shared" si="6"/>
        <v>0.8972630930441321</v>
      </c>
      <c r="I435" s="89">
        <v>155.79000000000002</v>
      </c>
      <c r="J435" s="125">
        <v>74.701041666666669</v>
      </c>
    </row>
    <row r="436" spans="1:10" x14ac:dyDescent="0.3">
      <c r="A436" s="88" t="s">
        <v>481</v>
      </c>
      <c r="B436" s="24">
        <v>39516</v>
      </c>
      <c r="C436" s="32">
        <v>6.781543401877772</v>
      </c>
      <c r="D436" s="125">
        <v>12</v>
      </c>
      <c r="E436" s="125">
        <v>4.8</v>
      </c>
      <c r="F436" s="126">
        <v>0</v>
      </c>
      <c r="G436" s="126"/>
      <c r="H436" s="126">
        <f t="shared" si="6"/>
        <v>0.86048907931200158</v>
      </c>
      <c r="I436" s="89">
        <v>247.68</v>
      </c>
      <c r="J436" s="125">
        <v>62.44166666666667</v>
      </c>
    </row>
    <row r="437" spans="1:10" x14ac:dyDescent="0.3">
      <c r="A437" s="88" t="s">
        <v>481</v>
      </c>
      <c r="B437" s="24">
        <v>39517</v>
      </c>
      <c r="C437" s="32">
        <v>10.206965324578078</v>
      </c>
      <c r="D437" s="125">
        <v>13.4</v>
      </c>
      <c r="E437" s="125">
        <v>6</v>
      </c>
      <c r="F437" s="126">
        <v>4.4999999999999998E-2</v>
      </c>
      <c r="G437" s="126"/>
      <c r="H437" s="126">
        <f t="shared" si="6"/>
        <v>0.93541559507788385</v>
      </c>
      <c r="I437" s="89">
        <v>250.46999999999994</v>
      </c>
      <c r="J437" s="125">
        <v>57.521875000000001</v>
      </c>
    </row>
    <row r="438" spans="1:10" x14ac:dyDescent="0.3">
      <c r="A438" s="88" t="s">
        <v>481</v>
      </c>
      <c r="B438" s="24">
        <v>39518</v>
      </c>
      <c r="C438" s="32">
        <v>7.088445366050343</v>
      </c>
      <c r="D438" s="125">
        <v>11</v>
      </c>
      <c r="E438" s="125">
        <v>6.4</v>
      </c>
      <c r="F438" s="126">
        <v>1.615</v>
      </c>
      <c r="G438" s="126"/>
      <c r="H438" s="126">
        <f t="shared" si="6"/>
        <v>0.96163811340513428</v>
      </c>
      <c r="I438" s="89">
        <v>343.53000000000009</v>
      </c>
      <c r="J438" s="125">
        <v>63.59375</v>
      </c>
    </row>
    <row r="439" spans="1:10" x14ac:dyDescent="0.3">
      <c r="A439" s="88" t="s">
        <v>481</v>
      </c>
      <c r="B439" s="24">
        <v>39519</v>
      </c>
      <c r="C439" s="32">
        <v>7.3386469673405914</v>
      </c>
      <c r="D439" s="125">
        <v>9.9</v>
      </c>
      <c r="E439" s="125">
        <v>1.1000000000000001</v>
      </c>
      <c r="F439" s="126">
        <v>7.31</v>
      </c>
      <c r="G439" s="126"/>
      <c r="H439" s="126">
        <f t="shared" si="6"/>
        <v>0.66168020278676021</v>
      </c>
      <c r="I439" s="89">
        <v>665.99999999999966</v>
      </c>
      <c r="J439" s="125">
        <v>74.915625000000006</v>
      </c>
    </row>
    <row r="440" spans="1:10" x14ac:dyDescent="0.3">
      <c r="A440" s="88" t="s">
        <v>481</v>
      </c>
      <c r="B440" s="24">
        <v>39520</v>
      </c>
      <c r="C440" s="32">
        <v>7.4430476355048674</v>
      </c>
      <c r="D440" s="125">
        <v>9.6</v>
      </c>
      <c r="E440" s="125">
        <v>2.4</v>
      </c>
      <c r="F440" s="126">
        <v>2.0750000000000002</v>
      </c>
      <c r="G440" s="126"/>
      <c r="H440" s="126">
        <f t="shared" si="6"/>
        <v>0.7263362808555901</v>
      </c>
      <c r="I440" s="89">
        <v>619.73999999999967</v>
      </c>
      <c r="J440" s="125">
        <v>69.563541666666666</v>
      </c>
    </row>
    <row r="441" spans="1:10" x14ac:dyDescent="0.3">
      <c r="A441" s="88" t="s">
        <v>481</v>
      </c>
      <c r="B441" s="24">
        <v>39521</v>
      </c>
      <c r="C441" s="32">
        <v>6.4440412418639479</v>
      </c>
      <c r="D441" s="125">
        <v>10</v>
      </c>
      <c r="E441" s="125">
        <v>2.4</v>
      </c>
      <c r="F441" s="126">
        <v>2.0249999999999999</v>
      </c>
      <c r="G441" s="126"/>
      <c r="H441" s="126">
        <f t="shared" si="6"/>
        <v>0.7263362808555901</v>
      </c>
      <c r="I441" s="89">
        <v>314.63999999999993</v>
      </c>
      <c r="J441" s="125">
        <v>75.316666666666663</v>
      </c>
    </row>
    <row r="442" spans="1:10" x14ac:dyDescent="0.3">
      <c r="A442" s="88" t="s">
        <v>481</v>
      </c>
      <c r="B442" s="24">
        <v>39522</v>
      </c>
      <c r="C442" s="32">
        <v>11.989876735211107</v>
      </c>
      <c r="D442" s="125">
        <v>12.3</v>
      </c>
      <c r="E442" s="125">
        <v>0.8</v>
      </c>
      <c r="F442" s="126">
        <v>0</v>
      </c>
      <c r="G442" s="126"/>
      <c r="H442" s="126">
        <f t="shared" si="6"/>
        <v>0.64750272279315535</v>
      </c>
      <c r="I442" s="89">
        <v>156.51</v>
      </c>
      <c r="J442" s="125">
        <v>67.84270833333332</v>
      </c>
    </row>
    <row r="443" spans="1:10" x14ac:dyDescent="0.3">
      <c r="A443" s="88" t="s">
        <v>481</v>
      </c>
      <c r="B443" s="24">
        <v>39523</v>
      </c>
      <c r="C443" s="32">
        <v>2.2518144116122345</v>
      </c>
      <c r="D443" s="125">
        <v>6.5</v>
      </c>
      <c r="E443" s="125">
        <v>3.5</v>
      </c>
      <c r="F443" s="126">
        <v>11.975</v>
      </c>
      <c r="G443" s="126"/>
      <c r="H443" s="126">
        <f t="shared" si="6"/>
        <v>0.78533815916549388</v>
      </c>
      <c r="I443" s="89">
        <v>181.89000000000007</v>
      </c>
      <c r="J443" s="125">
        <v>90.364583333333329</v>
      </c>
    </row>
    <row r="444" spans="1:10" x14ac:dyDescent="0.3">
      <c r="A444" s="88" t="s">
        <v>481</v>
      </c>
      <c r="B444" s="24">
        <v>39524</v>
      </c>
      <c r="C444" s="32">
        <v>9.4509604861471121</v>
      </c>
      <c r="D444" s="125">
        <v>6.3</v>
      </c>
      <c r="E444" s="125">
        <v>0.5</v>
      </c>
      <c r="F444" s="126">
        <v>0.39</v>
      </c>
      <c r="G444" s="126"/>
      <c r="H444" s="126">
        <f t="shared" si="6"/>
        <v>0.63359438986733596</v>
      </c>
      <c r="I444" s="89">
        <v>489.5999999999998</v>
      </c>
      <c r="J444" s="125">
        <v>74.732291666666683</v>
      </c>
    </row>
    <row r="445" spans="1:10" x14ac:dyDescent="0.3">
      <c r="A445" s="88" t="s">
        <v>481</v>
      </c>
      <c r="B445" s="24">
        <v>39525</v>
      </c>
      <c r="C445" s="32">
        <v>7.0065448418869885</v>
      </c>
      <c r="D445" s="125">
        <v>5.4</v>
      </c>
      <c r="E445" s="125">
        <v>0</v>
      </c>
      <c r="F445" s="126">
        <v>3.0950000000000002</v>
      </c>
      <c r="G445" s="126"/>
      <c r="H445" s="126">
        <f t="shared" si="6"/>
        <v>0.61099999999999999</v>
      </c>
      <c r="I445" s="89">
        <v>410.93999999999994</v>
      </c>
      <c r="J445" s="125">
        <v>79.091666666666669</v>
      </c>
    </row>
    <row r="446" spans="1:10" x14ac:dyDescent="0.3">
      <c r="A446" s="88" t="s">
        <v>481</v>
      </c>
      <c r="B446" s="24">
        <v>39526</v>
      </c>
      <c r="C446" s="32">
        <v>11.292372271182535</v>
      </c>
      <c r="D446" s="125">
        <v>6.9</v>
      </c>
      <c r="E446" s="125">
        <v>0.7</v>
      </c>
      <c r="F446" s="126">
        <v>1.375</v>
      </c>
      <c r="G446" s="126"/>
      <c r="H446" s="126">
        <f t="shared" si="6"/>
        <v>0.64283692539220627</v>
      </c>
      <c r="I446" s="89">
        <v>351</v>
      </c>
      <c r="J446" s="125">
        <v>76.373958333333348</v>
      </c>
    </row>
    <row r="447" spans="1:10" x14ac:dyDescent="0.3">
      <c r="A447" s="88" t="s">
        <v>481</v>
      </c>
      <c r="B447" s="24">
        <v>39527</v>
      </c>
      <c r="C447" s="32">
        <v>6.9444444444444446</v>
      </c>
      <c r="D447" s="125">
        <v>5.8</v>
      </c>
      <c r="E447" s="125">
        <v>0</v>
      </c>
      <c r="F447" s="126">
        <v>0.52</v>
      </c>
      <c r="G447" s="126"/>
      <c r="H447" s="126">
        <f t="shared" si="6"/>
        <v>0.61099999999999999</v>
      </c>
      <c r="I447" s="89">
        <v>351.45000000000016</v>
      </c>
      <c r="J447" s="125">
        <v>82.566666666666677</v>
      </c>
    </row>
    <row r="448" spans="1:10" x14ac:dyDescent="0.3">
      <c r="A448" s="88" t="s">
        <v>481</v>
      </c>
      <c r="B448" s="24">
        <v>39528</v>
      </c>
      <c r="C448" s="32">
        <v>6.619542365071136</v>
      </c>
      <c r="D448" s="125">
        <v>6.4</v>
      </c>
      <c r="E448" s="125">
        <v>1.3</v>
      </c>
      <c r="F448" s="126">
        <v>10.1</v>
      </c>
      <c r="G448" s="126"/>
      <c r="H448" s="126">
        <f t="shared" si="6"/>
        <v>0.67128358518521281</v>
      </c>
      <c r="I448" s="89">
        <v>349.56000000000006</v>
      </c>
      <c r="J448" s="125">
        <v>88.1822916666667</v>
      </c>
    </row>
    <row r="449" spans="1:10" x14ac:dyDescent="0.3">
      <c r="A449" s="88" t="s">
        <v>481</v>
      </c>
      <c r="B449" s="24">
        <v>39529</v>
      </c>
      <c r="C449" s="32">
        <v>2.718917401071367</v>
      </c>
      <c r="D449" s="125">
        <v>3.7</v>
      </c>
      <c r="E449" s="125">
        <v>0</v>
      </c>
      <c r="F449" s="126">
        <v>6.779999999999994</v>
      </c>
      <c r="G449" s="126"/>
      <c r="H449" s="126">
        <f t="shared" si="6"/>
        <v>0.61099999999999999</v>
      </c>
      <c r="I449" s="89">
        <v>401.03999999999974</v>
      </c>
      <c r="J449" s="125">
        <v>94.978125000000006</v>
      </c>
    </row>
    <row r="450" spans="1:10" x14ac:dyDescent="0.3">
      <c r="A450" s="88" t="s">
        <v>481</v>
      </c>
      <c r="B450" s="24">
        <v>39530</v>
      </c>
      <c r="C450" s="32">
        <v>13.740387938482806</v>
      </c>
      <c r="D450" s="125">
        <v>3.7</v>
      </c>
      <c r="E450" s="125">
        <v>0.1</v>
      </c>
      <c r="F450" s="126">
        <v>6.5000000000000002E-2</v>
      </c>
      <c r="G450" s="126"/>
      <c r="H450" s="126">
        <f t="shared" si="6"/>
        <v>0.61546101269605991</v>
      </c>
      <c r="I450" s="89">
        <v>194.76</v>
      </c>
      <c r="J450" s="125">
        <v>82.745833333333323</v>
      </c>
    </row>
    <row r="451" spans="1:10" x14ac:dyDescent="0.3">
      <c r="A451" s="88" t="s">
        <v>481</v>
      </c>
      <c r="B451" s="24">
        <v>39531</v>
      </c>
      <c r="C451" s="32">
        <v>10.543567478831864</v>
      </c>
      <c r="D451" s="125">
        <v>4.5999999999999996</v>
      </c>
      <c r="E451" s="125">
        <v>0</v>
      </c>
      <c r="F451" s="126">
        <v>0.15</v>
      </c>
      <c r="G451" s="126"/>
      <c r="H451" s="126">
        <f t="shared" si="6"/>
        <v>0.61099999999999999</v>
      </c>
      <c r="I451" s="89">
        <v>210.60000000000002</v>
      </c>
      <c r="J451" s="125">
        <v>82.084374999999994</v>
      </c>
    </row>
    <row r="452" spans="1:10" x14ac:dyDescent="0.3">
      <c r="A452" s="88" t="s">
        <v>481</v>
      </c>
      <c r="B452" s="24">
        <v>39532</v>
      </c>
      <c r="C452" s="32">
        <v>8.5626548009907264</v>
      </c>
      <c r="D452" s="125">
        <v>4.4000000000000004</v>
      </c>
      <c r="E452" s="125">
        <v>0</v>
      </c>
      <c r="F452" s="126">
        <v>0.38</v>
      </c>
      <c r="G452" s="126"/>
      <c r="H452" s="126">
        <f t="shared" ref="H452:H515" si="7">0.611*EXP((17.27*E452)/(E452+237.3))</f>
        <v>0.61099999999999999</v>
      </c>
      <c r="I452" s="89">
        <v>423.27</v>
      </c>
      <c r="J452" s="125">
        <v>80.86041666666668</v>
      </c>
    </row>
    <row r="453" spans="1:10" x14ac:dyDescent="0.3">
      <c r="A453" s="88" t="s">
        <v>481</v>
      </c>
      <c r="B453" s="24">
        <v>39533</v>
      </c>
      <c r="C453" s="32">
        <v>7.5051480329474103</v>
      </c>
      <c r="D453" s="125">
        <v>5.5</v>
      </c>
      <c r="E453" s="125">
        <v>0</v>
      </c>
      <c r="F453" s="126">
        <v>2.6</v>
      </c>
      <c r="G453" s="126"/>
      <c r="H453" s="126">
        <f t="shared" si="7"/>
        <v>0.61099999999999999</v>
      </c>
      <c r="I453" s="89">
        <v>343.44</v>
      </c>
      <c r="J453" s="125">
        <v>84.707291666666663</v>
      </c>
    </row>
    <row r="454" spans="1:10" x14ac:dyDescent="0.3">
      <c r="A454" s="88" t="s">
        <v>481</v>
      </c>
      <c r="B454" s="24">
        <v>39534</v>
      </c>
      <c r="C454" s="32">
        <v>12.325578883704855</v>
      </c>
      <c r="D454" s="125">
        <v>7.7</v>
      </c>
      <c r="E454" s="125">
        <v>0.1</v>
      </c>
      <c r="F454" s="126">
        <v>0</v>
      </c>
      <c r="G454" s="126"/>
      <c r="H454" s="126">
        <f t="shared" si="7"/>
        <v>0.61546101269605991</v>
      </c>
      <c r="I454" s="89">
        <v>189.63000000000008</v>
      </c>
      <c r="J454" s="125">
        <v>74.95416666666668</v>
      </c>
    </row>
    <row r="455" spans="1:10" x14ac:dyDescent="0.3">
      <c r="A455" s="88" t="s">
        <v>481</v>
      </c>
      <c r="B455" s="24">
        <v>39535</v>
      </c>
      <c r="C455" s="32">
        <v>10.841469385404068</v>
      </c>
      <c r="D455" s="125">
        <v>10.7</v>
      </c>
      <c r="E455" s="125">
        <v>0</v>
      </c>
      <c r="F455" s="126">
        <v>0.105</v>
      </c>
      <c r="G455" s="126"/>
      <c r="H455" s="126">
        <f t="shared" si="7"/>
        <v>0.61099999999999999</v>
      </c>
      <c r="I455" s="89">
        <v>197.82</v>
      </c>
      <c r="J455" s="125">
        <v>66.851041666666646</v>
      </c>
    </row>
    <row r="456" spans="1:10" x14ac:dyDescent="0.3">
      <c r="A456" s="88" t="s">
        <v>481</v>
      </c>
      <c r="B456" s="24">
        <v>39536</v>
      </c>
      <c r="C456" s="32">
        <v>11.40942038871154</v>
      </c>
      <c r="D456" s="125">
        <v>11.9</v>
      </c>
      <c r="E456" s="125">
        <v>5.5</v>
      </c>
      <c r="F456" s="126">
        <v>1.1299999999999999</v>
      </c>
      <c r="G456" s="126"/>
      <c r="H456" s="126">
        <f t="shared" si="7"/>
        <v>0.90352494025987484</v>
      </c>
      <c r="I456" s="89">
        <v>410.71831578947365</v>
      </c>
      <c r="J456" s="125">
        <v>62.613684210526287</v>
      </c>
    </row>
    <row r="457" spans="1:10" x14ac:dyDescent="0.3">
      <c r="A457" s="88" t="s">
        <v>481</v>
      </c>
      <c r="B457" s="24">
        <v>39537</v>
      </c>
      <c r="C457" s="32">
        <v>16.138003283221014</v>
      </c>
      <c r="D457" s="125">
        <v>19.8</v>
      </c>
      <c r="E457" s="125">
        <v>4.5999999999999996</v>
      </c>
      <c r="F457" s="126">
        <v>5.0000000000000001E-3</v>
      </c>
      <c r="G457" s="126"/>
      <c r="H457" s="126">
        <f t="shared" si="7"/>
        <v>0.84852995914135099</v>
      </c>
      <c r="I457" s="89">
        <v>272.25</v>
      </c>
      <c r="J457" s="125">
        <v>43.648958333333347</v>
      </c>
    </row>
    <row r="458" spans="1:10" x14ac:dyDescent="0.3">
      <c r="A458" s="88" t="s">
        <v>481</v>
      </c>
      <c r="B458" s="24">
        <v>39538</v>
      </c>
      <c r="C458" s="32">
        <v>9.6237615920741906</v>
      </c>
      <c r="D458" s="125">
        <v>14.1</v>
      </c>
      <c r="E458" s="125">
        <v>6.6</v>
      </c>
      <c r="F458" s="126">
        <v>0</v>
      </c>
      <c r="G458" s="126"/>
      <c r="H458" s="126">
        <f t="shared" si="7"/>
        <v>0.97499060249070812</v>
      </c>
      <c r="I458" s="89">
        <v>178.82999999999998</v>
      </c>
      <c r="J458" s="125">
        <v>66.91354166666666</v>
      </c>
    </row>
    <row r="459" spans="1:10" x14ac:dyDescent="0.3">
      <c r="A459" s="88" t="s">
        <v>481</v>
      </c>
      <c r="B459" s="24">
        <v>39539</v>
      </c>
      <c r="C459" s="32">
        <v>15.342398191348424</v>
      </c>
      <c r="D459" s="125">
        <v>16.600000000000001</v>
      </c>
      <c r="E459" s="125">
        <v>3.1</v>
      </c>
      <c r="F459" s="126">
        <v>0.85</v>
      </c>
      <c r="G459" s="126"/>
      <c r="H459" s="126">
        <f t="shared" si="7"/>
        <v>0.76341105875491733</v>
      </c>
      <c r="I459" s="89">
        <v>215.90999999999997</v>
      </c>
      <c r="J459" s="125">
        <v>73.177083333333329</v>
      </c>
    </row>
    <row r="460" spans="1:10" x14ac:dyDescent="0.3">
      <c r="A460" s="88" t="s">
        <v>481</v>
      </c>
      <c r="B460" s="24">
        <v>39540</v>
      </c>
      <c r="C460" s="32">
        <v>5.3055339554173147</v>
      </c>
      <c r="D460" s="125">
        <v>10.1</v>
      </c>
      <c r="E460" s="125">
        <v>6.1</v>
      </c>
      <c r="F460" s="126">
        <v>4.24</v>
      </c>
      <c r="G460" s="126"/>
      <c r="H460" s="126">
        <f t="shared" si="7"/>
        <v>0.94191143925241705</v>
      </c>
      <c r="I460" s="89">
        <v>389.07</v>
      </c>
      <c r="J460" s="125">
        <v>80.914583333333312</v>
      </c>
    </row>
    <row r="461" spans="1:10" x14ac:dyDescent="0.3">
      <c r="A461" s="88" t="s">
        <v>481</v>
      </c>
      <c r="B461" s="24">
        <v>39541</v>
      </c>
      <c r="C461" s="32">
        <v>8.0334514140890505</v>
      </c>
      <c r="D461" s="125">
        <v>9.9</v>
      </c>
      <c r="E461" s="125">
        <v>5.3</v>
      </c>
      <c r="F461" s="126">
        <v>2.0150000000000001</v>
      </c>
      <c r="G461" s="126"/>
      <c r="H461" s="126">
        <f t="shared" si="7"/>
        <v>0.89103953465215091</v>
      </c>
      <c r="I461" s="89">
        <v>389.1600000000002</v>
      </c>
      <c r="J461" s="125">
        <v>86.461458333333383</v>
      </c>
    </row>
    <row r="462" spans="1:10" x14ac:dyDescent="0.3">
      <c r="A462" s="88" t="s">
        <v>481</v>
      </c>
      <c r="B462" s="24">
        <v>39542</v>
      </c>
      <c r="C462" s="32">
        <v>7.0542451471689418</v>
      </c>
      <c r="D462" s="125">
        <v>9.6</v>
      </c>
      <c r="E462" s="125">
        <v>5</v>
      </c>
      <c r="F462" s="126">
        <v>7.4999999999999997E-2</v>
      </c>
      <c r="G462" s="126"/>
      <c r="H462" s="126">
        <f t="shared" si="7"/>
        <v>0.87259658934786222</v>
      </c>
      <c r="I462" s="89">
        <v>219.69</v>
      </c>
      <c r="J462" s="125">
        <v>82.756249999999994</v>
      </c>
    </row>
    <row r="463" spans="1:10" x14ac:dyDescent="0.3">
      <c r="A463" s="88" t="s">
        <v>481</v>
      </c>
      <c r="B463" s="24">
        <v>39543</v>
      </c>
      <c r="C463" s="32">
        <v>2.7162173837912564</v>
      </c>
      <c r="D463" s="125">
        <v>7.8</v>
      </c>
      <c r="E463" s="125">
        <v>3.3</v>
      </c>
      <c r="F463" s="126">
        <v>14.62</v>
      </c>
      <c r="G463" s="126"/>
      <c r="H463" s="126">
        <f t="shared" si="7"/>
        <v>0.77430610767805441</v>
      </c>
      <c r="I463" s="89">
        <v>207.89999999999998</v>
      </c>
      <c r="J463" s="125">
        <v>90.783333333333317</v>
      </c>
    </row>
    <row r="464" spans="1:10" x14ac:dyDescent="0.3">
      <c r="A464" s="88" t="s">
        <v>481</v>
      </c>
      <c r="B464" s="24">
        <v>39544</v>
      </c>
      <c r="C464" s="32">
        <v>12.614480732676689</v>
      </c>
      <c r="D464" s="125">
        <v>8.1999999999999993</v>
      </c>
      <c r="E464" s="125">
        <v>2.2999999999999998</v>
      </c>
      <c r="F464" s="126">
        <v>3.5000000000000003E-2</v>
      </c>
      <c r="G464" s="126"/>
      <c r="H464" s="126">
        <f t="shared" si="7"/>
        <v>0.72117182708011951</v>
      </c>
      <c r="I464" s="89">
        <v>221.39999999999998</v>
      </c>
      <c r="J464" s="125">
        <v>78.713541666666686</v>
      </c>
    </row>
    <row r="465" spans="1:10" x14ac:dyDescent="0.3">
      <c r="A465" s="88" t="s">
        <v>481</v>
      </c>
      <c r="B465" s="24">
        <v>39545</v>
      </c>
      <c r="C465" s="32">
        <v>5.6295360290305858</v>
      </c>
      <c r="D465" s="125">
        <v>6.6</v>
      </c>
      <c r="E465" s="125">
        <v>0.2</v>
      </c>
      <c r="F465" s="126">
        <v>12.205</v>
      </c>
      <c r="G465" s="126"/>
      <c r="H465" s="126">
        <f t="shared" si="7"/>
        <v>0.61995079814923992</v>
      </c>
      <c r="I465" s="89">
        <v>181.17</v>
      </c>
      <c r="J465" s="125">
        <v>91.962500000000006</v>
      </c>
    </row>
    <row r="466" spans="1:10" x14ac:dyDescent="0.3">
      <c r="A466" s="88" t="s">
        <v>481</v>
      </c>
      <c r="B466" s="24">
        <v>39546</v>
      </c>
      <c r="C466" s="32">
        <v>13.524386556073958</v>
      </c>
      <c r="D466" s="125">
        <v>8.9</v>
      </c>
      <c r="E466" s="125">
        <v>1.1000000000000001</v>
      </c>
      <c r="F466" s="126">
        <v>2.125</v>
      </c>
      <c r="G466" s="126"/>
      <c r="H466" s="126">
        <f t="shared" si="7"/>
        <v>0.66168020278676021</v>
      </c>
      <c r="I466" s="89">
        <v>150.03000000000003</v>
      </c>
      <c r="J466" s="125">
        <v>72.061458333333363</v>
      </c>
    </row>
    <row r="467" spans="1:10" x14ac:dyDescent="0.3">
      <c r="A467" s="88" t="s">
        <v>481</v>
      </c>
      <c r="B467" s="24">
        <v>39547</v>
      </c>
      <c r="C467" s="32">
        <v>7.5393482518288124</v>
      </c>
      <c r="D467" s="125">
        <v>7.1</v>
      </c>
      <c r="E467" s="125">
        <v>2.5</v>
      </c>
      <c r="F467" s="126">
        <v>1.07</v>
      </c>
      <c r="G467" s="126"/>
      <c r="H467" s="126">
        <f t="shared" si="7"/>
        <v>0.73153336467415264</v>
      </c>
      <c r="I467" s="89">
        <v>205.74</v>
      </c>
      <c r="J467" s="125">
        <v>78.334374999999994</v>
      </c>
    </row>
    <row r="468" spans="1:10" x14ac:dyDescent="0.3">
      <c r="A468" s="88" t="s">
        <v>481</v>
      </c>
      <c r="B468" s="24">
        <v>39548</v>
      </c>
      <c r="C468" s="32">
        <v>2.6469169402684178</v>
      </c>
      <c r="D468" s="125">
        <v>5</v>
      </c>
      <c r="E468" s="125">
        <v>3.3</v>
      </c>
      <c r="F468" s="126">
        <v>1.44</v>
      </c>
      <c r="G468" s="126"/>
      <c r="H468" s="126">
        <f t="shared" si="7"/>
        <v>0.77430610767805441</v>
      </c>
      <c r="I468" s="89">
        <v>236.52</v>
      </c>
      <c r="J468" s="125">
        <v>92.423958333333346</v>
      </c>
    </row>
    <row r="469" spans="1:10" x14ac:dyDescent="0.3">
      <c r="A469" s="88" t="s">
        <v>481</v>
      </c>
      <c r="B469" s="24">
        <v>39549</v>
      </c>
      <c r="C469" s="32">
        <v>2.94481884684062</v>
      </c>
      <c r="D469" s="125">
        <v>7</v>
      </c>
      <c r="E469" s="125">
        <v>3.3</v>
      </c>
      <c r="F469" s="126">
        <v>0.83</v>
      </c>
      <c r="G469" s="126"/>
      <c r="H469" s="126">
        <f t="shared" si="7"/>
        <v>0.77430610767805441</v>
      </c>
      <c r="I469" s="89">
        <v>257.31</v>
      </c>
      <c r="J469" s="125">
        <v>92.947916666666643</v>
      </c>
    </row>
    <row r="470" spans="1:10" x14ac:dyDescent="0.3">
      <c r="A470" s="88" t="s">
        <v>481</v>
      </c>
      <c r="B470" s="24">
        <v>39550</v>
      </c>
      <c r="C470" s="32">
        <v>18.466318184436378</v>
      </c>
      <c r="D470" s="125">
        <v>14.4</v>
      </c>
      <c r="E470" s="125">
        <v>3.8</v>
      </c>
      <c r="F470" s="126">
        <v>0.19</v>
      </c>
      <c r="G470" s="126"/>
      <c r="H470" s="126">
        <f t="shared" si="7"/>
        <v>0.80214634758046521</v>
      </c>
      <c r="I470" s="89">
        <v>240.03000000000003</v>
      </c>
      <c r="J470" s="125">
        <v>67.744791666666657</v>
      </c>
    </row>
    <row r="471" spans="1:10" x14ac:dyDescent="0.3">
      <c r="A471" s="88" t="s">
        <v>481</v>
      </c>
      <c r="B471" s="24">
        <v>39551</v>
      </c>
      <c r="C471" s="32">
        <v>11.171771499337597</v>
      </c>
      <c r="D471" s="125">
        <v>13.5</v>
      </c>
      <c r="E471" s="125">
        <v>5.4</v>
      </c>
      <c r="F471" s="126">
        <v>5.4850000000000003</v>
      </c>
      <c r="G471" s="126"/>
      <c r="H471" s="126">
        <f t="shared" si="7"/>
        <v>0.8972630930441321</v>
      </c>
      <c r="I471" s="89">
        <v>168.48</v>
      </c>
      <c r="J471" s="125">
        <v>76.794791666666669</v>
      </c>
    </row>
    <row r="472" spans="1:10" x14ac:dyDescent="0.3">
      <c r="A472" s="88" t="s">
        <v>481</v>
      </c>
      <c r="B472" s="24">
        <v>39552</v>
      </c>
      <c r="C472" s="32">
        <v>4.9887319278843387</v>
      </c>
      <c r="D472" s="125">
        <v>9.1</v>
      </c>
      <c r="E472" s="125">
        <v>5.7</v>
      </c>
      <c r="F472" s="126">
        <v>11.895</v>
      </c>
      <c r="G472" s="126"/>
      <c r="H472" s="126">
        <f t="shared" si="7"/>
        <v>0.91616430843021424</v>
      </c>
      <c r="I472" s="89">
        <v>173.78999999999996</v>
      </c>
      <c r="J472" s="125">
        <v>92.35208333333334</v>
      </c>
    </row>
    <row r="473" spans="1:10" x14ac:dyDescent="0.3">
      <c r="A473" s="88" t="s">
        <v>481</v>
      </c>
      <c r="B473" s="24">
        <v>39553</v>
      </c>
      <c r="C473" s="32">
        <v>9.1260584067738026</v>
      </c>
      <c r="D473" s="125">
        <v>10.199999999999999</v>
      </c>
      <c r="E473" s="125">
        <v>4.5999999999999996</v>
      </c>
      <c r="F473" s="126">
        <v>0.89</v>
      </c>
      <c r="G473" s="126"/>
      <c r="H473" s="126">
        <f t="shared" si="7"/>
        <v>0.84852995914135099</v>
      </c>
      <c r="I473" s="89">
        <v>272.43</v>
      </c>
      <c r="J473" s="125">
        <v>79.563541666666623</v>
      </c>
    </row>
    <row r="474" spans="1:10" x14ac:dyDescent="0.3">
      <c r="A474" s="88" t="s">
        <v>481</v>
      </c>
      <c r="B474" s="24">
        <v>39554</v>
      </c>
      <c r="C474" s="32">
        <v>16.341404584989345</v>
      </c>
      <c r="D474" s="125">
        <v>9.1</v>
      </c>
      <c r="E474" s="125">
        <v>1.8</v>
      </c>
      <c r="F474" s="126">
        <v>0.89</v>
      </c>
      <c r="G474" s="126"/>
      <c r="H474" s="126">
        <f t="shared" si="7"/>
        <v>0.69583287280742301</v>
      </c>
      <c r="I474" s="89">
        <v>218.33999999999992</v>
      </c>
      <c r="J474" s="125">
        <v>75.394791666666649</v>
      </c>
    </row>
    <row r="475" spans="1:10" x14ac:dyDescent="0.3">
      <c r="A475" s="88" t="s">
        <v>481</v>
      </c>
      <c r="B475" s="24">
        <v>39555</v>
      </c>
      <c r="C475" s="32">
        <v>13.496486377512817</v>
      </c>
      <c r="D475" s="125">
        <v>8.8000000000000007</v>
      </c>
      <c r="E475" s="125">
        <v>0.1</v>
      </c>
      <c r="F475" s="126">
        <v>0.06</v>
      </c>
      <c r="G475" s="126"/>
      <c r="H475" s="126">
        <f t="shared" si="7"/>
        <v>0.61546101269605991</v>
      </c>
      <c r="I475" s="89">
        <v>228.33000000000004</v>
      </c>
      <c r="J475" s="125">
        <v>83.351041666666674</v>
      </c>
    </row>
    <row r="476" spans="1:10" x14ac:dyDescent="0.3">
      <c r="A476" s="88" t="s">
        <v>481</v>
      </c>
      <c r="B476" s="24">
        <v>39556</v>
      </c>
      <c r="C476" s="32">
        <v>4.4604285467426994</v>
      </c>
      <c r="D476" s="125">
        <v>7.9</v>
      </c>
      <c r="E476" s="125">
        <v>4.5999999999999996</v>
      </c>
      <c r="F476" s="126">
        <v>2.5000000000000001E-2</v>
      </c>
      <c r="G476" s="126"/>
      <c r="H476" s="126">
        <f t="shared" si="7"/>
        <v>0.84852995914135099</v>
      </c>
      <c r="I476" s="89">
        <v>370.53</v>
      </c>
      <c r="J476" s="125">
        <v>85.385416666666671</v>
      </c>
    </row>
    <row r="477" spans="1:10" x14ac:dyDescent="0.3">
      <c r="A477" s="88" t="s">
        <v>481</v>
      </c>
      <c r="B477" s="24">
        <v>39557</v>
      </c>
      <c r="C477" s="32">
        <v>9.7128621623178386</v>
      </c>
      <c r="D477" s="125">
        <v>8.6</v>
      </c>
      <c r="E477" s="125">
        <v>3.6</v>
      </c>
      <c r="F477" s="126">
        <v>0</v>
      </c>
      <c r="G477" s="126"/>
      <c r="H477" s="126">
        <f t="shared" si="7"/>
        <v>0.79090602148237243</v>
      </c>
      <c r="I477" s="89">
        <v>476.18999999999994</v>
      </c>
      <c r="J477" s="125">
        <v>76.173958333333331</v>
      </c>
    </row>
    <row r="478" spans="1:10" x14ac:dyDescent="0.3">
      <c r="A478" s="88" t="s">
        <v>481</v>
      </c>
      <c r="B478" s="24">
        <v>39558</v>
      </c>
      <c r="C478" s="32">
        <v>19.054921951500489</v>
      </c>
      <c r="D478" s="125">
        <v>13.1</v>
      </c>
      <c r="E478" s="125">
        <v>5.2</v>
      </c>
      <c r="F478" s="126">
        <v>0</v>
      </c>
      <c r="G478" s="126"/>
      <c r="H478" s="126">
        <f t="shared" si="7"/>
        <v>0.88485406434684233</v>
      </c>
      <c r="I478" s="89">
        <v>316.17</v>
      </c>
      <c r="J478" s="125">
        <v>63.832291666666698</v>
      </c>
    </row>
    <row r="479" spans="1:10" x14ac:dyDescent="0.3">
      <c r="A479" s="88" t="s">
        <v>481</v>
      </c>
      <c r="B479" s="24">
        <v>39559</v>
      </c>
      <c r="C479" s="32">
        <v>22.040241057542769</v>
      </c>
      <c r="D479" s="125">
        <v>16.100000000000001</v>
      </c>
      <c r="E479" s="125">
        <v>4.5999999999999996</v>
      </c>
      <c r="F479" s="126">
        <v>0</v>
      </c>
      <c r="G479" s="126"/>
      <c r="H479" s="126">
        <f t="shared" si="7"/>
        <v>0.84852995914135099</v>
      </c>
      <c r="I479" s="89">
        <v>500.39999999999986</v>
      </c>
      <c r="J479" s="125">
        <v>64.115624999999994</v>
      </c>
    </row>
    <row r="480" spans="1:10" x14ac:dyDescent="0.3">
      <c r="A480" s="88" t="s">
        <v>481</v>
      </c>
      <c r="B480" s="24">
        <v>39560</v>
      </c>
      <c r="C480" s="32">
        <v>19.20702292494672</v>
      </c>
      <c r="D480" s="125">
        <v>16.100000000000001</v>
      </c>
      <c r="E480" s="125">
        <v>7.1</v>
      </c>
      <c r="F480" s="126">
        <v>0</v>
      </c>
      <c r="G480" s="126"/>
      <c r="H480" s="126">
        <f t="shared" si="7"/>
        <v>1.0090889554747804</v>
      </c>
      <c r="I480" s="89">
        <v>512.81999999999971</v>
      </c>
      <c r="J480" s="125">
        <v>58.255208333333307</v>
      </c>
    </row>
    <row r="481" spans="1:10" x14ac:dyDescent="0.3">
      <c r="A481" s="88" t="s">
        <v>481</v>
      </c>
      <c r="B481" s="24">
        <v>39561</v>
      </c>
      <c r="C481" s="32">
        <v>18.337617360751111</v>
      </c>
      <c r="D481" s="125">
        <v>16.8</v>
      </c>
      <c r="E481" s="125">
        <v>3.1</v>
      </c>
      <c r="F481" s="126">
        <v>5.0000000000000001E-3</v>
      </c>
      <c r="G481" s="126"/>
      <c r="H481" s="126">
        <f t="shared" si="7"/>
        <v>0.76341105875491733</v>
      </c>
      <c r="I481" s="89">
        <v>170.28000000000009</v>
      </c>
      <c r="J481" s="125">
        <v>61.542708333333316</v>
      </c>
    </row>
    <row r="482" spans="1:10" x14ac:dyDescent="0.3">
      <c r="A482" s="88" t="s">
        <v>481</v>
      </c>
      <c r="B482" s="24">
        <v>39562</v>
      </c>
      <c r="C482" s="32">
        <v>16.626706410921031</v>
      </c>
      <c r="D482" s="125">
        <v>18.600000000000001</v>
      </c>
      <c r="E482" s="125">
        <v>7.8</v>
      </c>
      <c r="F482" s="126">
        <v>0.39500000000000002</v>
      </c>
      <c r="G482" s="126"/>
      <c r="H482" s="126">
        <f t="shared" si="7"/>
        <v>1.0585899253295545</v>
      </c>
      <c r="I482" s="89">
        <v>151.02000000000004</v>
      </c>
      <c r="J482" s="125">
        <v>56.293750000000003</v>
      </c>
    </row>
    <row r="483" spans="1:10" x14ac:dyDescent="0.3">
      <c r="A483" s="88" t="s">
        <v>481</v>
      </c>
      <c r="B483" s="24">
        <v>39563</v>
      </c>
      <c r="C483" s="32">
        <v>15.55929957951731</v>
      </c>
      <c r="D483" s="125">
        <v>15.6</v>
      </c>
      <c r="E483" s="125">
        <v>7.8</v>
      </c>
      <c r="F483" s="126">
        <v>2.895</v>
      </c>
      <c r="G483" s="126"/>
      <c r="H483" s="126">
        <f t="shared" si="7"/>
        <v>1.0585899253295545</v>
      </c>
      <c r="I483" s="89">
        <v>307.62</v>
      </c>
      <c r="J483" s="125">
        <v>74.840625000000003</v>
      </c>
    </row>
    <row r="484" spans="1:10" x14ac:dyDescent="0.3">
      <c r="A484" s="88" t="s">
        <v>481</v>
      </c>
      <c r="B484" s="24">
        <v>39564</v>
      </c>
      <c r="C484" s="32">
        <v>21.458837336558954</v>
      </c>
      <c r="D484" s="125">
        <v>17.399999999999999</v>
      </c>
      <c r="E484" s="125">
        <v>5.5</v>
      </c>
      <c r="F484" s="126">
        <v>0</v>
      </c>
      <c r="G484" s="126"/>
      <c r="H484" s="126">
        <f t="shared" si="7"/>
        <v>0.90352494025987484</v>
      </c>
      <c r="I484" s="89">
        <v>147.77999999999994</v>
      </c>
      <c r="J484" s="125">
        <v>65.645833333333343</v>
      </c>
    </row>
    <row r="485" spans="1:10" x14ac:dyDescent="0.3">
      <c r="A485" s="88" t="s">
        <v>481</v>
      </c>
      <c r="B485" s="24">
        <v>39565</v>
      </c>
      <c r="C485" s="32">
        <v>20.681232359887105</v>
      </c>
      <c r="D485" s="125">
        <v>19.899999999999999</v>
      </c>
      <c r="E485" s="125">
        <v>8.8000000000000007</v>
      </c>
      <c r="F485" s="126">
        <v>0</v>
      </c>
      <c r="G485" s="126"/>
      <c r="H485" s="126">
        <f t="shared" si="7"/>
        <v>1.1330116523877718</v>
      </c>
      <c r="I485" s="89">
        <v>197.91</v>
      </c>
      <c r="J485" s="125">
        <v>55.501041666666644</v>
      </c>
    </row>
    <row r="486" spans="1:10" x14ac:dyDescent="0.3">
      <c r="A486" s="88" t="s">
        <v>481</v>
      </c>
      <c r="B486" s="24">
        <v>39566</v>
      </c>
      <c r="C486" s="32">
        <v>18.227816658026612</v>
      </c>
      <c r="D486" s="125">
        <v>19.899999999999999</v>
      </c>
      <c r="E486" s="125">
        <v>10</v>
      </c>
      <c r="F486" s="126">
        <v>14.805</v>
      </c>
      <c r="G486" s="126"/>
      <c r="H486" s="126">
        <f t="shared" si="7"/>
        <v>1.2283647027117881</v>
      </c>
      <c r="I486" s="89">
        <v>231.66</v>
      </c>
      <c r="J486" s="125">
        <v>65.622916666666683</v>
      </c>
    </row>
    <row r="487" spans="1:10" x14ac:dyDescent="0.3">
      <c r="A487" s="88" t="s">
        <v>481</v>
      </c>
      <c r="B487" s="24">
        <v>39567</v>
      </c>
      <c r="C487" s="32">
        <v>9.2331590922181892</v>
      </c>
      <c r="D487" s="125">
        <v>13.7</v>
      </c>
      <c r="E487" s="125">
        <v>9.4</v>
      </c>
      <c r="F487" s="126">
        <v>7.7249999999999996</v>
      </c>
      <c r="G487" s="126"/>
      <c r="H487" s="126">
        <f t="shared" si="7"/>
        <v>1.1798411174091483</v>
      </c>
      <c r="I487" s="89">
        <v>147.42000000000002</v>
      </c>
      <c r="J487" s="125">
        <v>88.661458333333357</v>
      </c>
    </row>
    <row r="488" spans="1:10" x14ac:dyDescent="0.3">
      <c r="A488" s="88" t="s">
        <v>481</v>
      </c>
      <c r="B488" s="24">
        <v>39568</v>
      </c>
      <c r="C488" s="32">
        <v>19.719126202407693</v>
      </c>
      <c r="D488" s="125">
        <v>18</v>
      </c>
      <c r="E488" s="125">
        <v>7.6</v>
      </c>
      <c r="F488" s="126">
        <v>1.88</v>
      </c>
      <c r="G488" s="126"/>
      <c r="H488" s="126">
        <f t="shared" si="7"/>
        <v>1.0442332464842816</v>
      </c>
      <c r="I488" s="89">
        <v>296.28000000000014</v>
      </c>
      <c r="J488" s="125">
        <v>67.460416666666646</v>
      </c>
    </row>
    <row r="489" spans="1:10" x14ac:dyDescent="0.3">
      <c r="A489" s="88" t="s">
        <v>481</v>
      </c>
      <c r="B489" s="24">
        <v>39569</v>
      </c>
      <c r="C489" s="32">
        <v>19.215122976787054</v>
      </c>
      <c r="D489" s="125">
        <v>16.600000000000001</v>
      </c>
      <c r="E489" s="125">
        <v>7.3</v>
      </c>
      <c r="F489" s="126">
        <v>1.65</v>
      </c>
      <c r="G489" s="126"/>
      <c r="H489" s="126">
        <f t="shared" si="7"/>
        <v>1.0230196423808093</v>
      </c>
      <c r="I489" s="89">
        <v>179.01</v>
      </c>
      <c r="J489" s="125">
        <v>71.747916666666697</v>
      </c>
    </row>
    <row r="490" spans="1:10" x14ac:dyDescent="0.3">
      <c r="A490" s="88" t="s">
        <v>481</v>
      </c>
      <c r="B490" s="24">
        <v>39570</v>
      </c>
      <c r="C490" s="32">
        <v>15.719500604803871</v>
      </c>
      <c r="D490" s="125">
        <v>15.3</v>
      </c>
      <c r="E490" s="125">
        <v>5.9</v>
      </c>
      <c r="F490" s="126">
        <v>6.0549999999999997</v>
      </c>
      <c r="G490" s="126"/>
      <c r="H490" s="126">
        <f t="shared" si="7"/>
        <v>0.92895926237531279</v>
      </c>
      <c r="I490" s="89">
        <v>162.62999999999997</v>
      </c>
      <c r="J490" s="125">
        <v>80.548958333333289</v>
      </c>
    </row>
    <row r="491" spans="1:10" x14ac:dyDescent="0.3">
      <c r="A491" s="88" t="s">
        <v>481</v>
      </c>
      <c r="B491" s="24">
        <v>39571</v>
      </c>
      <c r="C491" s="32">
        <v>23.988753528022578</v>
      </c>
      <c r="D491" s="125">
        <v>16.8</v>
      </c>
      <c r="E491" s="125">
        <v>4.8</v>
      </c>
      <c r="F491" s="126">
        <v>0</v>
      </c>
      <c r="G491" s="126"/>
      <c r="H491" s="126">
        <f t="shared" si="7"/>
        <v>0.86048907931200158</v>
      </c>
      <c r="I491" s="89">
        <v>89.28</v>
      </c>
      <c r="J491" s="125">
        <v>71.247916666666669</v>
      </c>
    </row>
    <row r="492" spans="1:10" x14ac:dyDescent="0.3">
      <c r="A492" s="88" t="s">
        <v>481</v>
      </c>
      <c r="B492" s="24">
        <v>39572</v>
      </c>
      <c r="C492" s="32">
        <v>22.204942111629514</v>
      </c>
      <c r="D492" s="125">
        <v>17.399999999999999</v>
      </c>
      <c r="E492" s="125">
        <v>5.0999999999999996</v>
      </c>
      <c r="F492" s="126">
        <v>0</v>
      </c>
      <c r="G492" s="126"/>
      <c r="H492" s="126">
        <f t="shared" si="7"/>
        <v>0.87870648225166126</v>
      </c>
      <c r="I492" s="89">
        <v>144.26999999999995</v>
      </c>
      <c r="J492" s="125">
        <v>63.55</v>
      </c>
    </row>
    <row r="493" spans="1:10" x14ac:dyDescent="0.3">
      <c r="A493" s="88" t="s">
        <v>481</v>
      </c>
      <c r="B493" s="24">
        <v>39573</v>
      </c>
      <c r="C493" s="32">
        <v>24.234455100512641</v>
      </c>
      <c r="D493" s="125">
        <v>19.8</v>
      </c>
      <c r="E493" s="125">
        <v>5.4</v>
      </c>
      <c r="F493" s="126">
        <v>0</v>
      </c>
      <c r="G493" s="126"/>
      <c r="H493" s="126">
        <f t="shared" si="7"/>
        <v>0.8972630930441321</v>
      </c>
      <c r="I493" s="89">
        <v>163.26000000000002</v>
      </c>
      <c r="J493" s="125">
        <v>71.880208333333357</v>
      </c>
    </row>
    <row r="494" spans="1:10" x14ac:dyDescent="0.3">
      <c r="A494" s="88" t="s">
        <v>481</v>
      </c>
      <c r="B494" s="24">
        <v>39574</v>
      </c>
      <c r="C494" s="32">
        <v>26.134367259950466</v>
      </c>
      <c r="D494" s="125">
        <v>20.100000000000001</v>
      </c>
      <c r="E494" s="125">
        <v>8.5</v>
      </c>
      <c r="F494" s="126">
        <v>0</v>
      </c>
      <c r="G494" s="126"/>
      <c r="H494" s="126">
        <f t="shared" si="7"/>
        <v>1.110216300480029</v>
      </c>
      <c r="I494" s="89">
        <v>177.20999999999992</v>
      </c>
      <c r="J494" s="125">
        <v>62.746875000000003</v>
      </c>
    </row>
    <row r="495" spans="1:10" x14ac:dyDescent="0.3">
      <c r="A495" s="88" t="s">
        <v>481</v>
      </c>
      <c r="B495" s="24">
        <v>39575</v>
      </c>
      <c r="C495" s="32">
        <v>24.695258049651521</v>
      </c>
      <c r="D495" s="125">
        <v>21.5</v>
      </c>
      <c r="E495" s="125">
        <v>7.3</v>
      </c>
      <c r="F495" s="126">
        <v>0</v>
      </c>
      <c r="G495" s="126"/>
      <c r="H495" s="126">
        <f t="shared" si="7"/>
        <v>1.0230196423808093</v>
      </c>
      <c r="I495" s="89">
        <v>82.710000000000008</v>
      </c>
      <c r="J495" s="125">
        <v>62.941666666666684</v>
      </c>
    </row>
    <row r="496" spans="1:10" x14ac:dyDescent="0.3">
      <c r="A496" s="88" t="s">
        <v>481</v>
      </c>
      <c r="B496" s="24">
        <v>39576</v>
      </c>
      <c r="C496" s="32">
        <v>26.457469327803697</v>
      </c>
      <c r="D496" s="125">
        <v>22.2</v>
      </c>
      <c r="E496" s="125">
        <v>7.7</v>
      </c>
      <c r="F496" s="126">
        <v>0</v>
      </c>
      <c r="G496" s="126"/>
      <c r="H496" s="126">
        <f t="shared" si="7"/>
        <v>1.0513900110721115</v>
      </c>
      <c r="I496" s="89">
        <v>115.19999999999999</v>
      </c>
      <c r="J496" s="125">
        <v>57.229166666666664</v>
      </c>
    </row>
    <row r="497" spans="1:10" x14ac:dyDescent="0.3">
      <c r="A497" s="88" t="s">
        <v>481</v>
      </c>
      <c r="B497" s="24">
        <v>39577</v>
      </c>
      <c r="C497" s="32">
        <v>26.619470364610333</v>
      </c>
      <c r="D497" s="125">
        <v>22.9</v>
      </c>
      <c r="E497" s="125">
        <v>7.9</v>
      </c>
      <c r="F497" s="126">
        <v>0</v>
      </c>
      <c r="G497" s="126"/>
      <c r="H497" s="126">
        <f t="shared" si="7"/>
        <v>1.0658332114824252</v>
      </c>
      <c r="I497" s="89">
        <v>220.5</v>
      </c>
      <c r="J497" s="125">
        <v>52.765625</v>
      </c>
    </row>
    <row r="498" spans="1:10" x14ac:dyDescent="0.3">
      <c r="A498" s="88" t="s">
        <v>481</v>
      </c>
      <c r="B498" s="24">
        <v>39578</v>
      </c>
      <c r="C498" s="32">
        <v>26.994772766545708</v>
      </c>
      <c r="D498" s="125">
        <v>22.8</v>
      </c>
      <c r="E498" s="125">
        <v>8.5</v>
      </c>
      <c r="F498" s="126">
        <v>0</v>
      </c>
      <c r="G498" s="126"/>
      <c r="H498" s="126">
        <f t="shared" si="7"/>
        <v>1.110216300480029</v>
      </c>
      <c r="I498" s="89">
        <v>197.19</v>
      </c>
      <c r="J498" s="125">
        <v>55.270833333333336</v>
      </c>
    </row>
    <row r="499" spans="1:10" x14ac:dyDescent="0.3">
      <c r="A499" s="88" t="s">
        <v>481</v>
      </c>
      <c r="B499" s="24">
        <v>39579</v>
      </c>
      <c r="C499" s="32">
        <v>25.933665975462244</v>
      </c>
      <c r="D499" s="125">
        <v>23.4</v>
      </c>
      <c r="E499" s="125">
        <v>9</v>
      </c>
      <c r="F499" s="126">
        <v>0</v>
      </c>
      <c r="G499" s="126"/>
      <c r="H499" s="126">
        <f t="shared" si="7"/>
        <v>1.148436398239401</v>
      </c>
      <c r="I499" s="89">
        <v>175.1399999999999</v>
      </c>
      <c r="J499" s="125">
        <v>89.152083333333337</v>
      </c>
    </row>
    <row r="500" spans="1:10" x14ac:dyDescent="0.3">
      <c r="A500" s="88" t="s">
        <v>481</v>
      </c>
      <c r="B500" s="24">
        <v>39580</v>
      </c>
      <c r="C500" s="32">
        <v>26.830971718218997</v>
      </c>
      <c r="D500" s="125">
        <v>23.6</v>
      </c>
      <c r="E500" s="125">
        <v>9.6</v>
      </c>
      <c r="F500" s="126">
        <v>0</v>
      </c>
      <c r="G500" s="126"/>
      <c r="H500" s="126">
        <f t="shared" si="7"/>
        <v>1.1958248668287446</v>
      </c>
      <c r="I500" s="89">
        <v>135.27000000000001</v>
      </c>
      <c r="J500" s="125">
        <v>99.178124999999994</v>
      </c>
    </row>
    <row r="501" spans="1:10" x14ac:dyDescent="0.3">
      <c r="A501" s="88" t="s">
        <v>481</v>
      </c>
      <c r="B501" s="24">
        <v>39581</v>
      </c>
      <c r="C501" s="32">
        <v>24.78165860261506</v>
      </c>
      <c r="D501" s="125">
        <v>20</v>
      </c>
      <c r="E501" s="125">
        <v>9.6999999999999993</v>
      </c>
      <c r="F501" s="126">
        <v>0</v>
      </c>
      <c r="G501" s="126"/>
      <c r="H501" s="126">
        <f t="shared" si="7"/>
        <v>1.2038879226915637</v>
      </c>
      <c r="I501" s="89">
        <v>282.32999999999981</v>
      </c>
      <c r="J501" s="125">
        <v>76.097916666666677</v>
      </c>
    </row>
    <row r="502" spans="1:10" x14ac:dyDescent="0.3">
      <c r="A502" s="88" t="s">
        <v>481</v>
      </c>
      <c r="B502" s="24">
        <v>39582</v>
      </c>
      <c r="C502" s="32">
        <v>26.539369851967056</v>
      </c>
      <c r="D502" s="125">
        <v>21.1</v>
      </c>
      <c r="E502" s="125">
        <v>6.9</v>
      </c>
      <c r="F502" s="126">
        <v>0</v>
      </c>
      <c r="G502" s="126"/>
      <c r="H502" s="126">
        <f t="shared" si="7"/>
        <v>0.99532561227749294</v>
      </c>
      <c r="I502" s="89">
        <v>193.86</v>
      </c>
      <c r="J502" s="125">
        <v>60.623958333333348</v>
      </c>
    </row>
    <row r="503" spans="1:10" x14ac:dyDescent="0.3">
      <c r="A503" s="88" t="s">
        <v>481</v>
      </c>
      <c r="B503" s="24">
        <v>39583</v>
      </c>
      <c r="C503" s="32">
        <v>13.579286907436208</v>
      </c>
      <c r="D503" s="125">
        <v>19.8</v>
      </c>
      <c r="E503" s="125">
        <v>8.9</v>
      </c>
      <c r="F503" s="126">
        <v>0.93</v>
      </c>
      <c r="G503" s="126"/>
      <c r="H503" s="126">
        <f t="shared" si="7"/>
        <v>1.1407010860938473</v>
      </c>
      <c r="I503" s="89">
        <v>91.980000000000018</v>
      </c>
      <c r="J503" s="125">
        <v>73.508333333333354</v>
      </c>
    </row>
    <row r="504" spans="1:10" x14ac:dyDescent="0.3">
      <c r="A504" s="88" t="s">
        <v>481</v>
      </c>
      <c r="B504" s="24">
        <v>39584</v>
      </c>
      <c r="C504" s="32">
        <v>6.9525444962847764</v>
      </c>
      <c r="D504" s="125">
        <v>17</v>
      </c>
      <c r="E504" s="125">
        <v>11.2</v>
      </c>
      <c r="F504" s="126">
        <v>3.4249999999999998</v>
      </c>
      <c r="G504" s="126"/>
      <c r="H504" s="126">
        <f t="shared" si="7"/>
        <v>1.3307036698161701</v>
      </c>
      <c r="I504" s="89">
        <v>110.69999999999999</v>
      </c>
      <c r="J504" s="125">
        <v>91.146874999999994</v>
      </c>
    </row>
    <row r="505" spans="1:10" x14ac:dyDescent="0.3">
      <c r="A505" s="88" t="s">
        <v>481</v>
      </c>
      <c r="B505" s="24">
        <v>39585</v>
      </c>
      <c r="C505" s="32">
        <v>4.490128736823916</v>
      </c>
      <c r="D505" s="125">
        <v>15.5</v>
      </c>
      <c r="E505" s="125">
        <v>9.1</v>
      </c>
      <c r="F505" s="126">
        <v>10.195</v>
      </c>
      <c r="G505" s="126"/>
      <c r="H505" s="126">
        <f t="shared" si="7"/>
        <v>1.156217822409108</v>
      </c>
      <c r="I505" s="89">
        <v>199.8</v>
      </c>
      <c r="J505" s="125">
        <v>95.363541666666677</v>
      </c>
    </row>
    <row r="506" spans="1:10" x14ac:dyDescent="0.3">
      <c r="A506" s="88" t="s">
        <v>481</v>
      </c>
      <c r="B506" s="24">
        <v>39586</v>
      </c>
      <c r="C506" s="32">
        <v>18.505918437878002</v>
      </c>
      <c r="D506" s="125">
        <v>15</v>
      </c>
      <c r="E506" s="125">
        <v>8</v>
      </c>
      <c r="F506" s="126">
        <v>0.02</v>
      </c>
      <c r="G506" s="126"/>
      <c r="H506" s="126">
        <f t="shared" si="7"/>
        <v>1.0731200926872433</v>
      </c>
      <c r="I506" s="89">
        <v>194.13000000000002</v>
      </c>
      <c r="J506" s="125">
        <v>72.006249999999994</v>
      </c>
    </row>
    <row r="507" spans="1:10" x14ac:dyDescent="0.3">
      <c r="A507" s="88" t="s">
        <v>481</v>
      </c>
      <c r="B507" s="24">
        <v>39587</v>
      </c>
      <c r="C507" s="32">
        <v>21.929540349058236</v>
      </c>
      <c r="D507" s="125">
        <v>15.7</v>
      </c>
      <c r="E507" s="125">
        <v>5.3</v>
      </c>
      <c r="F507" s="126">
        <v>0</v>
      </c>
      <c r="G507" s="126"/>
      <c r="H507" s="126">
        <f t="shared" si="7"/>
        <v>0.89103953465215091</v>
      </c>
      <c r="I507" s="89">
        <v>198.54000000000002</v>
      </c>
      <c r="J507" s="125">
        <v>68.755208333333329</v>
      </c>
    </row>
    <row r="508" spans="1:10" x14ac:dyDescent="0.3">
      <c r="A508" s="88" t="s">
        <v>481</v>
      </c>
      <c r="B508" s="24">
        <v>39588</v>
      </c>
      <c r="C508" s="32">
        <v>21.606438281204998</v>
      </c>
      <c r="D508" s="125">
        <v>15.8</v>
      </c>
      <c r="E508" s="125">
        <v>5.7</v>
      </c>
      <c r="F508" s="126">
        <v>0</v>
      </c>
      <c r="G508" s="126"/>
      <c r="H508" s="126">
        <f t="shared" si="7"/>
        <v>0.91616430843021424</v>
      </c>
      <c r="I508" s="89">
        <v>157.05000000000007</v>
      </c>
      <c r="J508" s="125">
        <v>60.460416666666653</v>
      </c>
    </row>
    <row r="509" spans="1:10" x14ac:dyDescent="0.3">
      <c r="A509" s="88" t="s">
        <v>481</v>
      </c>
      <c r="B509" s="24">
        <v>39589</v>
      </c>
      <c r="C509" s="32">
        <v>26.922772305742757</v>
      </c>
      <c r="D509" s="125">
        <v>17.2</v>
      </c>
      <c r="E509" s="125">
        <v>4.5</v>
      </c>
      <c r="F509" s="126">
        <v>5.0000000000000001E-3</v>
      </c>
      <c r="G509" s="126"/>
      <c r="H509" s="126">
        <f t="shared" si="7"/>
        <v>0.84260555674484927</v>
      </c>
      <c r="I509" s="89">
        <v>189.72000000000008</v>
      </c>
      <c r="J509" s="125">
        <v>56.63020833333335</v>
      </c>
    </row>
    <row r="510" spans="1:10" x14ac:dyDescent="0.3">
      <c r="A510" s="88" t="s">
        <v>481</v>
      </c>
      <c r="B510" s="24">
        <v>39590</v>
      </c>
      <c r="C510" s="32">
        <v>28.984685501987212</v>
      </c>
      <c r="D510" s="125">
        <v>18.8</v>
      </c>
      <c r="E510" s="125">
        <v>6.6</v>
      </c>
      <c r="F510" s="126">
        <v>5.0000000000000001E-3</v>
      </c>
      <c r="G510" s="126"/>
      <c r="H510" s="126">
        <f t="shared" si="7"/>
        <v>0.97499060249070812</v>
      </c>
      <c r="I510" s="89">
        <v>162.98999999999998</v>
      </c>
      <c r="J510" s="125">
        <v>57.242708333333326</v>
      </c>
    </row>
    <row r="511" spans="1:10" x14ac:dyDescent="0.3">
      <c r="A511" s="88" t="s">
        <v>481</v>
      </c>
      <c r="B511" s="24">
        <v>39591</v>
      </c>
      <c r="C511" s="32">
        <v>20.350930245953574</v>
      </c>
      <c r="D511" s="125">
        <v>19</v>
      </c>
      <c r="E511" s="125">
        <v>8.8000000000000007</v>
      </c>
      <c r="F511" s="126">
        <v>0</v>
      </c>
      <c r="G511" s="126"/>
      <c r="H511" s="126">
        <f t="shared" si="7"/>
        <v>1.1330116523877718</v>
      </c>
      <c r="I511" s="89">
        <v>186.66000000000011</v>
      </c>
      <c r="J511" s="125">
        <v>61.58020833333331</v>
      </c>
    </row>
    <row r="512" spans="1:10" x14ac:dyDescent="0.3">
      <c r="A512" s="88" t="s">
        <v>481</v>
      </c>
      <c r="B512" s="24">
        <v>39592</v>
      </c>
      <c r="C512" s="32">
        <v>28.802884338459766</v>
      </c>
      <c r="D512" s="125">
        <v>20.100000000000001</v>
      </c>
      <c r="E512" s="125">
        <v>7</v>
      </c>
      <c r="F512" s="126">
        <v>0</v>
      </c>
      <c r="G512" s="126"/>
      <c r="H512" s="126">
        <f t="shared" si="7"/>
        <v>1.0021864739217894</v>
      </c>
      <c r="I512" s="89">
        <v>278.82000000000011</v>
      </c>
      <c r="J512" s="125">
        <v>54.418750000000003</v>
      </c>
    </row>
    <row r="513" spans="1:11" x14ac:dyDescent="0.3">
      <c r="A513" s="88" t="s">
        <v>481</v>
      </c>
      <c r="B513" s="24">
        <v>39593</v>
      </c>
      <c r="C513" s="32">
        <v>16.337804561949195</v>
      </c>
      <c r="D513" s="125">
        <v>19.5</v>
      </c>
      <c r="E513" s="125">
        <v>8.3000000000000007</v>
      </c>
      <c r="F513" s="126">
        <v>7.4999999999999997E-2</v>
      </c>
      <c r="G513" s="126"/>
      <c r="H513" s="126">
        <f t="shared" si="7"/>
        <v>1.0952445521994474</v>
      </c>
      <c r="I513" s="89">
        <v>323.45999999999998</v>
      </c>
      <c r="J513" s="125">
        <v>68.063541666666666</v>
      </c>
    </row>
    <row r="514" spans="1:11" x14ac:dyDescent="0.3">
      <c r="A514" s="88" t="s">
        <v>481</v>
      </c>
      <c r="B514" s="24">
        <v>39594</v>
      </c>
      <c r="C514" s="32">
        <v>9.9063634007257644</v>
      </c>
      <c r="D514" s="125">
        <v>18.600000000000001</v>
      </c>
      <c r="E514" s="125">
        <v>13.5</v>
      </c>
      <c r="F514" s="126">
        <v>0.42499999999999999</v>
      </c>
      <c r="G514" s="126"/>
      <c r="H514" s="126">
        <f t="shared" si="7"/>
        <v>1.5479739445616383</v>
      </c>
      <c r="I514" s="89">
        <v>213.3</v>
      </c>
      <c r="J514" s="125">
        <v>73.763541666666654</v>
      </c>
    </row>
    <row r="515" spans="1:11" x14ac:dyDescent="0.3">
      <c r="A515" s="88" t="s">
        <v>481</v>
      </c>
      <c r="B515" s="24">
        <v>39595</v>
      </c>
      <c r="C515" s="32">
        <v>15.129096826219687</v>
      </c>
      <c r="D515" s="125">
        <v>19.100000000000001</v>
      </c>
      <c r="E515" s="125">
        <v>11.4</v>
      </c>
      <c r="F515" s="126">
        <v>0</v>
      </c>
      <c r="G515" s="126"/>
      <c r="H515" s="126">
        <f t="shared" si="7"/>
        <v>1.3484693686655054</v>
      </c>
      <c r="I515" s="89">
        <v>432.09000000000003</v>
      </c>
      <c r="J515" s="125">
        <v>74.391666666666666</v>
      </c>
    </row>
    <row r="516" spans="1:11" x14ac:dyDescent="0.3">
      <c r="A516" s="88" t="s">
        <v>481</v>
      </c>
      <c r="B516" s="24">
        <v>39596</v>
      </c>
      <c r="C516" s="32">
        <v>22.818746039974659</v>
      </c>
      <c r="D516" s="125">
        <v>24.6</v>
      </c>
      <c r="E516" s="125">
        <v>13.1</v>
      </c>
      <c r="F516" s="126">
        <v>0</v>
      </c>
      <c r="G516" s="126"/>
      <c r="H516" s="126">
        <f t="shared" ref="H516:H579" si="8">0.611*EXP((17.27*E516)/(E516+237.3))</f>
        <v>1.5080901913058991</v>
      </c>
      <c r="I516" s="89">
        <v>461.70000000000005</v>
      </c>
      <c r="J516" s="125">
        <v>61.951041666666676</v>
      </c>
    </row>
    <row r="517" spans="1:11" x14ac:dyDescent="0.3">
      <c r="A517" s="88" t="s">
        <v>481</v>
      </c>
      <c r="B517" s="24">
        <v>39597</v>
      </c>
      <c r="C517" s="32">
        <v>24.452256494441567</v>
      </c>
      <c r="D517" s="125">
        <v>26.1</v>
      </c>
      <c r="E517" s="125">
        <v>13</v>
      </c>
      <c r="F517" s="126">
        <v>0</v>
      </c>
      <c r="G517" s="126"/>
      <c r="H517" s="126">
        <f t="shared" si="8"/>
        <v>1.498261331998219</v>
      </c>
      <c r="I517" s="89">
        <v>346.31999999999994</v>
      </c>
      <c r="J517" s="125">
        <v>51.638541666666661</v>
      </c>
    </row>
    <row r="518" spans="1:11" x14ac:dyDescent="0.3">
      <c r="A518" s="88" t="s">
        <v>481</v>
      </c>
      <c r="B518" s="24">
        <v>39598</v>
      </c>
      <c r="C518" s="32">
        <v>26.179367547952307</v>
      </c>
      <c r="D518" s="125">
        <v>28.5</v>
      </c>
      <c r="E518" s="125">
        <v>14.4</v>
      </c>
      <c r="F518" s="126">
        <v>0</v>
      </c>
      <c r="G518" s="126"/>
      <c r="H518" s="126">
        <f t="shared" si="8"/>
        <v>1.6411136286522547</v>
      </c>
      <c r="I518" s="89">
        <v>272.61000000000007</v>
      </c>
      <c r="J518" s="125">
        <v>57.543750000000003</v>
      </c>
    </row>
    <row r="519" spans="1:11" x14ac:dyDescent="0.3">
      <c r="A519" s="88" t="s">
        <v>481</v>
      </c>
      <c r="B519" s="24">
        <v>39599</v>
      </c>
      <c r="C519" s="32">
        <v>24.423456310120383</v>
      </c>
      <c r="D519" s="125">
        <v>29</v>
      </c>
      <c r="E519" s="125">
        <v>15.7</v>
      </c>
      <c r="F519" s="126">
        <v>6.0449999999999999</v>
      </c>
      <c r="G519" s="126"/>
      <c r="H519" s="126">
        <f t="shared" si="8"/>
        <v>1.7843198966763008</v>
      </c>
      <c r="I519" s="89">
        <v>170.37</v>
      </c>
      <c r="J519" s="125">
        <v>71.728125000000006</v>
      </c>
    </row>
    <row r="520" spans="1:11" x14ac:dyDescent="0.3">
      <c r="A520" s="88" t="s">
        <v>481</v>
      </c>
      <c r="B520" s="24">
        <v>39600</v>
      </c>
      <c r="C520" s="32">
        <v>20.713632567248432</v>
      </c>
      <c r="D520" s="125">
        <v>25.6</v>
      </c>
      <c r="E520" s="125">
        <v>16.3</v>
      </c>
      <c r="F520" s="126">
        <v>0.02</v>
      </c>
      <c r="G520" s="126"/>
      <c r="H520" s="126">
        <f t="shared" si="8"/>
        <v>1.8540295328498797</v>
      </c>
      <c r="I520" s="89">
        <v>98.730000000000018</v>
      </c>
      <c r="J520" s="125">
        <v>81.195833333333354</v>
      </c>
    </row>
    <row r="521" spans="1:11" x14ac:dyDescent="0.3">
      <c r="A521" s="88" t="s">
        <v>481</v>
      </c>
      <c r="B521" s="24">
        <v>39601</v>
      </c>
      <c r="C521" s="32">
        <v>23.294849087034155</v>
      </c>
      <c r="D521" s="125">
        <v>28.6</v>
      </c>
      <c r="E521" s="125">
        <v>16.2</v>
      </c>
      <c r="F521" s="126">
        <v>0</v>
      </c>
      <c r="G521" s="126"/>
      <c r="H521" s="126">
        <f t="shared" si="8"/>
        <v>1.842248157637969</v>
      </c>
      <c r="I521" s="89">
        <v>140.13</v>
      </c>
      <c r="J521" s="125">
        <v>68.555208333333354</v>
      </c>
    </row>
    <row r="522" spans="1:11" x14ac:dyDescent="0.3">
      <c r="A522" s="88" t="s">
        <v>481</v>
      </c>
      <c r="B522" s="24">
        <v>39602</v>
      </c>
      <c r="C522" s="32">
        <v>21.419237083117331</v>
      </c>
      <c r="D522" s="125">
        <v>25.7</v>
      </c>
      <c r="E522" s="125">
        <v>15.1</v>
      </c>
      <c r="F522" s="126">
        <v>1.6950000000000001</v>
      </c>
      <c r="G522" s="126"/>
      <c r="H522" s="126">
        <f t="shared" si="8"/>
        <v>1.7169184104549529</v>
      </c>
      <c r="I522" s="89">
        <v>184.50000000000006</v>
      </c>
      <c r="J522" s="125">
        <v>67.572916666666657</v>
      </c>
    </row>
    <row r="523" spans="1:11" x14ac:dyDescent="0.3">
      <c r="A523" s="88" t="s">
        <v>481</v>
      </c>
      <c r="B523" s="24">
        <v>39603</v>
      </c>
      <c r="C523" s="32">
        <v>20.960234145498532</v>
      </c>
      <c r="D523" s="125">
        <v>24.6</v>
      </c>
      <c r="E523" s="125">
        <v>13.9</v>
      </c>
      <c r="F523" s="126">
        <v>0.92500000000000004</v>
      </c>
      <c r="G523" s="126"/>
      <c r="H523" s="126">
        <f t="shared" si="8"/>
        <v>1.5887804036720876</v>
      </c>
      <c r="I523" s="89">
        <v>147.60000000000002</v>
      </c>
      <c r="J523" s="125">
        <v>74.59375</v>
      </c>
    </row>
    <row r="524" spans="1:11" x14ac:dyDescent="0.3">
      <c r="A524" s="88" t="s">
        <v>481</v>
      </c>
      <c r="B524" s="24">
        <v>39604</v>
      </c>
      <c r="C524" s="32">
        <v>27.132473647831347</v>
      </c>
      <c r="D524" s="125">
        <v>24.4</v>
      </c>
      <c r="E524" s="125">
        <v>12.6</v>
      </c>
      <c r="F524" s="126">
        <v>0</v>
      </c>
      <c r="G524" s="126"/>
      <c r="H524" s="126">
        <f t="shared" si="8"/>
        <v>1.4595059422181114</v>
      </c>
      <c r="I524" s="89">
        <v>296.28000000000003</v>
      </c>
      <c r="J524" s="125">
        <v>55.057291666666664</v>
      </c>
    </row>
    <row r="525" spans="1:11" x14ac:dyDescent="0.3">
      <c r="A525" s="88" t="s">
        <v>481</v>
      </c>
      <c r="B525" s="24">
        <v>39605</v>
      </c>
      <c r="C525" s="32">
        <v>26.216267784113818</v>
      </c>
      <c r="D525" s="125">
        <v>23.8</v>
      </c>
      <c r="E525" s="125">
        <v>11.6</v>
      </c>
      <c r="F525" s="126">
        <v>0</v>
      </c>
      <c r="G525" s="126"/>
      <c r="H525" s="126">
        <f t="shared" si="8"/>
        <v>1.3664431264636057</v>
      </c>
      <c r="I525" s="89">
        <v>265.05000000000013</v>
      </c>
      <c r="J525" s="125">
        <v>53.798958333333353</v>
      </c>
    </row>
    <row r="526" spans="1:11" x14ac:dyDescent="0.3">
      <c r="A526" s="88" t="s">
        <v>481</v>
      </c>
      <c r="B526" s="24">
        <v>39606</v>
      </c>
      <c r="C526" s="32">
        <v>23.887952882898453</v>
      </c>
      <c r="D526" s="125">
        <v>26.1</v>
      </c>
      <c r="E526" s="125">
        <v>12.3</v>
      </c>
      <c r="F526" s="126">
        <v>0</v>
      </c>
      <c r="G526" s="126"/>
      <c r="H526" s="126">
        <f t="shared" si="8"/>
        <v>1.4310198233396516</v>
      </c>
      <c r="I526" s="89">
        <v>170.81999999999996</v>
      </c>
      <c r="J526" s="125">
        <v>57.490625000000001</v>
      </c>
    </row>
    <row r="527" spans="1:11" x14ac:dyDescent="0.3">
      <c r="A527" s="88" t="s">
        <v>481</v>
      </c>
      <c r="B527" s="24">
        <v>39607</v>
      </c>
      <c r="C527" s="32">
        <v>28.069379644029723</v>
      </c>
      <c r="D527" s="125">
        <v>26.7</v>
      </c>
      <c r="E527" s="125">
        <v>12.1</v>
      </c>
      <c r="F527" s="126">
        <v>5.0000000000000001E-3</v>
      </c>
      <c r="G527" s="126"/>
      <c r="H527" s="126">
        <f t="shared" si="8"/>
        <v>1.4123014242757443</v>
      </c>
      <c r="I527" s="89">
        <v>151.29</v>
      </c>
      <c r="J527" s="125">
        <v>47.86354166666667</v>
      </c>
    </row>
    <row r="528" spans="1:11" x14ac:dyDescent="0.3">
      <c r="A528" s="88" t="s">
        <v>481</v>
      </c>
      <c r="B528" s="24">
        <v>39608</v>
      </c>
      <c r="C528" s="32">
        <v>29.433788376245609</v>
      </c>
      <c r="D528" s="125">
        <v>28</v>
      </c>
      <c r="E528" s="125">
        <v>11.8</v>
      </c>
      <c r="F528" s="126">
        <v>0</v>
      </c>
      <c r="G528" s="126"/>
      <c r="H528" s="126">
        <f t="shared" si="8"/>
        <v>1.3846270162501679</v>
      </c>
      <c r="I528" s="89">
        <v>131.58000000000004</v>
      </c>
      <c r="J528" s="125">
        <v>44.078125</v>
      </c>
      <c r="K528" s="230">
        <v>373.98978046934081</v>
      </c>
    </row>
    <row r="529" spans="1:11" x14ac:dyDescent="0.3">
      <c r="A529" s="88" t="s">
        <v>481</v>
      </c>
      <c r="B529" s="24">
        <v>39609</v>
      </c>
      <c r="C529" s="32">
        <v>27.403375381602444</v>
      </c>
      <c r="D529" s="125">
        <v>26.6</v>
      </c>
      <c r="E529" s="125">
        <v>12.9</v>
      </c>
      <c r="F529" s="126">
        <v>0</v>
      </c>
      <c r="G529" s="126"/>
      <c r="H529" s="126">
        <f t="shared" si="8"/>
        <v>1.4884887514247067</v>
      </c>
      <c r="I529" s="89">
        <v>287.99999999999994</v>
      </c>
      <c r="J529" s="125">
        <v>58.782291666666644</v>
      </c>
      <c r="K529" s="230">
        <v>394.89923954372631</v>
      </c>
    </row>
    <row r="530" spans="1:11" x14ac:dyDescent="0.3">
      <c r="A530" s="88" t="s">
        <v>481</v>
      </c>
      <c r="B530" s="24">
        <v>39610</v>
      </c>
      <c r="C530" s="32">
        <v>13.987889522492946</v>
      </c>
      <c r="D530" s="125">
        <v>18.600000000000001</v>
      </c>
      <c r="E530" s="125">
        <v>12.2</v>
      </c>
      <c r="F530" s="126">
        <v>3.5000000000000003E-2</v>
      </c>
      <c r="G530" s="126"/>
      <c r="H530" s="126">
        <f t="shared" si="8"/>
        <v>1.4216335674868446</v>
      </c>
      <c r="I530" s="89">
        <v>333.09000000000015</v>
      </c>
      <c r="J530" s="125">
        <v>60.5</v>
      </c>
      <c r="K530" s="230">
        <v>389.76439041830639</v>
      </c>
    </row>
    <row r="531" spans="1:11" x14ac:dyDescent="0.3">
      <c r="A531" s="88" t="s">
        <v>481</v>
      </c>
      <c r="B531" s="24">
        <v>39611</v>
      </c>
      <c r="C531" s="32">
        <v>13.473086227751859</v>
      </c>
      <c r="D531" s="125">
        <v>15.9</v>
      </c>
      <c r="E531" s="125">
        <v>9.1999999999999993</v>
      </c>
      <c r="F531" s="126">
        <v>2.165</v>
      </c>
      <c r="G531" s="126"/>
      <c r="H531" s="126">
        <f t="shared" si="8"/>
        <v>1.16404559315309</v>
      </c>
      <c r="I531" s="89">
        <v>246.14999999999995</v>
      </c>
      <c r="J531" s="125">
        <v>68.547916666666694</v>
      </c>
      <c r="K531" s="230">
        <v>385.25108804820837</v>
      </c>
    </row>
    <row r="532" spans="1:11" x14ac:dyDescent="0.3">
      <c r="A532" s="88" t="s">
        <v>481</v>
      </c>
      <c r="B532" s="24">
        <v>39612</v>
      </c>
      <c r="C532" s="32">
        <v>18.064915615459942</v>
      </c>
      <c r="D532" s="125">
        <v>16.399999999999999</v>
      </c>
      <c r="E532" s="125">
        <v>9.5</v>
      </c>
      <c r="F532" s="126">
        <v>5.21</v>
      </c>
      <c r="G532" s="126"/>
      <c r="H532" s="126">
        <f t="shared" si="8"/>
        <v>1.1878093448750482</v>
      </c>
      <c r="I532" s="89">
        <v>303.29999999999995</v>
      </c>
      <c r="J532" s="125">
        <v>80.172916666666694</v>
      </c>
      <c r="K532" s="230">
        <v>390.93471502590666</v>
      </c>
    </row>
    <row r="533" spans="1:11" x14ac:dyDescent="0.3">
      <c r="A533" s="88" t="s">
        <v>481</v>
      </c>
      <c r="B533" s="24">
        <v>39613</v>
      </c>
      <c r="C533" s="32">
        <v>18.849720638212084</v>
      </c>
      <c r="D533" s="125">
        <v>15.6</v>
      </c>
      <c r="E533" s="125">
        <v>8.6999999999999993</v>
      </c>
      <c r="F533" s="126">
        <v>2.085</v>
      </c>
      <c r="G533" s="126"/>
      <c r="H533" s="126">
        <f t="shared" si="8"/>
        <v>1.1253678644990226</v>
      </c>
      <c r="I533" s="89">
        <v>200.34</v>
      </c>
      <c r="J533" s="125">
        <v>79.81458333333336</v>
      </c>
      <c r="K533" s="230">
        <v>386.97844311377207</v>
      </c>
    </row>
    <row r="534" spans="1:11" x14ac:dyDescent="0.3">
      <c r="A534" s="88" t="s">
        <v>481</v>
      </c>
      <c r="B534" s="24">
        <v>39614</v>
      </c>
      <c r="C534" s="32">
        <v>20.905333794136283</v>
      </c>
      <c r="D534" s="125">
        <v>16.8</v>
      </c>
      <c r="E534" s="125">
        <v>7.7</v>
      </c>
      <c r="F534" s="126">
        <v>5.9</v>
      </c>
      <c r="G534" s="126"/>
      <c r="H534" s="126">
        <f t="shared" si="8"/>
        <v>1.0513900110721115</v>
      </c>
      <c r="I534" s="89">
        <v>207.09</v>
      </c>
      <c r="J534" s="125">
        <v>77.732291666666683</v>
      </c>
      <c r="K534" s="230">
        <v>384.86227106227369</v>
      </c>
    </row>
    <row r="535" spans="1:11" x14ac:dyDescent="0.3">
      <c r="A535" s="88" t="s">
        <v>481</v>
      </c>
      <c r="B535" s="24">
        <v>39615</v>
      </c>
      <c r="C535" s="32">
        <v>26.290968262196881</v>
      </c>
      <c r="D535" s="125">
        <v>18.100000000000001</v>
      </c>
      <c r="E535" s="125">
        <v>9.1</v>
      </c>
      <c r="F535" s="126">
        <v>0</v>
      </c>
      <c r="G535" s="126"/>
      <c r="H535" s="126">
        <f t="shared" si="8"/>
        <v>1.156217822409108</v>
      </c>
      <c r="I535" s="89">
        <v>233.55</v>
      </c>
      <c r="J535" s="125">
        <v>68.260416666666686</v>
      </c>
      <c r="K535" s="230">
        <v>385.79855022436914</v>
      </c>
    </row>
    <row r="536" spans="1:11" x14ac:dyDescent="0.3">
      <c r="A536" s="88" t="s">
        <v>481</v>
      </c>
      <c r="B536" s="24">
        <v>39616</v>
      </c>
      <c r="C536" s="32">
        <v>26.615420338690168</v>
      </c>
      <c r="D536" s="125">
        <v>20.3</v>
      </c>
      <c r="E536" s="125">
        <v>6.6</v>
      </c>
      <c r="F536" s="126">
        <v>0.01</v>
      </c>
      <c r="G536" s="126"/>
      <c r="H536" s="126">
        <f t="shared" si="8"/>
        <v>0.97499060249070812</v>
      </c>
      <c r="I536" s="89">
        <v>102.05999999999999</v>
      </c>
      <c r="J536" s="125">
        <v>64.326562499999994</v>
      </c>
      <c r="K536" s="230">
        <v>394.83453573814381</v>
      </c>
    </row>
    <row r="537" spans="1:11" x14ac:dyDescent="0.3">
      <c r="A537" s="88" t="s">
        <v>481</v>
      </c>
      <c r="B537" s="24">
        <v>39617</v>
      </c>
      <c r="C537" s="32">
        <v>25.677164333851739</v>
      </c>
      <c r="D537" s="125">
        <v>23.8</v>
      </c>
      <c r="E537" s="125">
        <v>11.3</v>
      </c>
      <c r="F537" s="126">
        <v>0</v>
      </c>
      <c r="G537" s="126"/>
      <c r="H537" s="126">
        <f t="shared" si="8"/>
        <v>1.3395606407879945</v>
      </c>
      <c r="I537" s="89">
        <v>168.21</v>
      </c>
      <c r="J537" s="125">
        <v>56.046875</v>
      </c>
      <c r="K537" s="230">
        <v>384.50303636970261</v>
      </c>
    </row>
    <row r="538" spans="1:11" x14ac:dyDescent="0.3">
      <c r="A538" s="88" t="s">
        <v>481</v>
      </c>
      <c r="B538" s="24">
        <v>39618</v>
      </c>
      <c r="C538" s="32">
        <v>18.314217210990151</v>
      </c>
      <c r="D538" s="125">
        <v>24.5</v>
      </c>
      <c r="E538" s="125">
        <v>13.9</v>
      </c>
      <c r="F538" s="126">
        <v>5.4</v>
      </c>
      <c r="G538" s="126"/>
      <c r="H538" s="126">
        <f t="shared" si="8"/>
        <v>1.5887804036720876</v>
      </c>
      <c r="I538" s="89">
        <v>256.0499999999999</v>
      </c>
      <c r="J538" s="125">
        <v>62.859375</v>
      </c>
      <c r="K538" s="230">
        <v>381.94526914075652</v>
      </c>
    </row>
    <row r="539" spans="1:11" x14ac:dyDescent="0.3">
      <c r="A539" s="88" t="s">
        <v>481</v>
      </c>
      <c r="B539" s="24">
        <v>39619</v>
      </c>
      <c r="C539" s="32">
        <v>22.411943436437991</v>
      </c>
      <c r="D539" s="125">
        <v>21.2</v>
      </c>
      <c r="E539" s="125">
        <v>12.6</v>
      </c>
      <c r="F539" s="126">
        <v>0.1</v>
      </c>
      <c r="G539" s="126"/>
      <c r="H539" s="126">
        <f t="shared" si="8"/>
        <v>1.4595059422181114</v>
      </c>
      <c r="I539" s="89">
        <v>258.48</v>
      </c>
      <c r="J539" s="125">
        <v>67.355208333333351</v>
      </c>
      <c r="K539" s="230">
        <v>383.94966821499742</v>
      </c>
    </row>
    <row r="540" spans="1:11" x14ac:dyDescent="0.3">
      <c r="A540" s="88" t="s">
        <v>481</v>
      </c>
      <c r="B540" s="24">
        <v>39620</v>
      </c>
      <c r="C540" s="32">
        <v>19.827126893612117</v>
      </c>
      <c r="D540" s="125">
        <v>21.7</v>
      </c>
      <c r="E540" s="125">
        <v>13.1</v>
      </c>
      <c r="F540" s="126">
        <v>5.5E-2</v>
      </c>
      <c r="G540" s="126"/>
      <c r="H540" s="126">
        <f t="shared" si="8"/>
        <v>1.5080901913058991</v>
      </c>
      <c r="I540" s="89">
        <v>180.45</v>
      </c>
      <c r="J540" s="125">
        <v>64.592708333333334</v>
      </c>
      <c r="K540" s="230">
        <v>385.65546330123027</v>
      </c>
    </row>
    <row r="541" spans="1:11" x14ac:dyDescent="0.3">
      <c r="A541" s="88" t="s">
        <v>481</v>
      </c>
      <c r="B541" s="24">
        <v>39621</v>
      </c>
      <c r="C541" s="32">
        <v>21.672138701687693</v>
      </c>
      <c r="D541" s="125">
        <v>29.5</v>
      </c>
      <c r="E541" s="125">
        <v>15.1</v>
      </c>
      <c r="F541" s="126">
        <v>15.195</v>
      </c>
      <c r="G541" s="126"/>
      <c r="H541" s="126">
        <f t="shared" si="8"/>
        <v>1.7169184104549529</v>
      </c>
      <c r="I541" s="89">
        <v>230.39999999999992</v>
      </c>
      <c r="J541" s="125">
        <v>70.307291666666671</v>
      </c>
      <c r="K541" s="230">
        <v>373.31707895628728</v>
      </c>
    </row>
    <row r="542" spans="1:11" x14ac:dyDescent="0.3">
      <c r="A542" s="88" t="s">
        <v>481</v>
      </c>
      <c r="B542" s="24">
        <v>39622</v>
      </c>
      <c r="C542" s="32">
        <v>27.325074880479239</v>
      </c>
      <c r="D542" s="125">
        <v>21.2</v>
      </c>
      <c r="E542" s="125">
        <v>11.4</v>
      </c>
      <c r="F542" s="126">
        <v>0.01</v>
      </c>
      <c r="G542" s="126"/>
      <c r="H542" s="126">
        <f t="shared" si="8"/>
        <v>1.3484693686655054</v>
      </c>
      <c r="I542" s="89">
        <v>402.12</v>
      </c>
      <c r="J542" s="125">
        <v>64.328125</v>
      </c>
      <c r="K542" s="230">
        <v>379.43799846625762</v>
      </c>
    </row>
    <row r="543" spans="1:11" x14ac:dyDescent="0.3">
      <c r="A543" s="88" t="s">
        <v>481</v>
      </c>
      <c r="B543" s="24">
        <v>39623</v>
      </c>
      <c r="C543" s="32">
        <v>30.628996025574565</v>
      </c>
      <c r="D543" s="125">
        <v>20.6</v>
      </c>
      <c r="E543" s="125">
        <v>8.1</v>
      </c>
      <c r="F543" s="126">
        <v>0</v>
      </c>
      <c r="G543" s="126"/>
      <c r="H543" s="126">
        <f t="shared" si="8"/>
        <v>1.080450793034103</v>
      </c>
      <c r="I543" s="89">
        <v>120.86999999999998</v>
      </c>
      <c r="J543" s="125">
        <v>61.112499999999997</v>
      </c>
      <c r="K543" s="230">
        <v>383.03020158387164</v>
      </c>
    </row>
    <row r="544" spans="1:11" x14ac:dyDescent="0.3">
      <c r="A544" s="88" t="s">
        <v>481</v>
      </c>
      <c r="B544" s="24">
        <v>39624</v>
      </c>
      <c r="C544" s="32">
        <v>16.159603421461899</v>
      </c>
      <c r="D544" s="125">
        <v>24.1</v>
      </c>
      <c r="E544" s="125">
        <v>13.4</v>
      </c>
      <c r="F544" s="126">
        <v>0</v>
      </c>
      <c r="G544" s="126"/>
      <c r="H544" s="126">
        <f t="shared" si="8"/>
        <v>1.5379172032464434</v>
      </c>
      <c r="I544" s="89">
        <v>239.85000000000005</v>
      </c>
      <c r="J544" s="125">
        <v>60.289583333333354</v>
      </c>
      <c r="K544" s="230">
        <v>372.88621920742662</v>
      </c>
    </row>
    <row r="545" spans="1:11" x14ac:dyDescent="0.3">
      <c r="A545" s="88" t="s">
        <v>481</v>
      </c>
      <c r="B545" s="24">
        <v>39625</v>
      </c>
      <c r="C545" s="32">
        <v>27.127973619031163</v>
      </c>
      <c r="D545" s="125">
        <v>23.4</v>
      </c>
      <c r="E545" s="125">
        <v>14.2</v>
      </c>
      <c r="F545" s="126">
        <v>0</v>
      </c>
      <c r="G545" s="126"/>
      <c r="H545" s="126">
        <f t="shared" si="8"/>
        <v>1.6200016491976139</v>
      </c>
      <c r="I545" s="89">
        <v>249.48000000000002</v>
      </c>
      <c r="J545" s="125">
        <v>58.434375000000003</v>
      </c>
      <c r="K545" s="230">
        <v>377.89698075647044</v>
      </c>
    </row>
    <row r="546" spans="1:11" x14ac:dyDescent="0.3">
      <c r="A546" s="88" t="s">
        <v>481</v>
      </c>
      <c r="B546" s="24">
        <v>39626</v>
      </c>
      <c r="C546" s="32">
        <v>13.068083635735269</v>
      </c>
      <c r="D546" s="125">
        <v>20.399999999999999</v>
      </c>
      <c r="E546" s="125">
        <v>13.1</v>
      </c>
      <c r="F546" s="126">
        <v>5.0000000000000001E-3</v>
      </c>
      <c r="G546" s="126"/>
      <c r="H546" s="126">
        <f t="shared" si="8"/>
        <v>1.5080901913058991</v>
      </c>
      <c r="I546" s="89">
        <v>342.53999999999991</v>
      </c>
      <c r="J546" s="125">
        <v>62.692708333333286</v>
      </c>
      <c r="K546" s="230">
        <v>388.50218722659616</v>
      </c>
    </row>
    <row r="547" spans="1:11" x14ac:dyDescent="0.3">
      <c r="A547" s="88" t="s">
        <v>481</v>
      </c>
      <c r="B547" s="24">
        <v>39627</v>
      </c>
      <c r="C547" s="32">
        <v>11.25367202350095</v>
      </c>
      <c r="D547" s="125">
        <v>21.6</v>
      </c>
      <c r="E547" s="125">
        <v>12.4</v>
      </c>
      <c r="F547" s="126">
        <v>0.44</v>
      </c>
      <c r="G547" s="126"/>
      <c r="H547" s="126">
        <f t="shared" si="8"/>
        <v>1.4404604588486194</v>
      </c>
      <c r="I547" s="89">
        <v>295.11</v>
      </c>
      <c r="J547" s="125">
        <v>78.209374999999994</v>
      </c>
      <c r="K547" s="230">
        <v>381.48271481109725</v>
      </c>
    </row>
    <row r="548" spans="1:11" x14ac:dyDescent="0.3">
      <c r="A548" s="88" t="s">
        <v>481</v>
      </c>
      <c r="B548" s="24">
        <v>39628</v>
      </c>
      <c r="C548" s="32">
        <v>25.97236622314383</v>
      </c>
      <c r="D548" s="125">
        <v>23.8</v>
      </c>
      <c r="E548" s="125">
        <v>14.2</v>
      </c>
      <c r="F548" s="126">
        <v>0</v>
      </c>
      <c r="G548" s="126"/>
      <c r="H548" s="126">
        <f t="shared" si="8"/>
        <v>1.6200016491976139</v>
      </c>
      <c r="I548" s="89">
        <v>229.23000000000002</v>
      </c>
      <c r="J548" s="125">
        <v>65.761458333333309</v>
      </c>
      <c r="K548" s="230">
        <v>375.73413253413293</v>
      </c>
    </row>
    <row r="549" spans="1:11" x14ac:dyDescent="0.3">
      <c r="A549" s="88" t="s">
        <v>481</v>
      </c>
      <c r="B549" s="24">
        <v>39629</v>
      </c>
      <c r="C549" s="32">
        <v>24.77805857957491</v>
      </c>
      <c r="D549" s="125">
        <v>23</v>
      </c>
      <c r="E549" s="125">
        <v>12.4</v>
      </c>
      <c r="F549" s="126">
        <v>0</v>
      </c>
      <c r="G549" s="126"/>
      <c r="H549" s="126">
        <f t="shared" si="8"/>
        <v>1.4404604588486194</v>
      </c>
      <c r="I549" s="89">
        <v>237.51000000000005</v>
      </c>
      <c r="J549" s="125">
        <v>58.21875</v>
      </c>
      <c r="K549" s="230">
        <v>377.20834776584655</v>
      </c>
    </row>
    <row r="550" spans="1:11" x14ac:dyDescent="0.3">
      <c r="A550" s="88" t="s">
        <v>481</v>
      </c>
      <c r="B550" s="24">
        <v>39630</v>
      </c>
      <c r="C550" s="32">
        <v>29.103486262312078</v>
      </c>
      <c r="D550" s="125">
        <v>27.3</v>
      </c>
      <c r="E550" s="125">
        <v>10.1</v>
      </c>
      <c r="F550" s="126">
        <v>2.5000000000000001E-2</v>
      </c>
      <c r="G550" s="126"/>
      <c r="H550" s="126">
        <f t="shared" si="8"/>
        <v>1.2366203081300822</v>
      </c>
      <c r="I550" s="89">
        <v>106.28999999999998</v>
      </c>
      <c r="J550" s="125">
        <v>57.172916666666701</v>
      </c>
      <c r="K550" s="230">
        <v>389.22680447305936</v>
      </c>
    </row>
    <row r="551" spans="1:11" x14ac:dyDescent="0.3">
      <c r="A551" s="88" t="s">
        <v>481</v>
      </c>
      <c r="B551" s="24">
        <v>39631</v>
      </c>
      <c r="C551" s="32">
        <v>28.761484073498071</v>
      </c>
      <c r="D551" s="125">
        <v>31.1</v>
      </c>
      <c r="E551" s="125">
        <v>12.7</v>
      </c>
      <c r="F551" s="126">
        <v>0.01</v>
      </c>
      <c r="G551" s="126"/>
      <c r="H551" s="126">
        <f t="shared" si="8"/>
        <v>1.4691113294420337</v>
      </c>
      <c r="I551" s="89">
        <v>194.21999999999997</v>
      </c>
      <c r="J551" s="125">
        <v>51.483333333333341</v>
      </c>
      <c r="K551" s="230">
        <v>373.95142665323914</v>
      </c>
    </row>
    <row r="552" spans="1:11" x14ac:dyDescent="0.3">
      <c r="A552" s="88" t="s">
        <v>481</v>
      </c>
      <c r="B552" s="24">
        <v>39632</v>
      </c>
      <c r="C552" s="32">
        <v>20.217729393468119</v>
      </c>
      <c r="D552" s="125">
        <v>29.1</v>
      </c>
      <c r="E552" s="125">
        <v>17</v>
      </c>
      <c r="F552" s="126">
        <v>4.4749999999999996</v>
      </c>
      <c r="G552" s="126"/>
      <c r="H552" s="126">
        <f t="shared" si="8"/>
        <v>1.9383638408527206</v>
      </c>
      <c r="I552" s="89">
        <v>164.34</v>
      </c>
      <c r="J552" s="125">
        <v>71.178124999999994</v>
      </c>
      <c r="K552" s="230">
        <v>376.68677486187948</v>
      </c>
    </row>
    <row r="553" spans="1:11" x14ac:dyDescent="0.3">
      <c r="A553" s="88" t="s">
        <v>481</v>
      </c>
      <c r="B553" s="24">
        <v>39633</v>
      </c>
      <c r="C553" s="32">
        <v>13.257084845343011</v>
      </c>
      <c r="D553" s="125">
        <v>19.100000000000001</v>
      </c>
      <c r="E553" s="125">
        <v>13.7</v>
      </c>
      <c r="F553" s="126">
        <v>7.4550000000000001</v>
      </c>
      <c r="G553" s="126"/>
      <c r="H553" s="126">
        <f t="shared" si="8"/>
        <v>1.568260711501982</v>
      </c>
      <c r="I553" s="89">
        <v>375.92999999999995</v>
      </c>
      <c r="J553" s="125">
        <v>85.494791666666643</v>
      </c>
      <c r="K553" s="230">
        <v>382.79495397204238</v>
      </c>
    </row>
    <row r="554" spans="1:11" x14ac:dyDescent="0.3">
      <c r="A554" s="88" t="s">
        <v>481</v>
      </c>
      <c r="B554" s="24">
        <v>39634</v>
      </c>
      <c r="C554" s="32">
        <v>23.343449398076146</v>
      </c>
      <c r="D554" s="125">
        <v>23.3</v>
      </c>
      <c r="E554" s="125">
        <v>13.2</v>
      </c>
      <c r="F554" s="126">
        <v>0.53</v>
      </c>
      <c r="G554" s="126"/>
      <c r="H554" s="126">
        <f t="shared" si="8"/>
        <v>1.5179756049640964</v>
      </c>
      <c r="I554" s="89">
        <v>174.69</v>
      </c>
      <c r="J554" s="125">
        <v>72.422916666666637</v>
      </c>
      <c r="K554" s="230">
        <v>376.52839204743617</v>
      </c>
    </row>
    <row r="555" spans="1:11" x14ac:dyDescent="0.3">
      <c r="A555" s="88" t="s">
        <v>481</v>
      </c>
      <c r="B555" s="24">
        <v>39635</v>
      </c>
      <c r="C555" s="32">
        <v>16.617706353320663</v>
      </c>
      <c r="D555" s="125">
        <v>25.1</v>
      </c>
      <c r="E555" s="125">
        <v>14.8</v>
      </c>
      <c r="F555" s="126">
        <v>7.35</v>
      </c>
      <c r="G555" s="126"/>
      <c r="H555" s="126">
        <f t="shared" si="8"/>
        <v>1.6840627760776321</v>
      </c>
      <c r="I555" s="89">
        <v>118.80000000000001</v>
      </c>
      <c r="J555" s="125">
        <v>73.061458333333348</v>
      </c>
      <c r="K555" s="230">
        <v>378.11682178559164</v>
      </c>
    </row>
    <row r="556" spans="1:11" x14ac:dyDescent="0.3">
      <c r="A556" s="88" t="s">
        <v>481</v>
      </c>
      <c r="B556" s="24">
        <v>39636</v>
      </c>
      <c r="C556" s="32">
        <v>20.523731351880652</v>
      </c>
      <c r="D556" s="125">
        <v>22.2</v>
      </c>
      <c r="E556" s="125">
        <v>13.6</v>
      </c>
      <c r="F556" s="126">
        <v>2.5550000000000002</v>
      </c>
      <c r="G556" s="126"/>
      <c r="H556" s="126">
        <f t="shared" si="8"/>
        <v>1.55808835361568</v>
      </c>
      <c r="I556" s="89">
        <v>189.09000000000003</v>
      </c>
      <c r="J556" s="125">
        <v>72.267708333333317</v>
      </c>
      <c r="K556" s="230">
        <v>372.29400803799871</v>
      </c>
    </row>
    <row r="557" spans="1:11" x14ac:dyDescent="0.3">
      <c r="A557" s="88" t="s">
        <v>481</v>
      </c>
      <c r="B557" s="24">
        <v>39637</v>
      </c>
      <c r="C557" s="32">
        <v>18.500518403317781</v>
      </c>
      <c r="D557" s="125">
        <v>21.3</v>
      </c>
      <c r="E557" s="125">
        <v>12.9</v>
      </c>
      <c r="F557" s="126">
        <v>2.98</v>
      </c>
      <c r="G557" s="126"/>
      <c r="H557" s="126">
        <f t="shared" si="8"/>
        <v>1.4884887514247067</v>
      </c>
      <c r="I557" s="89">
        <v>324.27</v>
      </c>
      <c r="J557" s="125">
        <v>73.707291666666691</v>
      </c>
      <c r="K557" s="230">
        <v>375.60027981811788</v>
      </c>
    </row>
    <row r="558" spans="1:11" x14ac:dyDescent="0.3">
      <c r="A558" s="88" t="s">
        <v>481</v>
      </c>
      <c r="B558" s="24">
        <v>39638</v>
      </c>
      <c r="C558" s="32">
        <v>15.327998099187836</v>
      </c>
      <c r="D558" s="125">
        <v>20</v>
      </c>
      <c r="E558" s="125">
        <v>11.9</v>
      </c>
      <c r="F558" s="126">
        <v>0</v>
      </c>
      <c r="G558" s="126"/>
      <c r="H558" s="126">
        <f t="shared" si="8"/>
        <v>1.3937984130245886</v>
      </c>
      <c r="I558" s="89">
        <v>327.60000000000025</v>
      </c>
      <c r="J558" s="125">
        <v>68.821875000000006</v>
      </c>
      <c r="K558" s="230">
        <v>379.98445199660182</v>
      </c>
    </row>
    <row r="559" spans="1:11" x14ac:dyDescent="0.3">
      <c r="A559" s="88" t="s">
        <v>481</v>
      </c>
      <c r="B559" s="24">
        <v>39639</v>
      </c>
      <c r="C559" s="32">
        <v>7.8813504406428203</v>
      </c>
      <c r="D559" s="125">
        <v>20</v>
      </c>
      <c r="E559" s="125">
        <v>13.5</v>
      </c>
      <c r="F559" s="126">
        <v>8.6449999999999996</v>
      </c>
      <c r="G559" s="126"/>
      <c r="H559" s="126">
        <f t="shared" si="8"/>
        <v>1.5479739445616383</v>
      </c>
      <c r="I559" s="89">
        <v>137.79</v>
      </c>
      <c r="J559" s="125">
        <v>89.838541666666671</v>
      </c>
      <c r="K559" s="230">
        <v>409.82727272727288</v>
      </c>
    </row>
    <row r="560" spans="1:11" x14ac:dyDescent="0.3">
      <c r="A560" s="88" t="s">
        <v>481</v>
      </c>
      <c r="B560" s="24">
        <v>39640</v>
      </c>
      <c r="C560" s="32">
        <v>10.47876706410921</v>
      </c>
      <c r="D560" s="125">
        <v>21.1</v>
      </c>
      <c r="E560" s="125">
        <v>16.7</v>
      </c>
      <c r="F560" s="126">
        <v>0.9</v>
      </c>
      <c r="G560" s="126"/>
      <c r="H560" s="126">
        <f t="shared" si="8"/>
        <v>1.9018178351702275</v>
      </c>
      <c r="I560" s="89">
        <v>154.17000000000002</v>
      </c>
      <c r="J560" s="125">
        <v>86.060416666666654</v>
      </c>
      <c r="K560" s="230">
        <v>375.57839175257794</v>
      </c>
    </row>
    <row r="561" spans="1:11" x14ac:dyDescent="0.3">
      <c r="A561" s="88" t="s">
        <v>481</v>
      </c>
      <c r="B561" s="24">
        <v>39641</v>
      </c>
      <c r="C561" s="32">
        <v>19.686725995046366</v>
      </c>
      <c r="D561" s="125">
        <v>22.1</v>
      </c>
      <c r="E561" s="125">
        <v>13.2</v>
      </c>
      <c r="F561" s="126">
        <v>0.64</v>
      </c>
      <c r="G561" s="126"/>
      <c r="H561" s="126">
        <f t="shared" si="8"/>
        <v>1.5179756049640964</v>
      </c>
      <c r="I561" s="89">
        <v>243.45000000000002</v>
      </c>
      <c r="J561" s="125">
        <v>71.888541666666669</v>
      </c>
      <c r="K561" s="230">
        <v>376.73029547881674</v>
      </c>
    </row>
    <row r="562" spans="1:11" x14ac:dyDescent="0.3">
      <c r="A562" s="88" t="s">
        <v>481</v>
      </c>
      <c r="B562" s="24">
        <v>39642</v>
      </c>
      <c r="C562" s="32">
        <v>17.056909164218652</v>
      </c>
      <c r="D562" s="125">
        <v>21</v>
      </c>
      <c r="E562" s="125">
        <v>11</v>
      </c>
      <c r="F562" s="126">
        <v>0</v>
      </c>
      <c r="G562" s="126"/>
      <c r="H562" s="126">
        <f t="shared" si="8"/>
        <v>1.313143973467028</v>
      </c>
      <c r="I562" s="89">
        <v>111.15000000000003</v>
      </c>
      <c r="J562" s="125">
        <v>69.115624999999994</v>
      </c>
      <c r="K562" s="230">
        <v>389.64287795992715</v>
      </c>
    </row>
    <row r="563" spans="1:11" x14ac:dyDescent="0.3">
      <c r="A563" s="88" t="s">
        <v>481</v>
      </c>
      <c r="B563" s="24">
        <v>39643</v>
      </c>
      <c r="C563" s="32">
        <v>22.812445999654397</v>
      </c>
      <c r="D563" s="125">
        <v>21.4</v>
      </c>
      <c r="E563" s="125">
        <v>10.8</v>
      </c>
      <c r="F563" s="126">
        <v>0</v>
      </c>
      <c r="G563" s="126"/>
      <c r="H563" s="126">
        <f t="shared" si="8"/>
        <v>1.2957882396636844</v>
      </c>
      <c r="I563" s="89">
        <v>290.60999999999996</v>
      </c>
      <c r="J563" s="125">
        <v>68.545833333333334</v>
      </c>
      <c r="K563" s="230">
        <v>385.64117224020004</v>
      </c>
    </row>
    <row r="564" spans="1:11" x14ac:dyDescent="0.3">
      <c r="A564" s="88" t="s">
        <v>481</v>
      </c>
      <c r="B564" s="24">
        <v>39644</v>
      </c>
      <c r="C564" s="32">
        <v>15.662800241921548</v>
      </c>
      <c r="D564" s="125">
        <v>24.5</v>
      </c>
      <c r="E564" s="125">
        <v>12.8</v>
      </c>
      <c r="F564" s="126">
        <v>0</v>
      </c>
      <c r="G564" s="126"/>
      <c r="H564" s="126">
        <f t="shared" si="8"/>
        <v>1.4787721750550831</v>
      </c>
      <c r="I564" s="89">
        <v>289.34999999999991</v>
      </c>
      <c r="J564" s="125">
        <v>64.186458333333306</v>
      </c>
      <c r="K564" s="230">
        <v>390.78958261469393</v>
      </c>
    </row>
    <row r="565" spans="1:11" x14ac:dyDescent="0.3">
      <c r="A565" s="88" t="s">
        <v>481</v>
      </c>
      <c r="B565" s="24">
        <v>39645</v>
      </c>
      <c r="C565" s="32">
        <v>5.5971358216692586</v>
      </c>
      <c r="D565" s="125">
        <v>18.399999999999999</v>
      </c>
      <c r="E565" s="125">
        <v>12.5</v>
      </c>
      <c r="F565" s="126">
        <v>7.13</v>
      </c>
      <c r="G565" s="126"/>
      <c r="H565" s="126">
        <f t="shared" si="8"/>
        <v>1.4499557420926388</v>
      </c>
      <c r="I565" s="89">
        <v>228.87</v>
      </c>
      <c r="J565" s="125">
        <v>87.903125000000003</v>
      </c>
      <c r="K565" s="230">
        <v>381.58351488743648</v>
      </c>
    </row>
    <row r="566" spans="1:11" x14ac:dyDescent="0.3">
      <c r="A566" s="88" t="s">
        <v>481</v>
      </c>
      <c r="B566" s="24">
        <v>39646</v>
      </c>
      <c r="C566" s="32">
        <v>14.448692471631817</v>
      </c>
      <c r="D566" s="125">
        <v>19.2</v>
      </c>
      <c r="E566" s="125">
        <v>9.6</v>
      </c>
      <c r="F566" s="126">
        <v>1.4999999999999999E-2</v>
      </c>
      <c r="G566" s="126"/>
      <c r="H566" s="126">
        <f t="shared" si="8"/>
        <v>1.1958248668287446</v>
      </c>
      <c r="I566" s="89">
        <v>223.20000000000005</v>
      </c>
      <c r="J566" s="125">
        <v>72.533333333333317</v>
      </c>
      <c r="K566" s="230">
        <v>374.86354838709718</v>
      </c>
    </row>
    <row r="567" spans="1:11" x14ac:dyDescent="0.3">
      <c r="A567" s="88" t="s">
        <v>481</v>
      </c>
      <c r="B567" s="24">
        <v>39647</v>
      </c>
      <c r="C567" s="32">
        <v>5.6970364610333508</v>
      </c>
      <c r="D567" s="125">
        <v>17.7</v>
      </c>
      <c r="E567" s="125">
        <v>12.8</v>
      </c>
      <c r="F567" s="126">
        <v>0.58499999999999996</v>
      </c>
      <c r="G567" s="126"/>
      <c r="H567" s="126">
        <f t="shared" si="8"/>
        <v>1.4787721750550831</v>
      </c>
      <c r="I567" s="89">
        <v>182.97</v>
      </c>
      <c r="J567" s="125">
        <v>83.985416666666652</v>
      </c>
      <c r="K567" s="230">
        <v>374.67802607076396</v>
      </c>
    </row>
    <row r="568" spans="1:11" x14ac:dyDescent="0.3">
      <c r="A568" s="88" t="s">
        <v>481</v>
      </c>
      <c r="B568" s="24">
        <v>39648</v>
      </c>
      <c r="C568" s="32">
        <v>12.480379874431195</v>
      </c>
      <c r="D568" s="125">
        <v>23.4</v>
      </c>
      <c r="E568" s="125">
        <v>12.7</v>
      </c>
      <c r="F568" s="126">
        <v>2.1749999999999998</v>
      </c>
      <c r="G568" s="126"/>
      <c r="H568" s="126">
        <f t="shared" si="8"/>
        <v>1.4691113294420337</v>
      </c>
      <c r="I568" s="89">
        <v>212.93999999999994</v>
      </c>
      <c r="J568" s="125">
        <v>80.488541666666706</v>
      </c>
      <c r="K568" s="230">
        <v>373.33184713375948</v>
      </c>
    </row>
    <row r="569" spans="1:11" x14ac:dyDescent="0.3">
      <c r="A569" s="88" t="s">
        <v>481</v>
      </c>
      <c r="B569" s="24">
        <v>39649</v>
      </c>
      <c r="C569" s="32">
        <v>9.868563158804216</v>
      </c>
      <c r="D569" s="125">
        <v>17.600000000000001</v>
      </c>
      <c r="E569" s="125">
        <v>10.5</v>
      </c>
      <c r="F569" s="126">
        <v>1.9650000000000001</v>
      </c>
      <c r="G569" s="126"/>
      <c r="H569" s="126">
        <f t="shared" si="8"/>
        <v>1.2701326466613394</v>
      </c>
      <c r="I569" s="89">
        <v>265.85999999999996</v>
      </c>
      <c r="J569" s="125">
        <v>82.940624999999997</v>
      </c>
      <c r="K569" s="230">
        <v>371.65277449822861</v>
      </c>
    </row>
    <row r="570" spans="1:11" x14ac:dyDescent="0.3">
      <c r="A570" s="88" t="s">
        <v>481</v>
      </c>
      <c r="B570" s="24">
        <v>39650</v>
      </c>
      <c r="C570" s="32">
        <v>6.1632394447324463</v>
      </c>
      <c r="D570" s="125">
        <v>14.5</v>
      </c>
      <c r="E570" s="125">
        <v>10.3</v>
      </c>
      <c r="F570" s="126">
        <v>10.67</v>
      </c>
      <c r="G570" s="126"/>
      <c r="H570" s="126">
        <f t="shared" si="8"/>
        <v>1.2532780017936267</v>
      </c>
      <c r="I570" s="89">
        <v>375.57</v>
      </c>
      <c r="J570" s="125">
        <v>85.412499999999994</v>
      </c>
      <c r="K570" s="230">
        <v>386.20099999999968</v>
      </c>
    </row>
    <row r="571" spans="1:11" x14ac:dyDescent="0.3">
      <c r="A571" s="88" t="s">
        <v>481</v>
      </c>
      <c r="B571" s="24">
        <v>39651</v>
      </c>
      <c r="C571" s="32">
        <v>15.051696330856519</v>
      </c>
      <c r="D571" s="125">
        <v>19.5</v>
      </c>
      <c r="E571" s="125">
        <v>13.1</v>
      </c>
      <c r="F571" s="126">
        <v>0.76</v>
      </c>
      <c r="G571" s="126"/>
      <c r="H571" s="126">
        <f t="shared" si="8"/>
        <v>1.5080901913058991</v>
      </c>
      <c r="I571" s="89">
        <v>349.65</v>
      </c>
      <c r="J571" s="125">
        <v>79.206249999999997</v>
      </c>
      <c r="K571" s="230">
        <v>367.61738949124162</v>
      </c>
    </row>
    <row r="572" spans="1:11" x14ac:dyDescent="0.3">
      <c r="A572" s="88" t="s">
        <v>481</v>
      </c>
      <c r="B572" s="24">
        <v>39652</v>
      </c>
      <c r="C572" s="32">
        <v>27.000172801105929</v>
      </c>
      <c r="D572" s="125">
        <v>22.7</v>
      </c>
      <c r="E572" s="125">
        <v>10.6</v>
      </c>
      <c r="F572" s="126">
        <v>0.02</v>
      </c>
      <c r="G572" s="126"/>
      <c r="H572" s="126">
        <f t="shared" si="8"/>
        <v>1.2786344448492586</v>
      </c>
      <c r="I572" s="89">
        <v>142.02000000000001</v>
      </c>
      <c r="J572" s="125">
        <v>70.19479166666666</v>
      </c>
      <c r="K572" s="230">
        <v>377.5299345902273</v>
      </c>
    </row>
    <row r="573" spans="1:11" x14ac:dyDescent="0.3">
      <c r="A573" s="88" t="s">
        <v>481</v>
      </c>
      <c r="B573" s="24">
        <v>39653</v>
      </c>
      <c r="C573" s="32">
        <v>27.16037382639249</v>
      </c>
      <c r="D573" s="125">
        <v>25.5</v>
      </c>
      <c r="E573" s="125">
        <v>10.5</v>
      </c>
      <c r="F573" s="126">
        <v>0</v>
      </c>
      <c r="G573" s="126"/>
      <c r="H573" s="126">
        <f t="shared" si="8"/>
        <v>1.2701326466613394</v>
      </c>
      <c r="I573" s="89">
        <v>208.98000000000002</v>
      </c>
      <c r="J573" s="125">
        <v>63.77083333333335</v>
      </c>
      <c r="K573" s="230">
        <v>364.03284457477946</v>
      </c>
    </row>
    <row r="574" spans="1:11" x14ac:dyDescent="0.3">
      <c r="A574" s="88" t="s">
        <v>481</v>
      </c>
      <c r="B574" s="24">
        <v>39654</v>
      </c>
      <c r="C574" s="32">
        <v>19.007221646218536</v>
      </c>
      <c r="D574" s="125">
        <v>28.4</v>
      </c>
      <c r="E574" s="125">
        <v>16.399999999999999</v>
      </c>
      <c r="F574" s="126">
        <v>0.97</v>
      </c>
      <c r="G574" s="126"/>
      <c r="H574" s="126">
        <f t="shared" si="8"/>
        <v>1.8658768743849428</v>
      </c>
      <c r="I574" s="89">
        <v>194.30999999999995</v>
      </c>
      <c r="J574" s="125">
        <v>68.314583333333346</v>
      </c>
      <c r="K574" s="230">
        <v>378.473974255835</v>
      </c>
    </row>
    <row r="575" spans="1:11" x14ac:dyDescent="0.3">
      <c r="A575" s="88" t="s">
        <v>481</v>
      </c>
      <c r="B575" s="24">
        <v>39655</v>
      </c>
      <c r="C575" s="32">
        <v>23.177848338229367</v>
      </c>
      <c r="D575" s="125">
        <v>30.4</v>
      </c>
      <c r="E575" s="125">
        <v>18</v>
      </c>
      <c r="F575" s="126">
        <v>0.01</v>
      </c>
      <c r="G575" s="126"/>
      <c r="H575" s="126">
        <f t="shared" si="8"/>
        <v>2.0646650340955413</v>
      </c>
      <c r="I575" s="89">
        <v>247.05</v>
      </c>
      <c r="J575" s="125">
        <v>68.835416666666674</v>
      </c>
      <c r="K575" s="230">
        <v>378.78923076923019</v>
      </c>
    </row>
    <row r="576" spans="1:11" x14ac:dyDescent="0.3">
      <c r="A576" s="88" t="s">
        <v>481</v>
      </c>
      <c r="B576" s="24">
        <v>39656</v>
      </c>
      <c r="C576" s="32">
        <v>25.405362594320607</v>
      </c>
      <c r="D576" s="125">
        <v>30.9</v>
      </c>
      <c r="E576" s="125">
        <v>17.7</v>
      </c>
      <c r="F576" s="126">
        <v>0</v>
      </c>
      <c r="G576" s="126"/>
      <c r="H576" s="126">
        <f t="shared" si="8"/>
        <v>2.0260394077720378</v>
      </c>
      <c r="I576" s="89">
        <v>194.22000000000008</v>
      </c>
      <c r="J576" s="125">
        <v>59.547916666666659</v>
      </c>
      <c r="K576" s="230">
        <v>389.63502694380333</v>
      </c>
    </row>
    <row r="577" spans="1:11" x14ac:dyDescent="0.3">
      <c r="A577" s="88" t="s">
        <v>481</v>
      </c>
      <c r="B577" s="24">
        <v>39657</v>
      </c>
      <c r="C577" s="32">
        <v>26.194667645872933</v>
      </c>
      <c r="D577" s="125">
        <v>32.200000000000003</v>
      </c>
      <c r="E577" s="125">
        <v>15.3</v>
      </c>
      <c r="F577" s="126">
        <v>0</v>
      </c>
      <c r="G577" s="126"/>
      <c r="H577" s="126">
        <f t="shared" si="8"/>
        <v>1.739133169821284</v>
      </c>
      <c r="I577" s="89">
        <v>229.58999999999997</v>
      </c>
      <c r="J577" s="125">
        <v>51.27604166666665</v>
      </c>
      <c r="K577" s="230">
        <v>403.99976047904369</v>
      </c>
    </row>
    <row r="578" spans="1:11" x14ac:dyDescent="0.3">
      <c r="A578" s="88" t="s">
        <v>481</v>
      </c>
      <c r="B578" s="24">
        <v>39658</v>
      </c>
      <c r="C578" s="32">
        <v>21.344536605034271</v>
      </c>
      <c r="D578" s="125">
        <v>32.6</v>
      </c>
      <c r="E578" s="125">
        <v>15.5</v>
      </c>
      <c r="F578" s="126">
        <v>1.375</v>
      </c>
      <c r="G578" s="126"/>
      <c r="H578" s="126">
        <f t="shared" si="8"/>
        <v>1.7615995264429876</v>
      </c>
      <c r="I578" s="89">
        <v>237.78000000000003</v>
      </c>
      <c r="J578" s="125">
        <v>56.532291666666644</v>
      </c>
      <c r="K578" s="230">
        <v>402.56849886277382</v>
      </c>
    </row>
    <row r="579" spans="1:11" x14ac:dyDescent="0.3">
      <c r="A579" s="88" t="s">
        <v>481</v>
      </c>
      <c r="B579" s="24">
        <v>39659</v>
      </c>
      <c r="C579" s="32">
        <v>22.516344104602272</v>
      </c>
      <c r="D579" s="125">
        <v>27.5</v>
      </c>
      <c r="E579" s="125">
        <v>18</v>
      </c>
      <c r="F579" s="126">
        <v>3.5000000000000003E-2</v>
      </c>
      <c r="G579" s="126"/>
      <c r="H579" s="126">
        <f t="shared" si="8"/>
        <v>2.0646650340955413</v>
      </c>
      <c r="I579" s="89">
        <v>162.18</v>
      </c>
      <c r="J579" s="125">
        <v>72.798958333333346</v>
      </c>
      <c r="K579" s="230">
        <v>404.22197718631304</v>
      </c>
    </row>
    <row r="580" spans="1:11" x14ac:dyDescent="0.3">
      <c r="A580" s="88" t="s">
        <v>481</v>
      </c>
      <c r="B580" s="24">
        <v>39660</v>
      </c>
      <c r="C580" s="32">
        <v>24.806858763896088</v>
      </c>
      <c r="D580" s="125">
        <v>31.7</v>
      </c>
      <c r="E580" s="125">
        <v>16.5</v>
      </c>
      <c r="F580" s="126">
        <v>1.4999999999999999E-2</v>
      </c>
      <c r="G580" s="126"/>
      <c r="H580" s="126">
        <f t="shared" ref="H580:H643" si="9">0.611*EXP((17.27*E580)/(E580+237.3))</f>
        <v>1.8777904954698514</v>
      </c>
      <c r="I580" s="89">
        <v>262.98</v>
      </c>
      <c r="J580" s="125">
        <v>52.392708333333331</v>
      </c>
      <c r="K580" s="230">
        <v>388.82541666666657</v>
      </c>
    </row>
    <row r="581" spans="1:11" x14ac:dyDescent="0.3">
      <c r="A581" s="88" t="s">
        <v>481</v>
      </c>
      <c r="B581" s="24">
        <v>39661</v>
      </c>
      <c r="C581" s="32">
        <v>15.480999078394102</v>
      </c>
      <c r="D581" s="125">
        <v>29.1</v>
      </c>
      <c r="E581" s="125">
        <v>18.2</v>
      </c>
      <c r="F581" s="126">
        <v>14.574999999999999</v>
      </c>
      <c r="G581" s="126"/>
      <c r="H581" s="126">
        <f t="shared" si="9"/>
        <v>2.0907721782330535</v>
      </c>
      <c r="I581" s="89">
        <v>204.93</v>
      </c>
      <c r="J581" s="125">
        <v>65.442708333333343</v>
      </c>
      <c r="K581" s="230">
        <v>381.11803950801317</v>
      </c>
    </row>
    <row r="582" spans="1:11" x14ac:dyDescent="0.3">
      <c r="A582" s="88" t="s">
        <v>481</v>
      </c>
      <c r="B582" s="24">
        <v>39662</v>
      </c>
      <c r="C582" s="32">
        <v>20.007128045619492</v>
      </c>
      <c r="D582" s="125">
        <v>25.1</v>
      </c>
      <c r="E582" s="125">
        <v>17</v>
      </c>
      <c r="F582" s="126">
        <v>1.7549999999999999</v>
      </c>
      <c r="G582" s="126"/>
      <c r="H582" s="126">
        <f t="shared" si="9"/>
        <v>1.9383638408527206</v>
      </c>
      <c r="I582" s="89">
        <v>127.53000000000002</v>
      </c>
      <c r="J582" s="125">
        <v>67.282291666666708</v>
      </c>
      <c r="K582" s="230">
        <v>376.23165735568085</v>
      </c>
    </row>
    <row r="583" spans="1:11" x14ac:dyDescent="0.3">
      <c r="A583" s="88" t="s">
        <v>481</v>
      </c>
      <c r="B583" s="24">
        <v>39663</v>
      </c>
      <c r="C583" s="32">
        <v>18.101815851621449</v>
      </c>
      <c r="D583" s="125">
        <v>24.7</v>
      </c>
      <c r="E583" s="125">
        <v>17.899999999999999</v>
      </c>
      <c r="F583" s="126">
        <v>0.105</v>
      </c>
      <c r="G583" s="126"/>
      <c r="H583" s="126">
        <f t="shared" si="9"/>
        <v>2.0517188127308259</v>
      </c>
      <c r="I583" s="89">
        <v>279.81000000000017</v>
      </c>
      <c r="J583" s="125">
        <v>66.303124999999994</v>
      </c>
      <c r="K583" s="230">
        <v>372.45544896392897</v>
      </c>
    </row>
    <row r="584" spans="1:11" x14ac:dyDescent="0.3">
      <c r="A584" s="88" t="s">
        <v>481</v>
      </c>
      <c r="B584" s="24">
        <v>39664</v>
      </c>
      <c r="C584" s="32">
        <v>19.125122400783365</v>
      </c>
      <c r="D584" s="125">
        <v>22</v>
      </c>
      <c r="E584" s="125">
        <v>14.8</v>
      </c>
      <c r="F584" s="126">
        <v>5.1150000000000002</v>
      </c>
      <c r="G584" s="126"/>
      <c r="H584" s="126">
        <f t="shared" si="9"/>
        <v>1.6840627760776321</v>
      </c>
      <c r="I584" s="89">
        <v>455.22</v>
      </c>
      <c r="J584" s="125">
        <v>68.981250000000003</v>
      </c>
      <c r="K584" s="230">
        <v>369.49352124526723</v>
      </c>
    </row>
    <row r="585" spans="1:11" x14ac:dyDescent="0.3">
      <c r="A585" s="88" t="s">
        <v>481</v>
      </c>
      <c r="B585" s="24">
        <v>39665</v>
      </c>
      <c r="C585" s="32">
        <v>18.911821035654629</v>
      </c>
      <c r="D585" s="125">
        <v>22.6</v>
      </c>
      <c r="E585" s="125">
        <v>12.9</v>
      </c>
      <c r="F585" s="126">
        <v>0</v>
      </c>
      <c r="G585" s="126"/>
      <c r="H585" s="126">
        <f t="shared" si="9"/>
        <v>1.4884887514247067</v>
      </c>
      <c r="I585" s="89">
        <v>358.28999999999996</v>
      </c>
      <c r="J585" s="125">
        <v>64.910416666666677</v>
      </c>
      <c r="K585" s="230">
        <v>373.88062015503789</v>
      </c>
    </row>
    <row r="586" spans="1:11" x14ac:dyDescent="0.3">
      <c r="A586" s="88" t="s">
        <v>481</v>
      </c>
      <c r="B586" s="24">
        <v>39666</v>
      </c>
      <c r="C586" s="32">
        <v>16.326104487068719</v>
      </c>
      <c r="D586" s="125">
        <v>27.5</v>
      </c>
      <c r="E586" s="125">
        <v>13.1</v>
      </c>
      <c r="F586" s="126">
        <v>0.14499999999999999</v>
      </c>
      <c r="G586" s="126"/>
      <c r="H586" s="126">
        <f t="shared" si="9"/>
        <v>1.5080901913058991</v>
      </c>
      <c r="I586" s="89">
        <v>117.99000000000001</v>
      </c>
      <c r="J586" s="125">
        <v>69.109375</v>
      </c>
      <c r="K586" s="230">
        <v>383.17793822703516</v>
      </c>
    </row>
    <row r="587" spans="1:11" x14ac:dyDescent="0.3">
      <c r="A587" s="88" t="s">
        <v>481</v>
      </c>
      <c r="B587" s="24">
        <v>39667</v>
      </c>
      <c r="C587" s="32">
        <v>22.216642186509997</v>
      </c>
      <c r="D587" s="125">
        <v>32.299999999999997</v>
      </c>
      <c r="E587" s="125">
        <v>18.399999999999999</v>
      </c>
      <c r="F587" s="126">
        <v>0.375</v>
      </c>
      <c r="G587" s="126"/>
      <c r="H587" s="126">
        <f t="shared" si="9"/>
        <v>2.1171678236591673</v>
      </c>
      <c r="I587" s="89">
        <v>228.77999999999997</v>
      </c>
      <c r="J587" s="125">
        <v>54.923958333333324</v>
      </c>
      <c r="K587" s="230">
        <v>368.54589851201814</v>
      </c>
    </row>
    <row r="588" spans="1:11" x14ac:dyDescent="0.3">
      <c r="A588" s="88" t="s">
        <v>481</v>
      </c>
      <c r="B588" s="24">
        <v>39668</v>
      </c>
      <c r="C588" s="32">
        <v>17.370111168711478</v>
      </c>
      <c r="D588" s="125">
        <v>23.6</v>
      </c>
      <c r="E588" s="125">
        <v>14.1</v>
      </c>
      <c r="F588" s="126">
        <v>0.35</v>
      </c>
      <c r="G588" s="126"/>
      <c r="H588" s="126">
        <f t="shared" si="9"/>
        <v>1.6095352919714581</v>
      </c>
      <c r="I588" s="89">
        <v>308.61</v>
      </c>
      <c r="J588" s="125">
        <v>71.791666666666671</v>
      </c>
      <c r="K588" s="230">
        <v>373.16280894468292</v>
      </c>
    </row>
    <row r="589" spans="1:11" x14ac:dyDescent="0.3">
      <c r="A589" s="88" t="s">
        <v>481</v>
      </c>
      <c r="B589" s="24">
        <v>39669</v>
      </c>
      <c r="C589" s="32">
        <v>17.803913945049249</v>
      </c>
      <c r="D589" s="125">
        <v>20.2</v>
      </c>
      <c r="E589" s="125">
        <v>11.8</v>
      </c>
      <c r="F589" s="126">
        <v>0</v>
      </c>
      <c r="G589" s="126"/>
      <c r="H589" s="126">
        <f t="shared" si="9"/>
        <v>1.3846270162501679</v>
      </c>
      <c r="I589" s="89">
        <v>317.70000000000022</v>
      </c>
      <c r="J589" s="125">
        <v>64.584374999999994</v>
      </c>
      <c r="K589" s="230">
        <v>372.03438914027078</v>
      </c>
    </row>
    <row r="590" spans="1:11" x14ac:dyDescent="0.3">
      <c r="A590" s="88" t="s">
        <v>481</v>
      </c>
      <c r="B590" s="24">
        <v>39670</v>
      </c>
      <c r="C590" s="32">
        <v>5.6538361845515812</v>
      </c>
      <c r="D590" s="125">
        <v>19.600000000000001</v>
      </c>
      <c r="E590" s="125">
        <v>13.4</v>
      </c>
      <c r="F590" s="126">
        <v>4.7949999999999999</v>
      </c>
      <c r="G590" s="126"/>
      <c r="H590" s="126">
        <f t="shared" si="9"/>
        <v>1.5379172032464434</v>
      </c>
      <c r="I590" s="89">
        <v>163.35000000000002</v>
      </c>
      <c r="J590" s="125">
        <v>83.477083333333326</v>
      </c>
      <c r="K590" s="230">
        <v>370.58494501326982</v>
      </c>
    </row>
    <row r="591" spans="1:11" x14ac:dyDescent="0.3">
      <c r="A591" s="88" t="s">
        <v>481</v>
      </c>
      <c r="B591" s="24">
        <v>39671</v>
      </c>
      <c r="C591" s="32">
        <v>18.252116813547605</v>
      </c>
      <c r="D591" s="125">
        <v>22.8</v>
      </c>
      <c r="E591" s="125">
        <v>14.7</v>
      </c>
      <c r="F591" s="126">
        <v>0.105</v>
      </c>
      <c r="G591" s="126"/>
      <c r="H591" s="126">
        <f t="shared" si="9"/>
        <v>1.673234110655023</v>
      </c>
      <c r="I591" s="89">
        <v>213.12</v>
      </c>
      <c r="J591" s="125">
        <v>67.297916666666652</v>
      </c>
      <c r="K591" s="230">
        <v>372.30008350730844</v>
      </c>
    </row>
    <row r="592" spans="1:11" x14ac:dyDescent="0.3">
      <c r="A592" s="88" t="s">
        <v>481</v>
      </c>
      <c r="B592" s="24">
        <v>39672</v>
      </c>
      <c r="C592" s="32">
        <v>6.0858389493692764</v>
      </c>
      <c r="D592" s="125">
        <v>22.2</v>
      </c>
      <c r="E592" s="125">
        <v>14.8</v>
      </c>
      <c r="F592" s="126">
        <v>12.525</v>
      </c>
      <c r="G592" s="126"/>
      <c r="H592" s="126">
        <f t="shared" si="9"/>
        <v>1.6840627760776321</v>
      </c>
      <c r="I592" s="89">
        <v>149.94000000000005</v>
      </c>
      <c r="J592" s="125">
        <v>87.831249999999997</v>
      </c>
      <c r="K592" s="230">
        <v>385.61835826930763</v>
      </c>
    </row>
    <row r="593" spans="1:11" x14ac:dyDescent="0.3">
      <c r="A593" s="88" t="s">
        <v>481</v>
      </c>
      <c r="B593" s="24">
        <v>39673</v>
      </c>
      <c r="C593" s="32">
        <v>17.369211162951444</v>
      </c>
      <c r="D593" s="125">
        <v>22.1</v>
      </c>
      <c r="E593" s="125">
        <v>12.4</v>
      </c>
      <c r="F593" s="126">
        <v>6.28</v>
      </c>
      <c r="G593" s="126"/>
      <c r="H593" s="126">
        <f t="shared" si="9"/>
        <v>1.4404604588486194</v>
      </c>
      <c r="I593" s="89">
        <v>250.37999999999994</v>
      </c>
      <c r="J593" s="125">
        <v>73.558333333333323</v>
      </c>
      <c r="K593" s="230">
        <v>374.2389427312778</v>
      </c>
    </row>
    <row r="594" spans="1:11" x14ac:dyDescent="0.3">
      <c r="A594" s="88" t="s">
        <v>481</v>
      </c>
      <c r="B594" s="24">
        <v>39674</v>
      </c>
      <c r="C594" s="32">
        <v>22.314742814354009</v>
      </c>
      <c r="D594" s="125">
        <v>21.9</v>
      </c>
      <c r="E594" s="125">
        <v>12.6</v>
      </c>
      <c r="F594" s="126">
        <v>0</v>
      </c>
      <c r="G594" s="126"/>
      <c r="H594" s="126">
        <f t="shared" si="9"/>
        <v>1.4595059422181114</v>
      </c>
      <c r="I594" s="89">
        <v>254.79000000000002</v>
      </c>
      <c r="J594" s="125">
        <v>59.4</v>
      </c>
      <c r="K594" s="230">
        <v>377.69962073325013</v>
      </c>
    </row>
    <row r="595" spans="1:11" x14ac:dyDescent="0.3">
      <c r="A595" s="88" t="s">
        <v>481</v>
      </c>
      <c r="B595" s="24">
        <v>39675</v>
      </c>
      <c r="C595" s="32">
        <v>9.3258596855019871</v>
      </c>
      <c r="D595" s="125">
        <v>19.7</v>
      </c>
      <c r="E595" s="125">
        <v>11.2</v>
      </c>
      <c r="F595" s="126">
        <v>0</v>
      </c>
      <c r="G595" s="126"/>
      <c r="H595" s="126">
        <f t="shared" si="9"/>
        <v>1.3307036698161701</v>
      </c>
      <c r="I595" s="89">
        <v>81.72</v>
      </c>
      <c r="J595" s="125">
        <v>76.890625</v>
      </c>
      <c r="K595" s="230">
        <v>416.94802419354954</v>
      </c>
    </row>
    <row r="596" spans="1:11" x14ac:dyDescent="0.3">
      <c r="A596" s="88" t="s">
        <v>481</v>
      </c>
      <c r="B596" s="24">
        <v>39676</v>
      </c>
      <c r="C596" s="32">
        <v>21.013334485340707</v>
      </c>
      <c r="D596" s="125">
        <v>21.2</v>
      </c>
      <c r="E596" s="125">
        <v>10.7</v>
      </c>
      <c r="F596" s="126">
        <v>0</v>
      </c>
      <c r="G596" s="126"/>
      <c r="H596" s="126">
        <f t="shared" si="9"/>
        <v>1.2871862257172708</v>
      </c>
      <c r="I596" s="89">
        <v>137.33999999999995</v>
      </c>
      <c r="J596" s="125">
        <v>72.927083333333357</v>
      </c>
      <c r="K596" s="230">
        <v>387.00710784313651</v>
      </c>
    </row>
    <row r="597" spans="1:11" x14ac:dyDescent="0.3">
      <c r="A597" s="88" t="s">
        <v>481</v>
      </c>
      <c r="B597" s="24">
        <v>39677</v>
      </c>
      <c r="C597" s="32">
        <v>20.341030182593169</v>
      </c>
      <c r="D597" s="125">
        <v>23.3</v>
      </c>
      <c r="E597" s="125">
        <v>7.9</v>
      </c>
      <c r="F597" s="126">
        <v>0</v>
      </c>
      <c r="G597" s="126"/>
      <c r="H597" s="126">
        <f t="shared" si="9"/>
        <v>1.0658332114824252</v>
      </c>
      <c r="I597" s="89">
        <v>85.769999999999953</v>
      </c>
      <c r="J597" s="125">
        <v>65.540625000000006</v>
      </c>
      <c r="K597" s="230">
        <v>392.85081967212994</v>
      </c>
    </row>
    <row r="598" spans="1:11" x14ac:dyDescent="0.3">
      <c r="A598" s="88" t="s">
        <v>481</v>
      </c>
      <c r="B598" s="24">
        <v>39678</v>
      </c>
      <c r="C598" s="32">
        <v>9.0783581014918493</v>
      </c>
      <c r="D598" s="125">
        <v>23.4</v>
      </c>
      <c r="E598" s="125">
        <v>14.3</v>
      </c>
      <c r="F598" s="126">
        <v>2.7250000000000001</v>
      </c>
      <c r="G598" s="126"/>
      <c r="H598" s="126">
        <f t="shared" si="9"/>
        <v>1.6305276651269101</v>
      </c>
      <c r="I598" s="89">
        <v>114.11999999999998</v>
      </c>
      <c r="J598" s="125">
        <v>73.898958333333368</v>
      </c>
      <c r="K598" s="230">
        <v>383.14303959131627</v>
      </c>
    </row>
    <row r="599" spans="1:11" x14ac:dyDescent="0.3">
      <c r="A599" s="88" t="s">
        <v>481</v>
      </c>
      <c r="B599" s="24">
        <v>39679</v>
      </c>
      <c r="C599" s="32">
        <v>13.955489315131619</v>
      </c>
      <c r="D599" s="125">
        <v>24</v>
      </c>
      <c r="E599" s="125">
        <v>16.100000000000001</v>
      </c>
      <c r="F599" s="126">
        <v>0.8</v>
      </c>
      <c r="G599" s="126"/>
      <c r="H599" s="126">
        <f t="shared" si="9"/>
        <v>1.8305324367134694</v>
      </c>
      <c r="I599" s="89">
        <v>199.17000000000007</v>
      </c>
      <c r="J599" s="125">
        <v>71.951041666666683</v>
      </c>
      <c r="K599" s="230">
        <v>371.4434045986269</v>
      </c>
    </row>
    <row r="600" spans="1:11" x14ac:dyDescent="0.3">
      <c r="A600" s="88" t="s">
        <v>481</v>
      </c>
      <c r="B600" s="24">
        <v>39680</v>
      </c>
      <c r="C600" s="32">
        <v>10.091764587293358</v>
      </c>
      <c r="D600" s="125">
        <v>20.5</v>
      </c>
      <c r="E600" s="125">
        <v>15.4</v>
      </c>
      <c r="F600" s="126">
        <v>0.94</v>
      </c>
      <c r="G600" s="126"/>
      <c r="H600" s="126">
        <f t="shared" si="9"/>
        <v>1.7503347478886555</v>
      </c>
      <c r="I600" s="89">
        <v>296.82000000000011</v>
      </c>
      <c r="J600" s="125">
        <v>74.284374999999997</v>
      </c>
      <c r="K600" s="230">
        <v>375.71773854560479</v>
      </c>
    </row>
    <row r="601" spans="1:11" x14ac:dyDescent="0.3">
      <c r="A601" s="88" t="s">
        <v>481</v>
      </c>
      <c r="B601" s="24">
        <v>39681</v>
      </c>
      <c r="C601" s="32">
        <v>18.117115949542079</v>
      </c>
      <c r="D601" s="125">
        <v>24.3</v>
      </c>
      <c r="E601" s="125">
        <v>14.1</v>
      </c>
      <c r="F601" s="126">
        <v>0</v>
      </c>
      <c r="G601" s="126"/>
      <c r="H601" s="126">
        <f t="shared" si="9"/>
        <v>1.6095352919714581</v>
      </c>
      <c r="I601" s="89">
        <v>221.48999999999995</v>
      </c>
      <c r="J601" s="125">
        <v>63.887500000000003</v>
      </c>
      <c r="K601" s="230">
        <v>371.5011152416352</v>
      </c>
    </row>
    <row r="602" spans="1:11" x14ac:dyDescent="0.3">
      <c r="A602" s="88" t="s">
        <v>481</v>
      </c>
      <c r="B602" s="24">
        <v>39682</v>
      </c>
      <c r="C602" s="32">
        <v>8.7489559933183578</v>
      </c>
      <c r="D602" s="125">
        <v>20.5</v>
      </c>
      <c r="E602" s="125">
        <v>14.7</v>
      </c>
      <c r="F602" s="126">
        <v>10.355</v>
      </c>
      <c r="G602" s="126"/>
      <c r="H602" s="126">
        <f t="shared" si="9"/>
        <v>1.673234110655023</v>
      </c>
      <c r="I602" s="89">
        <v>108.36000000000001</v>
      </c>
      <c r="J602" s="125">
        <v>86.552083333333357</v>
      </c>
      <c r="K602" s="230">
        <v>385.4039862837534</v>
      </c>
    </row>
    <row r="603" spans="1:11" x14ac:dyDescent="0.3">
      <c r="A603" s="88" t="s">
        <v>481</v>
      </c>
      <c r="B603" s="24">
        <v>39683</v>
      </c>
      <c r="C603" s="32">
        <v>13.425385922469903</v>
      </c>
      <c r="D603" s="125">
        <v>17.399999999999999</v>
      </c>
      <c r="E603" s="125">
        <v>11.7</v>
      </c>
      <c r="F603" s="126">
        <v>11.074999999999999</v>
      </c>
      <c r="G603" s="126"/>
      <c r="H603" s="126">
        <f t="shared" si="9"/>
        <v>1.3755086746426002</v>
      </c>
      <c r="I603" s="89">
        <v>370.43999999999994</v>
      </c>
      <c r="J603" s="125">
        <v>84.405208333333334</v>
      </c>
      <c r="K603" s="230">
        <v>375.76942934782562</v>
      </c>
    </row>
    <row r="604" spans="1:11" x14ac:dyDescent="0.3">
      <c r="A604" s="88" t="s">
        <v>481</v>
      </c>
      <c r="B604" s="24">
        <v>39684</v>
      </c>
      <c r="C604" s="32">
        <v>16.726607050285121</v>
      </c>
      <c r="D604" s="125">
        <v>19.7</v>
      </c>
      <c r="E604" s="125">
        <v>11.5</v>
      </c>
      <c r="F604" s="126">
        <v>6.82</v>
      </c>
      <c r="G604" s="126"/>
      <c r="H604" s="126">
        <f t="shared" si="9"/>
        <v>1.3574301110209714</v>
      </c>
      <c r="I604" s="89">
        <v>340.02000000000004</v>
      </c>
      <c r="J604" s="125">
        <v>78.352083333333354</v>
      </c>
      <c r="K604" s="230">
        <v>377.78926432848493</v>
      </c>
    </row>
    <row r="605" spans="1:11" x14ac:dyDescent="0.3">
      <c r="A605" s="88" t="s">
        <v>481</v>
      </c>
      <c r="B605" s="24">
        <v>39685</v>
      </c>
      <c r="C605" s="32">
        <v>10.063864408732217</v>
      </c>
      <c r="D605" s="125">
        <v>20</v>
      </c>
      <c r="E605" s="125">
        <v>12.4</v>
      </c>
      <c r="F605" s="126">
        <v>0.94499999999999995</v>
      </c>
      <c r="G605" s="126"/>
      <c r="H605" s="126">
        <f t="shared" si="9"/>
        <v>1.4404604588486194</v>
      </c>
      <c r="I605" s="89">
        <v>158.31</v>
      </c>
      <c r="J605" s="125">
        <v>84.22083333333336</v>
      </c>
      <c r="K605" s="230">
        <v>384.45913312693455</v>
      </c>
    </row>
    <row r="606" spans="1:11" x14ac:dyDescent="0.3">
      <c r="A606" s="88" t="s">
        <v>481</v>
      </c>
      <c r="B606" s="24">
        <v>39686</v>
      </c>
      <c r="C606" s="32">
        <v>6.8733439894015316</v>
      </c>
      <c r="D606" s="125">
        <v>19</v>
      </c>
      <c r="E606" s="125">
        <v>13.4</v>
      </c>
      <c r="F606" s="126">
        <v>0</v>
      </c>
      <c r="G606" s="126"/>
      <c r="H606" s="126">
        <f t="shared" si="9"/>
        <v>1.5379172032464434</v>
      </c>
      <c r="I606" s="89">
        <v>170.91</v>
      </c>
      <c r="J606" s="125">
        <v>83.888541666666683</v>
      </c>
      <c r="K606" s="230">
        <v>385.9512799674938</v>
      </c>
    </row>
    <row r="607" spans="1:11" x14ac:dyDescent="0.3">
      <c r="A607" s="88" t="s">
        <v>481</v>
      </c>
      <c r="B607" s="24">
        <v>39687</v>
      </c>
      <c r="C607" s="32">
        <v>8.1189519612925523</v>
      </c>
      <c r="D607" s="125">
        <v>20.2</v>
      </c>
      <c r="E607" s="125">
        <v>16.5</v>
      </c>
      <c r="F607" s="126">
        <v>0</v>
      </c>
      <c r="G607" s="126"/>
      <c r="H607" s="126">
        <f t="shared" si="9"/>
        <v>1.8777904954698514</v>
      </c>
      <c r="I607" s="89">
        <v>261.63</v>
      </c>
      <c r="J607" s="125">
        <v>76.926041666666663</v>
      </c>
      <c r="K607" s="230">
        <v>385.94498787388903</v>
      </c>
    </row>
    <row r="608" spans="1:11" x14ac:dyDescent="0.3">
      <c r="A608" s="88" t="s">
        <v>481</v>
      </c>
      <c r="B608" s="24">
        <v>39688</v>
      </c>
      <c r="C608" s="32">
        <v>6.2550400322562059</v>
      </c>
      <c r="D608" s="125">
        <v>20.2</v>
      </c>
      <c r="E608" s="125">
        <v>15.5</v>
      </c>
      <c r="F608" s="126">
        <v>0.32500000000000001</v>
      </c>
      <c r="G608" s="126"/>
      <c r="H608" s="126">
        <f t="shared" si="9"/>
        <v>1.7615995264429876</v>
      </c>
      <c r="I608" s="89">
        <v>274.67999999999984</v>
      </c>
      <c r="J608" s="125">
        <v>83.301041666666649</v>
      </c>
      <c r="K608" s="230">
        <v>380.12025524907381</v>
      </c>
    </row>
    <row r="609" spans="1:11" x14ac:dyDescent="0.3">
      <c r="A609" s="88" t="s">
        <v>481</v>
      </c>
      <c r="B609" s="24">
        <v>39689</v>
      </c>
      <c r="C609" s="32">
        <v>10.642568112435919</v>
      </c>
      <c r="D609" s="125">
        <v>21.5</v>
      </c>
      <c r="E609" s="125">
        <v>14.2</v>
      </c>
      <c r="F609" s="126">
        <v>0</v>
      </c>
      <c r="G609" s="126"/>
      <c r="H609" s="126">
        <f t="shared" si="9"/>
        <v>1.6200016491976139</v>
      </c>
      <c r="I609" s="89">
        <v>328.68000000000023</v>
      </c>
      <c r="J609" s="125">
        <v>76.367708333333312</v>
      </c>
      <c r="K609" s="230">
        <v>377.49431099873721</v>
      </c>
    </row>
    <row r="610" spans="1:11" x14ac:dyDescent="0.3">
      <c r="A610" s="88" t="s">
        <v>481</v>
      </c>
      <c r="B610" s="24">
        <v>39690</v>
      </c>
      <c r="C610" s="32">
        <v>15.278497782385807</v>
      </c>
      <c r="D610" s="125">
        <v>21.9</v>
      </c>
      <c r="E610" s="125">
        <v>12.2</v>
      </c>
      <c r="F610" s="126">
        <v>0</v>
      </c>
      <c r="G610" s="126"/>
      <c r="H610" s="126">
        <f t="shared" si="9"/>
        <v>1.4216335674868446</v>
      </c>
      <c r="I610" s="89">
        <v>136.89000000000001</v>
      </c>
      <c r="J610" s="125">
        <v>76.01979166666662</v>
      </c>
      <c r="K610" s="230">
        <v>384.37235656709191</v>
      </c>
    </row>
    <row r="611" spans="1:11" x14ac:dyDescent="0.3">
      <c r="A611" s="88" t="s">
        <v>481</v>
      </c>
      <c r="B611" s="24">
        <v>39691</v>
      </c>
      <c r="C611" s="32">
        <v>20.060228385461667</v>
      </c>
      <c r="D611" s="125">
        <v>25.6</v>
      </c>
      <c r="E611" s="125">
        <v>10.6</v>
      </c>
      <c r="F611" s="126">
        <v>0</v>
      </c>
      <c r="G611" s="126"/>
      <c r="H611" s="126">
        <f t="shared" si="9"/>
        <v>1.2786344448492586</v>
      </c>
      <c r="I611" s="89">
        <v>274.86</v>
      </c>
      <c r="J611" s="125">
        <v>54.989583333333321</v>
      </c>
      <c r="K611" s="230">
        <v>379.12183163737234</v>
      </c>
    </row>
    <row r="612" spans="1:11" x14ac:dyDescent="0.3">
      <c r="A612" s="88" t="s">
        <v>481</v>
      </c>
      <c r="B612" s="24">
        <v>39692</v>
      </c>
      <c r="C612" s="32">
        <v>8.2125525603363858</v>
      </c>
      <c r="D612" s="125">
        <v>21.8</v>
      </c>
      <c r="E612" s="125">
        <v>13</v>
      </c>
      <c r="F612" s="126">
        <v>0.185</v>
      </c>
      <c r="G612" s="126"/>
      <c r="H612" s="126">
        <f t="shared" si="9"/>
        <v>1.498261331998219</v>
      </c>
      <c r="I612" s="89">
        <v>219.32999999999998</v>
      </c>
      <c r="J612" s="125">
        <v>68.745833333333337</v>
      </c>
      <c r="K612" s="230">
        <v>386.43742110008924</v>
      </c>
    </row>
    <row r="613" spans="1:11" x14ac:dyDescent="0.3">
      <c r="A613" s="88" t="s">
        <v>481</v>
      </c>
      <c r="B613" s="24">
        <v>39693</v>
      </c>
      <c r="C613" s="32">
        <v>13.465886181671562</v>
      </c>
      <c r="D613" s="125">
        <v>23.1</v>
      </c>
      <c r="E613" s="125">
        <v>11.5</v>
      </c>
      <c r="F613" s="126">
        <v>0.02</v>
      </c>
      <c r="G613" s="126"/>
      <c r="H613" s="126">
        <f t="shared" si="9"/>
        <v>1.3574301110209714</v>
      </c>
      <c r="I613" s="89">
        <v>187.28999999999991</v>
      </c>
      <c r="J613" s="125">
        <v>64.15416666666664</v>
      </c>
      <c r="K613" s="230">
        <v>376.23557567917163</v>
      </c>
    </row>
    <row r="614" spans="1:11" x14ac:dyDescent="0.3">
      <c r="A614" s="88" t="s">
        <v>481</v>
      </c>
      <c r="B614" s="24">
        <v>39694</v>
      </c>
      <c r="C614" s="32">
        <v>11.11597114221531</v>
      </c>
      <c r="D614" s="125">
        <v>20.5</v>
      </c>
      <c r="E614" s="125">
        <v>10.5</v>
      </c>
      <c r="F614" s="126">
        <v>1.37</v>
      </c>
      <c r="G614" s="126"/>
      <c r="H614" s="126">
        <f t="shared" si="9"/>
        <v>1.2701326466613394</v>
      </c>
      <c r="I614" s="89">
        <v>231.66</v>
      </c>
      <c r="J614" s="125">
        <v>73.660416666666649</v>
      </c>
      <c r="K614" s="230">
        <v>366.53495864170765</v>
      </c>
    </row>
    <row r="615" spans="1:11" x14ac:dyDescent="0.3">
      <c r="A615" s="88" t="s">
        <v>481</v>
      </c>
      <c r="B615" s="24">
        <v>39695</v>
      </c>
      <c r="C615" s="32">
        <v>16.005702436495593</v>
      </c>
      <c r="D615" s="125">
        <v>18.899999999999999</v>
      </c>
      <c r="E615" s="125">
        <v>9.9</v>
      </c>
      <c r="F615" s="126">
        <v>0.02</v>
      </c>
      <c r="G615" s="126"/>
      <c r="H615" s="126">
        <f t="shared" si="9"/>
        <v>1.2201575987481763</v>
      </c>
      <c r="I615" s="89">
        <v>187.20000000000005</v>
      </c>
      <c r="J615" s="125">
        <v>70.433333333333323</v>
      </c>
      <c r="K615" s="230">
        <v>371.72098421541182</v>
      </c>
    </row>
    <row r="616" spans="1:11" x14ac:dyDescent="0.3">
      <c r="A616" s="88" t="s">
        <v>481</v>
      </c>
      <c r="B616" s="24">
        <v>39696</v>
      </c>
      <c r="C616" s="32">
        <v>13.737687921202696</v>
      </c>
      <c r="D616" s="125">
        <v>21.4</v>
      </c>
      <c r="E616" s="125">
        <v>11.8</v>
      </c>
      <c r="F616" s="126">
        <v>0.92</v>
      </c>
      <c r="G616" s="126"/>
      <c r="H616" s="126">
        <f t="shared" si="9"/>
        <v>1.3846270162501679</v>
      </c>
      <c r="I616" s="89">
        <v>148.04999999999995</v>
      </c>
      <c r="J616" s="125">
        <v>69.184375000000003</v>
      </c>
      <c r="K616" s="230">
        <v>372.63979639056009</v>
      </c>
    </row>
    <row r="617" spans="1:11" x14ac:dyDescent="0.3">
      <c r="A617" s="88" t="s">
        <v>481</v>
      </c>
      <c r="B617" s="24">
        <v>39697</v>
      </c>
      <c r="C617" s="32">
        <v>6.4917415471459021</v>
      </c>
      <c r="D617" s="125">
        <v>21</v>
      </c>
      <c r="E617" s="125">
        <v>15.9</v>
      </c>
      <c r="F617" s="126">
        <v>9.9700000000000077</v>
      </c>
      <c r="G617" s="126"/>
      <c r="H617" s="126">
        <f t="shared" si="9"/>
        <v>1.8072967155190105</v>
      </c>
      <c r="I617" s="89">
        <v>192.14999999999998</v>
      </c>
      <c r="J617" s="125">
        <v>79.986458333333388</v>
      </c>
      <c r="K617" s="230">
        <v>375.79699907663934</v>
      </c>
    </row>
    <row r="618" spans="1:11" x14ac:dyDescent="0.3">
      <c r="A618" s="88" t="s">
        <v>481</v>
      </c>
      <c r="B618" s="24">
        <v>39698</v>
      </c>
      <c r="C618" s="32">
        <v>16.151503369621565</v>
      </c>
      <c r="D618" s="125">
        <v>21</v>
      </c>
      <c r="E618" s="125">
        <v>14.9</v>
      </c>
      <c r="F618" s="126">
        <v>0</v>
      </c>
      <c r="G618" s="126"/>
      <c r="H618" s="126">
        <f t="shared" si="9"/>
        <v>1.6949528505265632</v>
      </c>
      <c r="I618" s="89">
        <v>199.70999999999998</v>
      </c>
      <c r="J618" s="125">
        <v>68.14166666666668</v>
      </c>
      <c r="K618" s="230">
        <v>372.69305361305339</v>
      </c>
    </row>
    <row r="619" spans="1:11" x14ac:dyDescent="0.3">
      <c r="A619" s="88" t="s">
        <v>481</v>
      </c>
      <c r="B619" s="24">
        <v>39699</v>
      </c>
      <c r="C619" s="32">
        <v>9.7587624560797188</v>
      </c>
      <c r="D619" s="125">
        <v>19.3</v>
      </c>
      <c r="E619" s="125">
        <v>12</v>
      </c>
      <c r="F619" s="126">
        <v>0.27</v>
      </c>
      <c r="G619" s="126"/>
      <c r="H619" s="126">
        <f t="shared" si="9"/>
        <v>1.4030231277532583</v>
      </c>
      <c r="I619" s="89">
        <v>194.03999999999996</v>
      </c>
      <c r="J619" s="125">
        <v>75.303124999999994</v>
      </c>
      <c r="K619" s="230">
        <v>375.02775472568004</v>
      </c>
    </row>
    <row r="620" spans="1:11" x14ac:dyDescent="0.3">
      <c r="A620" s="88" t="s">
        <v>481</v>
      </c>
      <c r="B620" s="24">
        <v>39700</v>
      </c>
      <c r="C620" s="32">
        <v>18.27731697482864</v>
      </c>
      <c r="D620" s="125">
        <v>24.1</v>
      </c>
      <c r="E620" s="125">
        <v>10.8</v>
      </c>
      <c r="F620" s="126">
        <v>0</v>
      </c>
      <c r="G620" s="126"/>
      <c r="H620" s="126">
        <f t="shared" si="9"/>
        <v>1.2957882396636844</v>
      </c>
      <c r="I620" s="89">
        <v>135.45000000000005</v>
      </c>
      <c r="J620" s="125">
        <v>66.080208333333346</v>
      </c>
      <c r="K620" s="230">
        <v>380.04582382473728</v>
      </c>
    </row>
    <row r="621" spans="1:11" x14ac:dyDescent="0.3">
      <c r="A621" s="88" t="s">
        <v>481</v>
      </c>
      <c r="B621" s="24">
        <v>39701</v>
      </c>
      <c r="C621" s="32">
        <v>12.119477564656414</v>
      </c>
      <c r="D621" s="125">
        <v>23.2</v>
      </c>
      <c r="E621" s="125">
        <v>13.9</v>
      </c>
      <c r="F621" s="126">
        <v>0</v>
      </c>
      <c r="G621" s="126"/>
      <c r="H621" s="126">
        <f t="shared" si="9"/>
        <v>1.5887804036720876</v>
      </c>
      <c r="I621" s="89">
        <v>157.94999999999999</v>
      </c>
      <c r="J621" s="125">
        <v>73.041666666666643</v>
      </c>
      <c r="K621" s="230">
        <v>387.23142241379389</v>
      </c>
    </row>
    <row r="622" spans="1:11" x14ac:dyDescent="0.3">
      <c r="A622" s="88" t="s">
        <v>481</v>
      </c>
      <c r="B622" s="24">
        <v>39702</v>
      </c>
      <c r="C622" s="32">
        <v>14.051789931455561</v>
      </c>
      <c r="D622" s="125">
        <v>24.5</v>
      </c>
      <c r="E622" s="125">
        <v>13.6</v>
      </c>
      <c r="F622" s="126">
        <v>0</v>
      </c>
      <c r="G622" s="126"/>
      <c r="H622" s="126">
        <f t="shared" si="9"/>
        <v>1.55808835361568</v>
      </c>
      <c r="I622" s="89">
        <v>176.31</v>
      </c>
      <c r="J622" s="125">
        <v>75</v>
      </c>
      <c r="K622" s="230">
        <v>400.66526066350582</v>
      </c>
    </row>
    <row r="623" spans="1:11" x14ac:dyDescent="0.3">
      <c r="A623" s="88" t="s">
        <v>481</v>
      </c>
      <c r="B623" s="24">
        <v>39703</v>
      </c>
      <c r="C623" s="32">
        <v>15.810401186567596</v>
      </c>
      <c r="D623" s="125">
        <v>21.1</v>
      </c>
      <c r="E623" s="125">
        <v>12.8</v>
      </c>
      <c r="F623" s="126">
        <v>0</v>
      </c>
      <c r="G623" s="126"/>
      <c r="H623" s="126">
        <f t="shared" si="9"/>
        <v>1.4787721750550831</v>
      </c>
      <c r="I623" s="89">
        <v>422.01000000000005</v>
      </c>
      <c r="J623" s="125">
        <v>73.82708333333332</v>
      </c>
      <c r="K623" s="230">
        <v>378.94578436382193</v>
      </c>
    </row>
    <row r="624" spans="1:11" x14ac:dyDescent="0.3">
      <c r="A624" s="88" t="s">
        <v>481</v>
      </c>
      <c r="B624" s="24">
        <v>39704</v>
      </c>
      <c r="C624" s="32">
        <v>18.133316053222742</v>
      </c>
      <c r="D624" s="125">
        <v>15.8</v>
      </c>
      <c r="E624" s="125">
        <v>7</v>
      </c>
      <c r="F624" s="126">
        <v>0</v>
      </c>
      <c r="G624" s="126"/>
      <c r="H624" s="126">
        <f t="shared" si="9"/>
        <v>1.0021864739217894</v>
      </c>
      <c r="I624" s="89">
        <v>421.20000000000005</v>
      </c>
      <c r="J624" s="125">
        <v>56.865625000000001</v>
      </c>
      <c r="K624" s="230">
        <v>381.84772854739316</v>
      </c>
    </row>
    <row r="625" spans="1:11" x14ac:dyDescent="0.3">
      <c r="A625" s="88" t="s">
        <v>481</v>
      </c>
      <c r="B625" s="24">
        <v>39705</v>
      </c>
      <c r="C625" s="32">
        <v>9.5904613789528259</v>
      </c>
      <c r="D625" s="125">
        <v>15.3</v>
      </c>
      <c r="E625" s="125">
        <v>5.9</v>
      </c>
      <c r="F625" s="126">
        <v>0.02</v>
      </c>
      <c r="G625" s="126"/>
      <c r="H625" s="126">
        <f t="shared" si="9"/>
        <v>0.92895926237531279</v>
      </c>
      <c r="I625" s="89">
        <v>232.56000000000003</v>
      </c>
      <c r="J625" s="125">
        <v>77.258333333333326</v>
      </c>
      <c r="K625" s="230">
        <v>386.60835214446968</v>
      </c>
    </row>
    <row r="626" spans="1:11" x14ac:dyDescent="0.3">
      <c r="A626" s="88" t="s">
        <v>481</v>
      </c>
      <c r="B626" s="24">
        <v>39706</v>
      </c>
      <c r="C626" s="32">
        <v>6.9120442370831174</v>
      </c>
      <c r="D626" s="125">
        <v>15.1</v>
      </c>
      <c r="E626" s="125">
        <v>6.8</v>
      </c>
      <c r="F626" s="126">
        <v>0</v>
      </c>
      <c r="G626" s="126"/>
      <c r="H626" s="126">
        <f t="shared" si="9"/>
        <v>0.98850615565901678</v>
      </c>
      <c r="I626" s="89">
        <v>166.85999999999999</v>
      </c>
      <c r="J626" s="125">
        <v>76.936458333333292</v>
      </c>
      <c r="K626" s="230">
        <v>385.09909814323561</v>
      </c>
    </row>
    <row r="627" spans="1:11" x14ac:dyDescent="0.3">
      <c r="A627" s="88" t="s">
        <v>481</v>
      </c>
      <c r="B627" s="24">
        <v>39707</v>
      </c>
      <c r="C627" s="32">
        <v>11.482273486550316</v>
      </c>
      <c r="D627" s="125">
        <v>13.8</v>
      </c>
      <c r="E627" s="125">
        <v>8.3000000000000007</v>
      </c>
      <c r="F627" s="126">
        <v>0.125</v>
      </c>
      <c r="G627" s="126"/>
      <c r="H627" s="126">
        <f t="shared" si="9"/>
        <v>1.0952445521994474</v>
      </c>
      <c r="I627" s="89">
        <v>154.71</v>
      </c>
      <c r="J627" s="125">
        <v>74.8</v>
      </c>
      <c r="K627" s="230">
        <v>379.78218417399324</v>
      </c>
    </row>
    <row r="628" spans="1:11" x14ac:dyDescent="0.3">
      <c r="A628" s="88" t="s">
        <v>481</v>
      </c>
      <c r="B628" s="24">
        <v>39708</v>
      </c>
      <c r="C628" s="32">
        <v>10.034164218651</v>
      </c>
      <c r="D628" s="125">
        <v>14.2</v>
      </c>
      <c r="E628" s="125">
        <v>6.1</v>
      </c>
      <c r="F628" s="126">
        <v>0</v>
      </c>
      <c r="G628" s="126"/>
      <c r="H628" s="126">
        <f t="shared" si="9"/>
        <v>0.94191143925241705</v>
      </c>
      <c r="I628" s="89">
        <v>85.950000000000017</v>
      </c>
      <c r="J628" s="125">
        <v>77.547916666666666</v>
      </c>
      <c r="K628" s="230">
        <v>394.13</v>
      </c>
    </row>
    <row r="629" spans="1:11" x14ac:dyDescent="0.3">
      <c r="A629" s="88" t="s">
        <v>481</v>
      </c>
      <c r="B629" s="24">
        <v>39709</v>
      </c>
      <c r="C629" s="32">
        <v>9.9972639824894873</v>
      </c>
      <c r="D629" s="125">
        <v>14.8</v>
      </c>
      <c r="E629" s="125">
        <v>5.4</v>
      </c>
      <c r="F629" s="126">
        <v>5.0000000000000001E-3</v>
      </c>
      <c r="G629" s="126"/>
      <c r="H629" s="126">
        <f t="shared" si="9"/>
        <v>0.8972630930441321</v>
      </c>
      <c r="I629" s="89">
        <v>92.699999999999974</v>
      </c>
      <c r="J629" s="125">
        <v>73.684375000000003</v>
      </c>
      <c r="K629" s="230">
        <v>395.74210259014694</v>
      </c>
    </row>
    <row r="630" spans="1:11" x14ac:dyDescent="0.3">
      <c r="A630" s="88" t="s">
        <v>481</v>
      </c>
      <c r="B630" s="24">
        <v>39710</v>
      </c>
      <c r="C630" s="32">
        <v>12.096077414895456</v>
      </c>
      <c r="D630" s="125">
        <v>15.2</v>
      </c>
      <c r="E630" s="125">
        <v>2.4</v>
      </c>
      <c r="F630" s="126">
        <v>0</v>
      </c>
      <c r="G630" s="126"/>
      <c r="H630" s="126">
        <f t="shared" si="9"/>
        <v>0.7263362808555901</v>
      </c>
      <c r="I630" s="89">
        <v>74.789999999999935</v>
      </c>
      <c r="J630" s="125">
        <v>75.158333333333346</v>
      </c>
      <c r="K630" s="230">
        <v>378.22755417956819</v>
      </c>
    </row>
    <row r="631" spans="1:11" x14ac:dyDescent="0.3">
      <c r="A631" s="88" t="s">
        <v>481</v>
      </c>
      <c r="B631" s="24">
        <v>39711</v>
      </c>
      <c r="C631" s="32">
        <v>13.333585334946143</v>
      </c>
      <c r="D631" s="125">
        <v>16.7</v>
      </c>
      <c r="E631" s="125">
        <v>5.7</v>
      </c>
      <c r="F631" s="126">
        <v>0</v>
      </c>
      <c r="G631" s="126"/>
      <c r="H631" s="126">
        <f t="shared" si="9"/>
        <v>0.91616430843021424</v>
      </c>
      <c r="I631" s="89">
        <v>93.51</v>
      </c>
      <c r="J631" s="125">
        <v>72.53125</v>
      </c>
      <c r="K631" s="230">
        <v>388.62525562372207</v>
      </c>
    </row>
    <row r="632" spans="1:11" x14ac:dyDescent="0.3">
      <c r="A632" s="88" t="s">
        <v>481</v>
      </c>
      <c r="B632" s="24">
        <v>39712</v>
      </c>
      <c r="C632" s="32">
        <v>8.1144519324923685</v>
      </c>
      <c r="D632" s="125">
        <v>17.100000000000001</v>
      </c>
      <c r="E632" s="125">
        <v>7.9</v>
      </c>
      <c r="F632" s="126">
        <v>0.36499999999999999</v>
      </c>
      <c r="G632" s="126"/>
      <c r="H632" s="126">
        <f t="shared" si="9"/>
        <v>1.0658332114824252</v>
      </c>
      <c r="I632" s="89">
        <v>183.60000000000002</v>
      </c>
      <c r="J632" s="125">
        <v>82.509375000000006</v>
      </c>
      <c r="K632" s="230">
        <v>393.60063578565013</v>
      </c>
    </row>
    <row r="633" spans="1:11" x14ac:dyDescent="0.3">
      <c r="A633" s="88" t="s">
        <v>481</v>
      </c>
      <c r="B633" s="24">
        <v>39713</v>
      </c>
      <c r="C633" s="32">
        <v>8.3835536547433911</v>
      </c>
      <c r="D633" s="125">
        <v>15.7</v>
      </c>
      <c r="E633" s="125">
        <v>8.4</v>
      </c>
      <c r="F633" s="126">
        <v>1.44</v>
      </c>
      <c r="G633" s="126"/>
      <c r="H633" s="126">
        <f t="shared" si="9"/>
        <v>1.1027080638918816</v>
      </c>
      <c r="I633" s="89">
        <v>227.78999999999996</v>
      </c>
      <c r="J633" s="125">
        <v>84.535416666666663</v>
      </c>
      <c r="K633" s="230">
        <v>384.72316126084928</v>
      </c>
    </row>
    <row r="634" spans="1:11" x14ac:dyDescent="0.3">
      <c r="A634" s="88" t="s">
        <v>481</v>
      </c>
      <c r="B634" s="24">
        <v>39714</v>
      </c>
      <c r="C634" s="32">
        <v>1.8000115200737283</v>
      </c>
      <c r="D634" s="125">
        <v>12.8</v>
      </c>
      <c r="E634" s="125">
        <v>10.4</v>
      </c>
      <c r="F634" s="126">
        <v>14.455</v>
      </c>
      <c r="G634" s="126"/>
      <c r="H634" s="126">
        <f t="shared" si="9"/>
        <v>1.2616805817680199</v>
      </c>
      <c r="I634" s="89">
        <v>284.13</v>
      </c>
      <c r="J634" s="125">
        <v>96.420833333333277</v>
      </c>
      <c r="K634" s="230">
        <v>391.82259990812986</v>
      </c>
    </row>
    <row r="635" spans="1:11" x14ac:dyDescent="0.3">
      <c r="A635" s="88" t="s">
        <v>481</v>
      </c>
      <c r="B635" s="24">
        <v>39715</v>
      </c>
      <c r="C635" s="32">
        <v>6.115539139450493</v>
      </c>
      <c r="D635" s="125">
        <v>16.399999999999999</v>
      </c>
      <c r="E635" s="125">
        <v>7.9</v>
      </c>
      <c r="F635" s="126">
        <v>0.01</v>
      </c>
      <c r="G635" s="126"/>
      <c r="H635" s="126">
        <f t="shared" si="9"/>
        <v>1.0658332114824252</v>
      </c>
      <c r="I635" s="89">
        <v>229.41</v>
      </c>
      <c r="J635" s="125">
        <v>83.875</v>
      </c>
      <c r="K635" s="230">
        <v>390.29006010171253</v>
      </c>
    </row>
    <row r="636" spans="1:11" x14ac:dyDescent="0.3">
      <c r="A636" s="88" t="s">
        <v>481</v>
      </c>
      <c r="B636" s="24">
        <v>39716</v>
      </c>
      <c r="C636" s="32">
        <v>8.669755486435113</v>
      </c>
      <c r="D636" s="125">
        <v>16.2</v>
      </c>
      <c r="E636" s="125">
        <v>6</v>
      </c>
      <c r="F636" s="126">
        <v>0</v>
      </c>
      <c r="G636" s="126"/>
      <c r="H636" s="126">
        <f t="shared" si="9"/>
        <v>0.93541559507788385</v>
      </c>
      <c r="I636" s="89">
        <v>168.83999999999997</v>
      </c>
      <c r="J636" s="125">
        <v>84.95104166666664</v>
      </c>
      <c r="K636" s="230">
        <v>395.47840856212218</v>
      </c>
    </row>
    <row r="637" spans="1:11" x14ac:dyDescent="0.3">
      <c r="A637" s="88" t="s">
        <v>481</v>
      </c>
      <c r="B637" s="24">
        <v>39717</v>
      </c>
      <c r="C637" s="32">
        <v>5.1183327573296475</v>
      </c>
      <c r="D637" s="125">
        <v>12.4</v>
      </c>
      <c r="E637" s="125">
        <v>4.2</v>
      </c>
      <c r="F637" s="126">
        <v>0.03</v>
      </c>
      <c r="G637" s="126"/>
      <c r="H637" s="126">
        <f t="shared" si="9"/>
        <v>0.82505065566727931</v>
      </c>
      <c r="I637" s="89">
        <v>74.879999999999924</v>
      </c>
      <c r="J637" s="125">
        <v>95.438541666666652</v>
      </c>
      <c r="K637" s="230">
        <v>394.22136115250936</v>
      </c>
    </row>
    <row r="638" spans="1:11" x14ac:dyDescent="0.3">
      <c r="A638" s="88" t="s">
        <v>481</v>
      </c>
      <c r="B638" s="24">
        <v>39718</v>
      </c>
      <c r="C638" s="32">
        <v>13.642287310638789</v>
      </c>
      <c r="D638" s="125">
        <v>17.100000000000001</v>
      </c>
      <c r="E638" s="125">
        <v>3.8</v>
      </c>
      <c r="F638" s="126">
        <v>3.5000000000000003E-2</v>
      </c>
      <c r="G638" s="126"/>
      <c r="H638" s="126">
        <f t="shared" si="9"/>
        <v>0.80214634758046521</v>
      </c>
      <c r="I638" s="89">
        <v>89.999999999999986</v>
      </c>
      <c r="J638" s="125">
        <v>85.962500000000006</v>
      </c>
      <c r="K638" s="230">
        <v>384.10713881019848</v>
      </c>
    </row>
    <row r="639" spans="1:11" x14ac:dyDescent="0.3">
      <c r="A639" s="88" t="s">
        <v>481</v>
      </c>
      <c r="B639" s="24">
        <v>39719</v>
      </c>
      <c r="C639" s="32">
        <v>13.041083462934163</v>
      </c>
      <c r="D639" s="125">
        <v>17.399999999999999</v>
      </c>
      <c r="E639" s="125">
        <v>7.7</v>
      </c>
      <c r="F639" s="126">
        <v>0</v>
      </c>
      <c r="G639" s="126"/>
      <c r="H639" s="126">
        <f t="shared" si="9"/>
        <v>1.0513900110721115</v>
      </c>
      <c r="I639" s="89">
        <v>211.77</v>
      </c>
      <c r="J639" s="125">
        <v>78.13333333333334</v>
      </c>
      <c r="K639" s="230">
        <v>380.62482269503693</v>
      </c>
    </row>
    <row r="640" spans="1:11" x14ac:dyDescent="0.3">
      <c r="A640" s="88" t="s">
        <v>481</v>
      </c>
      <c r="B640" s="24">
        <v>39720</v>
      </c>
      <c r="C640" s="32">
        <v>5.1390328898104949</v>
      </c>
      <c r="D640" s="125">
        <v>14</v>
      </c>
      <c r="E640" s="125">
        <v>9.9</v>
      </c>
      <c r="F640" s="126">
        <v>0.66</v>
      </c>
      <c r="G640" s="126"/>
      <c r="H640" s="126">
        <f t="shared" si="9"/>
        <v>1.2201575987481763</v>
      </c>
      <c r="I640" s="89">
        <v>171.00000000000009</v>
      </c>
      <c r="J640" s="125">
        <v>86.743750000000006</v>
      </c>
      <c r="K640" s="230">
        <v>381.87075208913535</v>
      </c>
    </row>
    <row r="641" spans="1:10" x14ac:dyDescent="0.3">
      <c r="A641" s="88" t="s">
        <v>481</v>
      </c>
      <c r="B641" s="24">
        <v>39721</v>
      </c>
      <c r="C641" s="32">
        <v>4.5873293589078967</v>
      </c>
      <c r="D641" s="125">
        <v>10.9</v>
      </c>
      <c r="E641" s="125">
        <v>8</v>
      </c>
      <c r="F641" s="126">
        <v>4.4050000000000002</v>
      </c>
      <c r="G641" s="126"/>
      <c r="H641" s="126">
        <f t="shared" si="9"/>
        <v>1.0731200926872433</v>
      </c>
      <c r="I641" s="89">
        <v>289.70999999999998</v>
      </c>
      <c r="J641" s="125">
        <v>88.462500000000006</v>
      </c>
    </row>
    <row r="642" spans="1:10" x14ac:dyDescent="0.3">
      <c r="A642" s="88" t="s">
        <v>481</v>
      </c>
      <c r="B642" s="24">
        <v>39722</v>
      </c>
      <c r="C642" s="32">
        <v>3.4695222049421117</v>
      </c>
      <c r="D642" s="125">
        <v>14.7</v>
      </c>
      <c r="E642" s="125">
        <v>8.6999999999999993</v>
      </c>
      <c r="F642" s="126">
        <v>17.41</v>
      </c>
      <c r="G642" s="126"/>
      <c r="H642" s="126">
        <f t="shared" si="9"/>
        <v>1.1253678644990226</v>
      </c>
      <c r="I642" s="89">
        <v>408.33000000000015</v>
      </c>
      <c r="J642" s="125">
        <v>89.021874999999994</v>
      </c>
    </row>
    <row r="643" spans="1:10" x14ac:dyDescent="0.3">
      <c r="A643" s="88" t="s">
        <v>481</v>
      </c>
      <c r="B643" s="24">
        <v>39723</v>
      </c>
      <c r="C643" s="32">
        <v>9.2610592707793327</v>
      </c>
      <c r="D643" s="125">
        <v>13.6</v>
      </c>
      <c r="E643" s="125">
        <v>6.6</v>
      </c>
      <c r="F643" s="126">
        <v>0.52</v>
      </c>
      <c r="G643" s="126"/>
      <c r="H643" s="126">
        <f t="shared" si="9"/>
        <v>0.97499060249070812</v>
      </c>
      <c r="I643" s="89">
        <v>388.26000000000005</v>
      </c>
      <c r="J643" s="125">
        <v>69.974999999999994</v>
      </c>
    </row>
    <row r="644" spans="1:10" x14ac:dyDescent="0.3">
      <c r="A644" s="88" t="s">
        <v>481</v>
      </c>
      <c r="B644" s="24">
        <v>39724</v>
      </c>
      <c r="C644" s="32">
        <v>10.707368527158573</v>
      </c>
      <c r="D644" s="125">
        <v>13</v>
      </c>
      <c r="E644" s="125">
        <v>4.8</v>
      </c>
      <c r="F644" s="126">
        <v>0.46500000000000002</v>
      </c>
      <c r="G644" s="126"/>
      <c r="H644" s="126">
        <f t="shared" ref="H644:H707" si="10">0.611*EXP((17.27*E644)/(E644+237.3))</f>
        <v>0.86048907931200158</v>
      </c>
      <c r="I644" s="89">
        <v>246.05999999999995</v>
      </c>
      <c r="J644" s="125">
        <v>73.997916666666683</v>
      </c>
    </row>
    <row r="645" spans="1:10" x14ac:dyDescent="0.3">
      <c r="A645" s="88" t="s">
        <v>481</v>
      </c>
      <c r="B645" s="24">
        <v>39725</v>
      </c>
      <c r="C645" s="32">
        <v>8.0604515868901565</v>
      </c>
      <c r="D645" s="125">
        <v>11.1</v>
      </c>
      <c r="E645" s="125">
        <v>4.3</v>
      </c>
      <c r="F645" s="126">
        <v>0.3</v>
      </c>
      <c r="G645" s="126"/>
      <c r="H645" s="126">
        <f t="shared" si="10"/>
        <v>0.83086609768035358</v>
      </c>
      <c r="I645" s="89">
        <v>248.94</v>
      </c>
      <c r="J645" s="125">
        <v>76.270833333333314</v>
      </c>
    </row>
    <row r="646" spans="1:10" x14ac:dyDescent="0.3">
      <c r="A646" s="88" t="s">
        <v>481</v>
      </c>
      <c r="B646" s="24">
        <v>39726</v>
      </c>
      <c r="C646" s="32">
        <v>3.2940210817349231</v>
      </c>
      <c r="D646" s="125">
        <v>12</v>
      </c>
      <c r="E646" s="125">
        <v>6.8</v>
      </c>
      <c r="F646" s="126">
        <v>6.1349999999999998</v>
      </c>
      <c r="G646" s="126"/>
      <c r="H646" s="126">
        <f t="shared" si="10"/>
        <v>0.98850615565901678</v>
      </c>
      <c r="I646" s="89">
        <v>354.24</v>
      </c>
      <c r="J646" s="125">
        <v>76.368750000000006</v>
      </c>
    </row>
    <row r="647" spans="1:10" x14ac:dyDescent="0.3">
      <c r="A647" s="88" t="s">
        <v>481</v>
      </c>
      <c r="B647" s="24">
        <v>39727</v>
      </c>
      <c r="C647" s="32">
        <v>4.7592304590749386</v>
      </c>
      <c r="D647" s="125">
        <v>13.9</v>
      </c>
      <c r="E647" s="125">
        <v>9.6</v>
      </c>
      <c r="F647" s="126">
        <v>2.38</v>
      </c>
      <c r="G647" s="126"/>
      <c r="H647" s="126">
        <f t="shared" si="10"/>
        <v>1.1958248668287446</v>
      </c>
      <c r="I647" s="89">
        <v>51.300000000000004</v>
      </c>
      <c r="J647" s="125">
        <v>91.655208333333363</v>
      </c>
    </row>
    <row r="648" spans="1:10" x14ac:dyDescent="0.3">
      <c r="A648" s="88" t="s">
        <v>481</v>
      </c>
      <c r="B648" s="24">
        <v>39728</v>
      </c>
      <c r="C648" s="32">
        <v>6.0156385000864008</v>
      </c>
      <c r="D648" s="125">
        <v>17</v>
      </c>
      <c r="E648" s="125">
        <v>11</v>
      </c>
      <c r="F648" s="126">
        <v>5.0000000000000001E-3</v>
      </c>
      <c r="G648" s="126"/>
      <c r="H648" s="126">
        <f t="shared" si="10"/>
        <v>1.313143973467028</v>
      </c>
      <c r="I648" s="89">
        <v>145.71000000000004</v>
      </c>
      <c r="J648" s="125">
        <v>86.582291666666677</v>
      </c>
    </row>
    <row r="649" spans="1:10" x14ac:dyDescent="0.3">
      <c r="A649" s="88" t="s">
        <v>481</v>
      </c>
      <c r="B649" s="24">
        <v>39729</v>
      </c>
      <c r="C649" s="32">
        <v>9.6651618570358853</v>
      </c>
      <c r="D649" s="125">
        <v>20</v>
      </c>
      <c r="E649" s="125">
        <v>11.9</v>
      </c>
      <c r="F649" s="126">
        <v>0.115</v>
      </c>
      <c r="G649" s="126"/>
      <c r="H649" s="126">
        <f t="shared" si="10"/>
        <v>1.3937984130245886</v>
      </c>
      <c r="I649" s="89">
        <v>167.67000000000002</v>
      </c>
      <c r="J649" s="125">
        <v>82.809375000000003</v>
      </c>
    </row>
    <row r="650" spans="1:10" x14ac:dyDescent="0.3">
      <c r="A650" s="88" t="s">
        <v>481</v>
      </c>
      <c r="B650" s="24">
        <v>39730</v>
      </c>
      <c r="C650" s="32">
        <v>5.6133359253499222</v>
      </c>
      <c r="D650" s="125">
        <v>15.3</v>
      </c>
      <c r="E650" s="125">
        <v>7.5</v>
      </c>
      <c r="F650" s="126">
        <v>0.04</v>
      </c>
      <c r="G650" s="126"/>
      <c r="H650" s="126">
        <f t="shared" si="10"/>
        <v>1.0371194102680934</v>
      </c>
      <c r="I650" s="89">
        <v>172.17000000000007</v>
      </c>
      <c r="J650" s="125">
        <v>87.211458333333312</v>
      </c>
    </row>
    <row r="651" spans="1:10" x14ac:dyDescent="0.3">
      <c r="A651" s="88" t="s">
        <v>481</v>
      </c>
      <c r="B651" s="24">
        <v>39731</v>
      </c>
      <c r="C651" s="32">
        <v>10.403166580266113</v>
      </c>
      <c r="D651" s="125">
        <v>16.100000000000001</v>
      </c>
      <c r="E651" s="125">
        <v>5.8</v>
      </c>
      <c r="F651" s="126">
        <v>0.01</v>
      </c>
      <c r="G651" s="126"/>
      <c r="H651" s="126">
        <f t="shared" si="10"/>
        <v>0.92254223518646628</v>
      </c>
      <c r="I651" s="89">
        <v>127.25999999999996</v>
      </c>
      <c r="J651" s="125">
        <v>82.1875</v>
      </c>
    </row>
    <row r="652" spans="1:10" x14ac:dyDescent="0.3">
      <c r="A652" s="88" t="s">
        <v>481</v>
      </c>
      <c r="B652" s="24">
        <v>39732</v>
      </c>
      <c r="C652" s="32">
        <v>10.349166234663903</v>
      </c>
      <c r="D652" s="125">
        <v>18.5</v>
      </c>
      <c r="E652" s="125">
        <v>10</v>
      </c>
      <c r="F652" s="126">
        <v>0</v>
      </c>
      <c r="G652" s="126"/>
      <c r="H652" s="126">
        <f t="shared" si="10"/>
        <v>1.2283647027117881</v>
      </c>
      <c r="I652" s="89">
        <v>149.94</v>
      </c>
      <c r="J652" s="125">
        <v>83.90625</v>
      </c>
    </row>
    <row r="653" spans="1:10" x14ac:dyDescent="0.3">
      <c r="A653" s="88" t="s">
        <v>481</v>
      </c>
      <c r="B653" s="24">
        <v>39733</v>
      </c>
      <c r="C653" s="32">
        <v>6.2748401589770175</v>
      </c>
      <c r="D653" s="125">
        <v>16</v>
      </c>
      <c r="E653" s="125">
        <v>7.3</v>
      </c>
      <c r="F653" s="126">
        <v>0</v>
      </c>
      <c r="G653" s="126"/>
      <c r="H653" s="126">
        <f t="shared" si="10"/>
        <v>1.0230196423808093</v>
      </c>
      <c r="I653" s="89">
        <v>163.44000000000008</v>
      </c>
      <c r="J653" s="125">
        <v>86.651041666666643</v>
      </c>
    </row>
    <row r="654" spans="1:10" x14ac:dyDescent="0.3">
      <c r="A654" s="88" t="s">
        <v>481</v>
      </c>
      <c r="B654" s="24">
        <v>39734</v>
      </c>
      <c r="C654" s="32">
        <v>9.8604631069638842</v>
      </c>
      <c r="D654" s="125">
        <v>19.8</v>
      </c>
      <c r="E654" s="125">
        <v>6.6</v>
      </c>
      <c r="F654" s="126">
        <v>0</v>
      </c>
      <c r="G654" s="126"/>
      <c r="H654" s="126">
        <f t="shared" si="10"/>
        <v>0.97499060249070812</v>
      </c>
      <c r="I654" s="89">
        <v>136.44</v>
      </c>
      <c r="J654" s="125">
        <v>82.441666666666663</v>
      </c>
    </row>
    <row r="655" spans="1:10" x14ac:dyDescent="0.3">
      <c r="A655" s="88" t="s">
        <v>481</v>
      </c>
      <c r="B655" s="24">
        <v>39735</v>
      </c>
      <c r="C655" s="32">
        <v>5.1255328034099419</v>
      </c>
      <c r="D655" s="125">
        <v>16.5</v>
      </c>
      <c r="E655" s="125">
        <v>10.3</v>
      </c>
      <c r="F655" s="126">
        <v>3.5000000000000003E-2</v>
      </c>
      <c r="G655" s="126"/>
      <c r="H655" s="126">
        <f t="shared" si="10"/>
        <v>1.2532780017936267</v>
      </c>
      <c r="I655" s="89">
        <v>235.17000000000002</v>
      </c>
      <c r="J655" s="125">
        <v>81.221874999999997</v>
      </c>
    </row>
    <row r="656" spans="1:10" x14ac:dyDescent="0.3">
      <c r="A656" s="88" t="s">
        <v>481</v>
      </c>
      <c r="B656" s="24">
        <v>39736</v>
      </c>
      <c r="C656" s="32">
        <v>5.501735211105351</v>
      </c>
      <c r="D656" s="125">
        <v>16.3</v>
      </c>
      <c r="E656" s="125">
        <v>10</v>
      </c>
      <c r="F656" s="126">
        <v>0.56999999999999995</v>
      </c>
      <c r="G656" s="126"/>
      <c r="H656" s="126">
        <f t="shared" si="10"/>
        <v>1.2283647027117881</v>
      </c>
      <c r="I656" s="89">
        <v>183.14999999999998</v>
      </c>
      <c r="J656" s="125">
        <v>78.769791666666663</v>
      </c>
    </row>
    <row r="657" spans="1:10" x14ac:dyDescent="0.3">
      <c r="A657" s="88" t="s">
        <v>481</v>
      </c>
      <c r="B657" s="24">
        <v>39737</v>
      </c>
      <c r="C657" s="32">
        <v>3.5658228212660563</v>
      </c>
      <c r="D657" s="125">
        <v>13.6</v>
      </c>
      <c r="E657" s="125">
        <v>6.4</v>
      </c>
      <c r="F657" s="126">
        <v>4.5149999999999997</v>
      </c>
      <c r="G657" s="126"/>
      <c r="H657" s="126">
        <f t="shared" si="10"/>
        <v>0.96163811340513428</v>
      </c>
      <c r="I657" s="89">
        <v>327.42000000000007</v>
      </c>
      <c r="J657" s="125">
        <v>85.24166666666666</v>
      </c>
    </row>
    <row r="658" spans="1:10" x14ac:dyDescent="0.3">
      <c r="A658" s="88" t="s">
        <v>481</v>
      </c>
      <c r="B658" s="24">
        <v>39738</v>
      </c>
      <c r="C658" s="32">
        <v>7.3044467484591911</v>
      </c>
      <c r="D658" s="125">
        <v>12.4</v>
      </c>
      <c r="E658" s="125">
        <v>6.1</v>
      </c>
      <c r="F658" s="126">
        <v>0.38500000000000001</v>
      </c>
      <c r="G658" s="126"/>
      <c r="H658" s="126">
        <f t="shared" si="10"/>
        <v>0.94191143925241705</v>
      </c>
      <c r="I658" s="89">
        <v>416.34000000000003</v>
      </c>
      <c r="J658" s="125">
        <v>79.929166666666674</v>
      </c>
    </row>
    <row r="659" spans="1:10" x14ac:dyDescent="0.3">
      <c r="A659" s="88" t="s">
        <v>481</v>
      </c>
      <c r="B659" s="24">
        <v>39739</v>
      </c>
      <c r="C659" s="32">
        <v>6.781543401877772</v>
      </c>
      <c r="D659" s="125">
        <v>12.4</v>
      </c>
      <c r="E659" s="125">
        <v>5.9</v>
      </c>
      <c r="F659" s="126">
        <v>0</v>
      </c>
      <c r="G659" s="126"/>
      <c r="H659" s="126">
        <f t="shared" si="10"/>
        <v>0.92895926237531279</v>
      </c>
      <c r="I659" s="89">
        <v>191.43000000000004</v>
      </c>
      <c r="J659" s="125">
        <v>78.930208333333312</v>
      </c>
    </row>
    <row r="660" spans="1:10" x14ac:dyDescent="0.3">
      <c r="A660" s="88" t="s">
        <v>481</v>
      </c>
      <c r="B660" s="24">
        <v>39740</v>
      </c>
      <c r="C660" s="32">
        <v>5.7438367605552685</v>
      </c>
      <c r="D660" s="125">
        <v>13.4</v>
      </c>
      <c r="E660" s="125">
        <v>7.1</v>
      </c>
      <c r="F660" s="126">
        <v>5.0000000000000001E-3</v>
      </c>
      <c r="G660" s="126"/>
      <c r="H660" s="126">
        <f t="shared" si="10"/>
        <v>1.0090889554747804</v>
      </c>
      <c r="I660" s="89">
        <v>246.96000000000006</v>
      </c>
      <c r="J660" s="125">
        <v>77.757291666666674</v>
      </c>
    </row>
    <row r="661" spans="1:10" x14ac:dyDescent="0.3">
      <c r="A661" s="88" t="s">
        <v>481</v>
      </c>
      <c r="B661" s="24">
        <v>39741</v>
      </c>
      <c r="C661" s="32">
        <v>10.026964172570704</v>
      </c>
      <c r="D661" s="125">
        <v>16.2</v>
      </c>
      <c r="E661" s="125">
        <v>7.9</v>
      </c>
      <c r="F661" s="126">
        <v>0.03</v>
      </c>
      <c r="G661" s="126"/>
      <c r="H661" s="126">
        <f t="shared" si="10"/>
        <v>1.0658332114824252</v>
      </c>
      <c r="I661" s="89">
        <v>226.07999999999998</v>
      </c>
      <c r="J661" s="125">
        <v>66.694791666666688</v>
      </c>
    </row>
    <row r="662" spans="1:10" x14ac:dyDescent="0.3">
      <c r="A662" s="88" t="s">
        <v>481</v>
      </c>
      <c r="B662" s="24">
        <v>39742</v>
      </c>
      <c r="C662" s="32">
        <v>1.5462098957433328</v>
      </c>
      <c r="D662" s="125">
        <v>16.899999999999999</v>
      </c>
      <c r="E662" s="125">
        <v>9.1999999999999993</v>
      </c>
      <c r="F662" s="126">
        <v>4.0949999999999998</v>
      </c>
      <c r="G662" s="126"/>
      <c r="H662" s="126">
        <f t="shared" si="10"/>
        <v>1.16404559315309</v>
      </c>
      <c r="I662" s="89">
        <v>252.71999999999997</v>
      </c>
      <c r="J662" s="125">
        <v>84.21875</v>
      </c>
    </row>
    <row r="663" spans="1:10" x14ac:dyDescent="0.3">
      <c r="A663" s="88" t="s">
        <v>481</v>
      </c>
      <c r="B663" s="24">
        <v>39743</v>
      </c>
      <c r="C663" s="32">
        <v>4.1859267899314556</v>
      </c>
      <c r="D663" s="125">
        <v>11.1</v>
      </c>
      <c r="E663" s="125">
        <v>6</v>
      </c>
      <c r="F663" s="126">
        <v>0</v>
      </c>
      <c r="G663" s="126"/>
      <c r="H663" s="126">
        <f t="shared" si="10"/>
        <v>0.93541559507788385</v>
      </c>
      <c r="I663" s="89">
        <v>133.56</v>
      </c>
      <c r="J663" s="125">
        <v>83.564583333333374</v>
      </c>
    </row>
    <row r="664" spans="1:10" x14ac:dyDescent="0.3">
      <c r="A664" s="88" t="s">
        <v>481</v>
      </c>
      <c r="B664" s="24">
        <v>39744</v>
      </c>
      <c r="C664" s="32">
        <v>8.1135519267323311</v>
      </c>
      <c r="D664" s="125">
        <v>11.9</v>
      </c>
      <c r="E664" s="125">
        <v>4.7</v>
      </c>
      <c r="F664" s="126">
        <v>0</v>
      </c>
      <c r="G664" s="126"/>
      <c r="H664" s="126">
        <f t="shared" si="10"/>
        <v>0.85449106840682587</v>
      </c>
      <c r="I664" s="89">
        <v>170.28000000000003</v>
      </c>
      <c r="J664" s="125">
        <v>80.947916666666671</v>
      </c>
    </row>
    <row r="665" spans="1:10" x14ac:dyDescent="0.3">
      <c r="A665" s="88" t="s">
        <v>481</v>
      </c>
      <c r="B665" s="24">
        <v>39745</v>
      </c>
      <c r="C665" s="32">
        <v>7.8246500777604977</v>
      </c>
      <c r="D665" s="125">
        <v>12.5</v>
      </c>
      <c r="E665" s="125">
        <v>4.3</v>
      </c>
      <c r="F665" s="126">
        <v>0</v>
      </c>
      <c r="G665" s="126"/>
      <c r="H665" s="126">
        <f t="shared" si="10"/>
        <v>0.83086609768035358</v>
      </c>
      <c r="I665" s="89">
        <v>158.94000000000003</v>
      </c>
      <c r="J665" s="125">
        <v>70.790625000000006</v>
      </c>
    </row>
    <row r="666" spans="1:10" x14ac:dyDescent="0.3">
      <c r="A666" s="88" t="s">
        <v>481</v>
      </c>
      <c r="B666" s="24">
        <v>39746</v>
      </c>
      <c r="C666" s="32">
        <v>4.0599259835262949</v>
      </c>
      <c r="D666" s="125">
        <v>13.1</v>
      </c>
      <c r="E666" s="125">
        <v>8.9</v>
      </c>
      <c r="F666" s="126">
        <v>5.5E-2</v>
      </c>
      <c r="G666" s="126"/>
      <c r="H666" s="126">
        <f t="shared" si="10"/>
        <v>1.1407010860938473</v>
      </c>
      <c r="I666" s="89">
        <v>122.04000000000002</v>
      </c>
      <c r="J666" s="125">
        <v>88.045833333333334</v>
      </c>
    </row>
    <row r="667" spans="1:10" x14ac:dyDescent="0.3">
      <c r="A667" s="88" t="s">
        <v>481</v>
      </c>
      <c r="B667" s="24">
        <v>39747</v>
      </c>
      <c r="C667" s="32">
        <v>4.0005256033638616</v>
      </c>
      <c r="D667" s="125">
        <v>14.7</v>
      </c>
      <c r="E667" s="125">
        <v>8.6999999999999993</v>
      </c>
      <c r="F667" s="126">
        <v>0</v>
      </c>
      <c r="G667" s="126"/>
      <c r="H667" s="126">
        <f t="shared" si="10"/>
        <v>1.1253678644990226</v>
      </c>
      <c r="I667" s="89">
        <v>307.8900000000001</v>
      </c>
      <c r="J667" s="125">
        <v>68.709374999999994</v>
      </c>
    </row>
    <row r="668" spans="1:10" x14ac:dyDescent="0.3">
      <c r="A668" s="88" t="s">
        <v>481</v>
      </c>
      <c r="B668" s="24">
        <v>39748</v>
      </c>
      <c r="C668" s="32">
        <v>1.5606099879039226</v>
      </c>
      <c r="D668" s="125">
        <v>11.4</v>
      </c>
      <c r="E668" s="125">
        <v>4.7</v>
      </c>
      <c r="F668" s="126">
        <v>4.91</v>
      </c>
      <c r="G668" s="126"/>
      <c r="H668" s="126">
        <f t="shared" si="10"/>
        <v>0.85449106840682587</v>
      </c>
      <c r="I668" s="89">
        <v>167.21999999999997</v>
      </c>
      <c r="J668" s="125">
        <v>92.39270833333336</v>
      </c>
    </row>
    <row r="669" spans="1:10" x14ac:dyDescent="0.3">
      <c r="A669" s="88" t="s">
        <v>481</v>
      </c>
      <c r="B669" s="24">
        <v>39749</v>
      </c>
      <c r="C669" s="32">
        <v>4.6026294568285238</v>
      </c>
      <c r="D669" s="125">
        <v>8.6</v>
      </c>
      <c r="E669" s="125">
        <v>3.2</v>
      </c>
      <c r="F669" s="126">
        <v>5.0000000000000001E-3</v>
      </c>
      <c r="G669" s="126"/>
      <c r="H669" s="126">
        <f t="shared" si="10"/>
        <v>0.76884154961442475</v>
      </c>
      <c r="I669" s="89">
        <v>125.37000000000003</v>
      </c>
      <c r="J669" s="125">
        <v>85.509375000000006</v>
      </c>
    </row>
    <row r="670" spans="1:10" x14ac:dyDescent="0.3">
      <c r="A670" s="88" t="s">
        <v>481</v>
      </c>
      <c r="B670" s="24">
        <v>39750</v>
      </c>
      <c r="C670" s="32">
        <v>4.7961306952364495</v>
      </c>
      <c r="D670" s="125">
        <v>6.8</v>
      </c>
      <c r="E670" s="125">
        <v>1.7</v>
      </c>
      <c r="F670" s="126">
        <v>0</v>
      </c>
      <c r="G670" s="126"/>
      <c r="H670" s="126">
        <f t="shared" si="10"/>
        <v>0.69086052853268343</v>
      </c>
      <c r="I670" s="89">
        <v>66.87</v>
      </c>
      <c r="J670" s="125">
        <v>89.795833333333348</v>
      </c>
    </row>
    <row r="671" spans="1:10" x14ac:dyDescent="0.3">
      <c r="A671" s="88" t="s">
        <v>481</v>
      </c>
      <c r="B671" s="24">
        <v>39751</v>
      </c>
      <c r="C671" s="32">
        <v>0.63450406082598931</v>
      </c>
      <c r="D671" s="125">
        <v>3.7</v>
      </c>
      <c r="E671" s="125">
        <v>2.7</v>
      </c>
      <c r="F671" s="126">
        <v>13.85</v>
      </c>
      <c r="G671" s="126"/>
      <c r="H671" s="126">
        <f t="shared" si="10"/>
        <v>0.74202613073523482</v>
      </c>
      <c r="I671" s="89">
        <v>232.10999999999993</v>
      </c>
      <c r="J671" s="125">
        <v>94.571875000000006</v>
      </c>
    </row>
    <row r="672" spans="1:10" x14ac:dyDescent="0.3">
      <c r="A672" s="88" t="s">
        <v>481</v>
      </c>
      <c r="B672" s="24">
        <v>39752</v>
      </c>
      <c r="C672" s="32">
        <v>3.3975217441391625</v>
      </c>
      <c r="D672" s="125">
        <v>6.8</v>
      </c>
      <c r="E672" s="125">
        <v>2.6</v>
      </c>
      <c r="F672" s="126">
        <v>1.155</v>
      </c>
      <c r="G672" s="126"/>
      <c r="H672" s="126">
        <f t="shared" si="10"/>
        <v>0.73676325541308207</v>
      </c>
      <c r="I672" s="89">
        <v>161.10000000000002</v>
      </c>
      <c r="J672" s="125">
        <v>87.712500000000006</v>
      </c>
    </row>
    <row r="673" spans="1:10" x14ac:dyDescent="0.3">
      <c r="A673" s="88" t="s">
        <v>481</v>
      </c>
      <c r="B673" s="24">
        <v>39753</v>
      </c>
      <c r="C673" s="32">
        <v>2.3625151200967687</v>
      </c>
      <c r="D673" s="125">
        <v>7.1</v>
      </c>
      <c r="E673" s="125">
        <v>4.4000000000000004</v>
      </c>
      <c r="F673" s="126">
        <v>8.5000000000000006E-2</v>
      </c>
      <c r="G673" s="126"/>
      <c r="H673" s="126">
        <f t="shared" si="10"/>
        <v>0.83671766728803487</v>
      </c>
      <c r="I673" s="89">
        <v>243.72000000000011</v>
      </c>
      <c r="J673" s="125">
        <v>87.208333333333329</v>
      </c>
    </row>
    <row r="674" spans="1:10" x14ac:dyDescent="0.3">
      <c r="A674" s="88" t="s">
        <v>481</v>
      </c>
      <c r="B674" s="24">
        <v>39754</v>
      </c>
      <c r="C674" s="32">
        <v>2.7639176890732098</v>
      </c>
      <c r="D674" s="125">
        <v>7.8</v>
      </c>
      <c r="E674" s="125">
        <v>5.0999999999999996</v>
      </c>
      <c r="F674" s="126">
        <v>0</v>
      </c>
      <c r="G674" s="126"/>
      <c r="H674" s="126">
        <f t="shared" si="10"/>
        <v>0.87870648225166126</v>
      </c>
      <c r="I674" s="89">
        <v>202.14</v>
      </c>
      <c r="J674" s="125">
        <v>95.059374999999946</v>
      </c>
    </row>
    <row r="675" spans="1:10" x14ac:dyDescent="0.3">
      <c r="A675" s="88" t="s">
        <v>481</v>
      </c>
      <c r="B675" s="24">
        <v>39755</v>
      </c>
      <c r="C675" s="32">
        <v>0.86040550659524229</v>
      </c>
      <c r="D675" s="125">
        <v>8.1999999999999993</v>
      </c>
      <c r="E675" s="125">
        <v>5.8</v>
      </c>
      <c r="F675" s="126">
        <v>0</v>
      </c>
      <c r="G675" s="126"/>
      <c r="H675" s="126">
        <f t="shared" si="10"/>
        <v>0.92254223518646628</v>
      </c>
      <c r="I675" s="89">
        <v>268.83000000000004</v>
      </c>
      <c r="J675" s="125">
        <v>98.8</v>
      </c>
    </row>
    <row r="676" spans="1:10" x14ac:dyDescent="0.3">
      <c r="A676" s="88" t="s">
        <v>481</v>
      </c>
      <c r="B676" s="24">
        <v>39756</v>
      </c>
      <c r="C676" s="32">
        <v>1.5228097459823744</v>
      </c>
      <c r="D676" s="125">
        <v>9.1</v>
      </c>
      <c r="E676" s="125">
        <v>7.8</v>
      </c>
      <c r="F676" s="126">
        <v>0</v>
      </c>
      <c r="G676" s="126"/>
      <c r="H676" s="126">
        <f t="shared" si="10"/>
        <v>1.0585899253295545</v>
      </c>
      <c r="I676" s="89">
        <v>97.29000000000002</v>
      </c>
      <c r="J676" s="125">
        <v>96.981250000000003</v>
      </c>
    </row>
    <row r="677" spans="1:10" x14ac:dyDescent="0.3">
      <c r="A677" s="88" t="s">
        <v>481</v>
      </c>
      <c r="B677" s="24">
        <v>39757</v>
      </c>
      <c r="C677" s="32">
        <v>0.63720407810609991</v>
      </c>
      <c r="D677" s="125">
        <v>9.8000000000000007</v>
      </c>
      <c r="E677" s="125">
        <v>8.8000000000000007</v>
      </c>
      <c r="F677" s="126">
        <v>0.27500000000000002</v>
      </c>
      <c r="G677" s="126"/>
      <c r="H677" s="126">
        <f t="shared" si="10"/>
        <v>1.1330116523877718</v>
      </c>
      <c r="I677" s="89">
        <v>303.83999999999997</v>
      </c>
      <c r="J677" s="125">
        <v>95.665624999999935</v>
      </c>
    </row>
    <row r="678" spans="1:10" x14ac:dyDescent="0.3">
      <c r="A678" s="88" t="s">
        <v>481</v>
      </c>
      <c r="B678" s="24">
        <v>39758</v>
      </c>
      <c r="C678" s="32">
        <v>1.690210817349231</v>
      </c>
      <c r="D678" s="125">
        <v>12.2</v>
      </c>
      <c r="E678" s="125">
        <v>9.8000000000000007</v>
      </c>
      <c r="F678" s="126">
        <v>5.0000000000000001E-3</v>
      </c>
      <c r="G678" s="126"/>
      <c r="H678" s="126">
        <f t="shared" si="10"/>
        <v>1.2119987528679013</v>
      </c>
      <c r="I678" s="89">
        <v>113.76000000000008</v>
      </c>
      <c r="J678" s="125">
        <v>93.346874999999997</v>
      </c>
    </row>
    <row r="679" spans="1:10" x14ac:dyDescent="0.3">
      <c r="A679" s="88" t="s">
        <v>481</v>
      </c>
      <c r="B679" s="24">
        <v>39759</v>
      </c>
      <c r="C679" s="32">
        <v>1.3500086400552964</v>
      </c>
      <c r="D679" s="125">
        <v>11.9</v>
      </c>
      <c r="E679" s="125">
        <v>6.6</v>
      </c>
      <c r="F679" s="126">
        <v>0.26500000000000001</v>
      </c>
      <c r="G679" s="126"/>
      <c r="H679" s="126">
        <f t="shared" si="10"/>
        <v>0.97499060249070812</v>
      </c>
      <c r="I679" s="89">
        <v>87.75</v>
      </c>
      <c r="J679" s="125">
        <v>91.974999999999994</v>
      </c>
    </row>
    <row r="680" spans="1:10" x14ac:dyDescent="0.3">
      <c r="A680" s="88" t="s">
        <v>481</v>
      </c>
      <c r="B680" s="24">
        <v>39760</v>
      </c>
      <c r="C680" s="32">
        <v>3.7053237140717701</v>
      </c>
      <c r="D680" s="125">
        <v>11.8</v>
      </c>
      <c r="E680" s="125">
        <v>4.8</v>
      </c>
      <c r="F680" s="126">
        <v>0</v>
      </c>
      <c r="G680" s="126"/>
      <c r="H680" s="126">
        <f t="shared" si="10"/>
        <v>0.86048907931200158</v>
      </c>
      <c r="I680" s="89">
        <v>120.24</v>
      </c>
      <c r="J680" s="125">
        <v>88.629166666666677</v>
      </c>
    </row>
    <row r="681" spans="1:10" x14ac:dyDescent="0.3">
      <c r="A681" s="88" t="s">
        <v>481</v>
      </c>
      <c r="B681" s="24">
        <v>39761</v>
      </c>
      <c r="C681" s="32">
        <v>1.2177077933298772</v>
      </c>
      <c r="D681" s="125">
        <v>11.8</v>
      </c>
      <c r="E681" s="125">
        <v>4.9000000000000004</v>
      </c>
      <c r="F681" s="126">
        <v>0.14499999999999999</v>
      </c>
      <c r="G681" s="126"/>
      <c r="H681" s="126">
        <f t="shared" si="10"/>
        <v>0.86652418747176108</v>
      </c>
      <c r="I681" s="89">
        <v>204.21000000000006</v>
      </c>
      <c r="J681" s="125">
        <v>78.157291666666694</v>
      </c>
    </row>
    <row r="682" spans="1:10" x14ac:dyDescent="0.3">
      <c r="A682" s="88" t="s">
        <v>481</v>
      </c>
      <c r="B682" s="24">
        <v>39762</v>
      </c>
      <c r="C682" s="32">
        <v>3.5631228039859457</v>
      </c>
      <c r="D682" s="125">
        <v>15.4</v>
      </c>
      <c r="E682" s="125">
        <v>8.6999999999999993</v>
      </c>
      <c r="F682" s="126">
        <v>0</v>
      </c>
      <c r="G682" s="126"/>
      <c r="H682" s="126">
        <f t="shared" si="10"/>
        <v>1.1253678644990226</v>
      </c>
      <c r="I682" s="89">
        <v>379.43999999999983</v>
      </c>
      <c r="J682" s="125">
        <v>68.719791666666666</v>
      </c>
    </row>
    <row r="683" spans="1:10" x14ac:dyDescent="0.3">
      <c r="A683" s="88" t="s">
        <v>481</v>
      </c>
      <c r="B683" s="24">
        <v>39763</v>
      </c>
      <c r="C683" s="32">
        <v>2.0610131904844193</v>
      </c>
      <c r="D683" s="125">
        <v>15.7</v>
      </c>
      <c r="E683" s="125">
        <v>8.1</v>
      </c>
      <c r="F683" s="126">
        <v>1.405</v>
      </c>
      <c r="G683" s="126"/>
      <c r="H683" s="126">
        <f t="shared" si="10"/>
        <v>1.080450793034103</v>
      </c>
      <c r="I683" s="89">
        <v>359.19</v>
      </c>
      <c r="J683" s="125">
        <v>64.732291666666711</v>
      </c>
    </row>
    <row r="684" spans="1:10" x14ac:dyDescent="0.3">
      <c r="A684" s="88" t="s">
        <v>481</v>
      </c>
      <c r="B684" s="24">
        <v>39764</v>
      </c>
      <c r="C684" s="32">
        <v>4.2048269108922298</v>
      </c>
      <c r="D684" s="125">
        <v>11</v>
      </c>
      <c r="E684" s="125">
        <v>6.5</v>
      </c>
      <c r="F684" s="126">
        <v>0</v>
      </c>
      <c r="G684" s="126"/>
      <c r="H684" s="126">
        <f t="shared" si="10"/>
        <v>0.96829408068935052</v>
      </c>
      <c r="I684" s="89">
        <v>215.82</v>
      </c>
      <c r="J684" s="125">
        <v>72.70729166666662</v>
      </c>
    </row>
    <row r="685" spans="1:10" x14ac:dyDescent="0.3">
      <c r="A685" s="88" t="s">
        <v>481</v>
      </c>
      <c r="B685" s="24">
        <v>39765</v>
      </c>
      <c r="C685" s="32">
        <v>2.2284142618512761</v>
      </c>
      <c r="D685" s="125">
        <v>9.4</v>
      </c>
      <c r="E685" s="125">
        <v>4.7</v>
      </c>
      <c r="F685" s="126">
        <v>0</v>
      </c>
      <c r="G685" s="126"/>
      <c r="H685" s="126">
        <f t="shared" si="10"/>
        <v>0.85449106840682587</v>
      </c>
      <c r="I685" s="89">
        <v>144.26999999999995</v>
      </c>
      <c r="J685" s="125">
        <v>82.97604166666666</v>
      </c>
    </row>
    <row r="686" spans="1:10" x14ac:dyDescent="0.3">
      <c r="A686" s="88" t="s">
        <v>481</v>
      </c>
      <c r="B686" s="24">
        <v>39766</v>
      </c>
      <c r="C686" s="32">
        <v>1.2024076954092506</v>
      </c>
      <c r="D686" s="125">
        <v>9.3000000000000007</v>
      </c>
      <c r="E686" s="125">
        <v>4</v>
      </c>
      <c r="F686" s="126">
        <v>0.105</v>
      </c>
      <c r="G686" s="126"/>
      <c r="H686" s="126">
        <f t="shared" si="10"/>
        <v>0.81352738957079329</v>
      </c>
      <c r="I686" s="89">
        <v>262.34999999999991</v>
      </c>
      <c r="J686" s="125">
        <v>81.143749999999997</v>
      </c>
    </row>
    <row r="687" spans="1:10" x14ac:dyDescent="0.3">
      <c r="A687" s="88" t="s">
        <v>481</v>
      </c>
      <c r="B687" s="24">
        <v>39767</v>
      </c>
      <c r="C687" s="32">
        <v>0.62550400322562061</v>
      </c>
      <c r="D687" s="125">
        <v>10.9</v>
      </c>
      <c r="E687" s="125">
        <v>8.8000000000000007</v>
      </c>
      <c r="F687" s="126">
        <v>0</v>
      </c>
      <c r="G687" s="126"/>
      <c r="H687" s="126">
        <f t="shared" si="10"/>
        <v>1.1330116523877718</v>
      </c>
      <c r="I687" s="89">
        <v>390.24000000000012</v>
      </c>
      <c r="J687" s="125">
        <v>86.448958333333337</v>
      </c>
    </row>
    <row r="688" spans="1:10" x14ac:dyDescent="0.3">
      <c r="A688" s="88" t="s">
        <v>481</v>
      </c>
      <c r="B688" s="24">
        <v>39768</v>
      </c>
      <c r="C688" s="32">
        <v>2.4354155866597544</v>
      </c>
      <c r="D688" s="125">
        <v>10.4</v>
      </c>
      <c r="E688" s="125">
        <v>5.9</v>
      </c>
      <c r="F688" s="126">
        <v>0.64</v>
      </c>
      <c r="G688" s="126"/>
      <c r="H688" s="126">
        <f t="shared" si="10"/>
        <v>0.92895926237531279</v>
      </c>
      <c r="I688" s="89">
        <v>425.33999999999992</v>
      </c>
      <c r="J688" s="125">
        <v>80.703125</v>
      </c>
    </row>
    <row r="689" spans="1:10" x14ac:dyDescent="0.3">
      <c r="A689" s="88" t="s">
        <v>481</v>
      </c>
      <c r="B689" s="24">
        <v>39769</v>
      </c>
      <c r="C689" s="32">
        <v>4.9536317032429009</v>
      </c>
      <c r="D689" s="125">
        <v>7.8</v>
      </c>
      <c r="E689" s="125">
        <v>1.6</v>
      </c>
      <c r="F689" s="126">
        <v>0</v>
      </c>
      <c r="G689" s="126"/>
      <c r="H689" s="126">
        <f t="shared" si="10"/>
        <v>0.68591959793818613</v>
      </c>
      <c r="I689" s="89">
        <v>199.26</v>
      </c>
      <c r="J689" s="125">
        <v>84.813541666666666</v>
      </c>
    </row>
    <row r="690" spans="1:10" x14ac:dyDescent="0.3">
      <c r="A690" s="88" t="s">
        <v>481</v>
      </c>
      <c r="B690" s="24">
        <v>39770</v>
      </c>
      <c r="C690" s="32">
        <v>1.5084096538217844</v>
      </c>
      <c r="D690" s="125">
        <v>7.3</v>
      </c>
      <c r="E690" s="125">
        <v>1.4</v>
      </c>
      <c r="F690" s="126">
        <v>1.99</v>
      </c>
      <c r="G690" s="126"/>
      <c r="H690" s="126">
        <f t="shared" si="10"/>
        <v>0.67613129580825593</v>
      </c>
      <c r="I690" s="89">
        <v>284.21999999999997</v>
      </c>
      <c r="J690" s="125">
        <v>83.483333333333334</v>
      </c>
    </row>
    <row r="691" spans="1:10" x14ac:dyDescent="0.3">
      <c r="A691" s="88" t="s">
        <v>481</v>
      </c>
      <c r="B691" s="24">
        <v>39771</v>
      </c>
      <c r="C691" s="32">
        <v>1.7586112551120328</v>
      </c>
      <c r="D691" s="125">
        <v>9.3000000000000007</v>
      </c>
      <c r="E691" s="125">
        <v>5.0999999999999996</v>
      </c>
      <c r="F691" s="126">
        <v>0.37</v>
      </c>
      <c r="G691" s="126"/>
      <c r="H691" s="126">
        <f t="shared" si="10"/>
        <v>0.87870648225166126</v>
      </c>
      <c r="I691" s="89">
        <v>504.18</v>
      </c>
      <c r="J691" s="125">
        <v>80.059375000000003</v>
      </c>
    </row>
    <row r="692" spans="1:10" x14ac:dyDescent="0.3">
      <c r="A692" s="88" t="s">
        <v>481</v>
      </c>
      <c r="B692" s="24">
        <v>39772</v>
      </c>
      <c r="C692" s="32">
        <v>1.0008064051609931</v>
      </c>
      <c r="D692" s="125">
        <v>9.1</v>
      </c>
      <c r="E692" s="125">
        <v>3.9</v>
      </c>
      <c r="F692" s="126">
        <v>10.220000000000001</v>
      </c>
      <c r="G692" s="126"/>
      <c r="H692" s="126">
        <f t="shared" si="10"/>
        <v>0.80781918513419737</v>
      </c>
      <c r="I692" s="89">
        <v>613.61999999999966</v>
      </c>
      <c r="J692" s="125">
        <v>88.121875000000003</v>
      </c>
    </row>
    <row r="693" spans="1:10" x14ac:dyDescent="0.3">
      <c r="A693" s="88" t="s">
        <v>481</v>
      </c>
      <c r="B693" s="24">
        <v>39773</v>
      </c>
      <c r="C693" s="32">
        <v>1.3167084269339324</v>
      </c>
      <c r="D693" s="125">
        <v>5.5</v>
      </c>
      <c r="E693" s="125">
        <v>-0.2</v>
      </c>
      <c r="F693" s="126">
        <v>4.7050000000000001</v>
      </c>
      <c r="G693" s="126"/>
      <c r="H693" s="126">
        <f t="shared" si="10"/>
        <v>0.60216365842742525</v>
      </c>
      <c r="I693" s="89">
        <v>412.37999999999994</v>
      </c>
      <c r="J693" s="125">
        <v>90.212500000000006</v>
      </c>
    </row>
    <row r="694" spans="1:10" x14ac:dyDescent="0.3">
      <c r="A694" s="88" t="s">
        <v>481</v>
      </c>
      <c r="B694" s="24">
        <v>39774</v>
      </c>
      <c r="C694" s="32">
        <v>2.3346149415356257</v>
      </c>
      <c r="D694" s="125">
        <v>1.3</v>
      </c>
      <c r="E694" s="125">
        <v>-1</v>
      </c>
      <c r="F694" s="126">
        <v>0.57499999999999996</v>
      </c>
      <c r="G694" s="126"/>
      <c r="H694" s="126">
        <f t="shared" si="10"/>
        <v>0.5679377955282604</v>
      </c>
      <c r="I694" s="89">
        <v>433.89</v>
      </c>
      <c r="J694" s="125">
        <v>90.15</v>
      </c>
    </row>
    <row r="695" spans="1:10" x14ac:dyDescent="0.3">
      <c r="A695" s="88" t="s">
        <v>481</v>
      </c>
      <c r="B695" s="24">
        <v>39775</v>
      </c>
      <c r="C695" s="32">
        <v>1.8792120269569725</v>
      </c>
      <c r="D695" s="125">
        <v>2</v>
      </c>
      <c r="E695" s="125">
        <v>-0.6</v>
      </c>
      <c r="F695" s="126">
        <v>0</v>
      </c>
      <c r="G695" s="126"/>
      <c r="H695" s="126">
        <f t="shared" si="10"/>
        <v>0.58482930968803559</v>
      </c>
      <c r="I695" s="89">
        <v>333.80999999999995</v>
      </c>
      <c r="J695" s="125">
        <v>84.60833333333332</v>
      </c>
    </row>
    <row r="696" spans="1:10" x14ac:dyDescent="0.3">
      <c r="A696" s="88" t="s">
        <v>481</v>
      </c>
      <c r="B696" s="24">
        <v>39776</v>
      </c>
      <c r="C696" s="32">
        <v>2.4300155520995337</v>
      </c>
      <c r="D696" s="125">
        <v>0.8</v>
      </c>
      <c r="E696" s="125">
        <v>-3.2</v>
      </c>
      <c r="F696" s="126">
        <v>0.48499999999999999</v>
      </c>
      <c r="G696" s="126"/>
      <c r="H696" s="126">
        <f t="shared" si="10"/>
        <v>0.48252218724041501</v>
      </c>
      <c r="I696" s="89">
        <v>199.53000000000003</v>
      </c>
      <c r="J696" s="125">
        <v>92.420833333333306</v>
      </c>
    </row>
    <row r="697" spans="1:10" x14ac:dyDescent="0.3">
      <c r="A697" s="88" t="s">
        <v>481</v>
      </c>
      <c r="B697" s="24">
        <v>39777</v>
      </c>
      <c r="C697" s="32">
        <v>3.0789197050861126</v>
      </c>
      <c r="D697" s="125">
        <v>2.2000000000000002</v>
      </c>
      <c r="E697" s="125">
        <v>-2.2999999999999998</v>
      </c>
      <c r="F697" s="126">
        <v>4.4999999999999998E-2</v>
      </c>
      <c r="G697" s="126"/>
      <c r="H697" s="126">
        <f t="shared" si="10"/>
        <v>0.51598176579815569</v>
      </c>
      <c r="I697" s="89">
        <v>244.52999999999997</v>
      </c>
      <c r="J697" s="125">
        <v>90.944791666666674</v>
      </c>
    </row>
    <row r="698" spans="1:10" x14ac:dyDescent="0.3">
      <c r="A698" s="88" t="s">
        <v>481</v>
      </c>
      <c r="B698" s="24">
        <v>39778</v>
      </c>
      <c r="C698" s="32">
        <v>1.5948102067853234</v>
      </c>
      <c r="D698" s="125">
        <v>5.2</v>
      </c>
      <c r="E698" s="125">
        <v>-1.2</v>
      </c>
      <c r="F698" s="126">
        <v>0.17499999999999999</v>
      </c>
      <c r="G698" s="126"/>
      <c r="H698" s="126">
        <f t="shared" si="10"/>
        <v>0.55965503960920326</v>
      </c>
      <c r="I698" s="89">
        <v>334.35</v>
      </c>
      <c r="J698" s="125">
        <v>88.162499999999994</v>
      </c>
    </row>
    <row r="699" spans="1:10" x14ac:dyDescent="0.3">
      <c r="A699" s="88" t="s">
        <v>481</v>
      </c>
      <c r="B699" s="24">
        <v>39779</v>
      </c>
      <c r="C699" s="32">
        <v>2.2680145152928981</v>
      </c>
      <c r="D699" s="125">
        <v>6.2</v>
      </c>
      <c r="E699" s="125">
        <v>4.0999999999999996</v>
      </c>
      <c r="F699" s="126">
        <v>0.08</v>
      </c>
      <c r="G699" s="126"/>
      <c r="H699" s="126">
        <f t="shared" si="10"/>
        <v>0.81927114982761395</v>
      </c>
      <c r="I699" s="89">
        <v>295.92</v>
      </c>
      <c r="J699" s="125">
        <v>85.1</v>
      </c>
    </row>
    <row r="700" spans="1:10" x14ac:dyDescent="0.3">
      <c r="A700" s="88" t="s">
        <v>481</v>
      </c>
      <c r="B700" s="24">
        <v>39780</v>
      </c>
      <c r="C700" s="32">
        <v>2.6208167732273484</v>
      </c>
      <c r="D700" s="125">
        <v>5</v>
      </c>
      <c r="E700" s="125">
        <v>0.3</v>
      </c>
      <c r="F700" s="126">
        <v>0</v>
      </c>
      <c r="G700" s="126"/>
      <c r="H700" s="126">
        <f t="shared" si="10"/>
        <v>0.62446951587741306</v>
      </c>
      <c r="I700" s="89">
        <v>169.19999999999996</v>
      </c>
      <c r="J700" s="125">
        <v>68.191666666666691</v>
      </c>
    </row>
    <row r="701" spans="1:10" x14ac:dyDescent="0.3">
      <c r="A701" s="88" t="s">
        <v>481</v>
      </c>
      <c r="B701" s="24">
        <v>39781</v>
      </c>
      <c r="C701" s="32">
        <v>1.0206065318818041</v>
      </c>
      <c r="D701" s="125">
        <v>2.2000000000000002</v>
      </c>
      <c r="E701" s="125">
        <v>-0.2</v>
      </c>
      <c r="F701" s="126">
        <v>2.7850000000000001</v>
      </c>
      <c r="G701" s="126"/>
      <c r="H701" s="126">
        <f t="shared" si="10"/>
        <v>0.60216365842742525</v>
      </c>
      <c r="I701" s="89">
        <v>95.04</v>
      </c>
      <c r="J701" s="125">
        <v>91.518749999999997</v>
      </c>
    </row>
    <row r="702" spans="1:10" x14ac:dyDescent="0.3">
      <c r="A702" s="88" t="s">
        <v>481</v>
      </c>
      <c r="B702" s="24">
        <v>39782</v>
      </c>
      <c r="C702" s="32">
        <v>1.4778094579805312</v>
      </c>
      <c r="D702" s="125">
        <v>2.2000000000000002</v>
      </c>
      <c r="E702" s="125">
        <v>-1.9</v>
      </c>
      <c r="F702" s="126">
        <v>0</v>
      </c>
      <c r="G702" s="126"/>
      <c r="H702" s="126">
        <f t="shared" si="10"/>
        <v>0.53150065801075153</v>
      </c>
      <c r="I702" s="89">
        <v>112.68000000000005</v>
      </c>
      <c r="J702" s="125">
        <v>94.084374999999994</v>
      </c>
    </row>
    <row r="703" spans="1:10" x14ac:dyDescent="0.3">
      <c r="A703" s="88" t="s">
        <v>481</v>
      </c>
      <c r="B703" s="24">
        <v>39783</v>
      </c>
      <c r="C703" s="32">
        <v>1.557909970623812</v>
      </c>
      <c r="D703" s="125">
        <v>2.5</v>
      </c>
      <c r="E703" s="125">
        <v>-2</v>
      </c>
      <c r="F703" s="126">
        <v>4.1050000000000004</v>
      </c>
      <c r="G703" s="126"/>
      <c r="H703" s="126">
        <f t="shared" si="10"/>
        <v>0.52758269928339141</v>
      </c>
      <c r="I703" s="89">
        <v>193.59</v>
      </c>
      <c r="J703" s="125">
        <v>91.232291666666654</v>
      </c>
    </row>
    <row r="704" spans="1:10" x14ac:dyDescent="0.3">
      <c r="A704" s="88" t="s">
        <v>481</v>
      </c>
      <c r="B704" s="24">
        <v>39784</v>
      </c>
      <c r="C704" s="32">
        <v>3.1680202753297619</v>
      </c>
      <c r="D704" s="125">
        <v>5.7</v>
      </c>
      <c r="E704" s="125">
        <v>1.3</v>
      </c>
      <c r="F704" s="126">
        <v>0.99</v>
      </c>
      <c r="G704" s="126"/>
      <c r="H704" s="126">
        <f t="shared" si="10"/>
        <v>0.67128358518521281</v>
      </c>
      <c r="I704" s="89">
        <v>332.54999999999984</v>
      </c>
      <c r="J704" s="125">
        <v>87.080208333333303</v>
      </c>
    </row>
    <row r="705" spans="1:10" x14ac:dyDescent="0.3">
      <c r="A705" s="88" t="s">
        <v>481</v>
      </c>
      <c r="B705" s="24">
        <v>39785</v>
      </c>
      <c r="C705" s="32">
        <v>0.81450521283336219</v>
      </c>
      <c r="D705" s="125">
        <v>2.7</v>
      </c>
      <c r="E705" s="125">
        <v>1.2</v>
      </c>
      <c r="F705" s="126">
        <v>0.49</v>
      </c>
      <c r="G705" s="126"/>
      <c r="H705" s="126">
        <f t="shared" si="10"/>
        <v>0.66646661006207619</v>
      </c>
      <c r="I705" s="89">
        <v>243.54000000000002</v>
      </c>
      <c r="J705" s="125">
        <v>80.747916666666654</v>
      </c>
    </row>
    <row r="706" spans="1:10" x14ac:dyDescent="0.3">
      <c r="A706" s="88" t="s">
        <v>481</v>
      </c>
      <c r="B706" s="24">
        <v>39786</v>
      </c>
      <c r="C706" s="32">
        <v>0.71730459074938091</v>
      </c>
      <c r="D706" s="125">
        <v>5.4</v>
      </c>
      <c r="E706" s="125">
        <v>0.6</v>
      </c>
      <c r="F706" s="126">
        <v>0.72499999999999998</v>
      </c>
      <c r="G706" s="126"/>
      <c r="H706" s="126">
        <f t="shared" si="10"/>
        <v>0.63820086880942895</v>
      </c>
      <c r="I706" s="89">
        <v>213.75000000000006</v>
      </c>
      <c r="J706" s="125">
        <v>81.455208333333317</v>
      </c>
    </row>
    <row r="707" spans="1:10" x14ac:dyDescent="0.3">
      <c r="A707" s="88" t="s">
        <v>481</v>
      </c>
      <c r="B707" s="24">
        <v>39787</v>
      </c>
      <c r="C707" s="32">
        <v>1.4283091411785036</v>
      </c>
      <c r="D707" s="125">
        <v>7.2</v>
      </c>
      <c r="E707" s="125">
        <v>1.8</v>
      </c>
      <c r="F707" s="126">
        <v>0.46</v>
      </c>
      <c r="G707" s="126"/>
      <c r="H707" s="126">
        <f t="shared" si="10"/>
        <v>0.69583287280742301</v>
      </c>
      <c r="I707" s="89">
        <v>128.97000000000003</v>
      </c>
      <c r="J707" s="125">
        <v>83.146874999999994</v>
      </c>
    </row>
    <row r="708" spans="1:10" x14ac:dyDescent="0.3">
      <c r="A708" s="88" t="s">
        <v>481</v>
      </c>
      <c r="B708" s="24">
        <v>39788</v>
      </c>
      <c r="C708" s="32">
        <v>0.79830510915269859</v>
      </c>
      <c r="D708" s="125">
        <v>5.4</v>
      </c>
      <c r="E708" s="125">
        <v>2.1</v>
      </c>
      <c r="F708" s="126">
        <v>0.45</v>
      </c>
      <c r="G708" s="126"/>
      <c r="H708" s="126">
        <f t="shared" ref="H708:H771" si="11">0.611*EXP((17.27*E708)/(E708+237.3))</f>
        <v>0.7109401060616396</v>
      </c>
      <c r="I708" s="89">
        <v>144.54000000000002</v>
      </c>
      <c r="J708" s="125">
        <v>92.180208333333312</v>
      </c>
    </row>
    <row r="709" spans="1:10" x14ac:dyDescent="0.3">
      <c r="A709" s="88" t="s">
        <v>481</v>
      </c>
      <c r="B709" s="24">
        <v>39789</v>
      </c>
      <c r="C709" s="32">
        <v>1.3743087955762916</v>
      </c>
      <c r="D709" s="125">
        <v>5.4</v>
      </c>
      <c r="E709" s="125">
        <v>3.1</v>
      </c>
      <c r="F709" s="126">
        <v>0.44500000000000001</v>
      </c>
      <c r="G709" s="126"/>
      <c r="H709" s="126">
        <f t="shared" si="11"/>
        <v>0.76341105875491733</v>
      </c>
      <c r="I709" s="89">
        <v>260.46000000000009</v>
      </c>
      <c r="J709" s="125">
        <v>89.855208333333351</v>
      </c>
    </row>
    <row r="710" spans="1:10" x14ac:dyDescent="0.3">
      <c r="A710" s="88" t="s">
        <v>481</v>
      </c>
      <c r="B710" s="24">
        <v>39790</v>
      </c>
      <c r="C710" s="32">
        <v>2.0709132538448247</v>
      </c>
      <c r="D710" s="125">
        <v>5.2</v>
      </c>
      <c r="E710" s="125">
        <v>1.5</v>
      </c>
      <c r="F710" s="126">
        <v>0</v>
      </c>
      <c r="G710" s="126"/>
      <c r="H710" s="126">
        <f t="shared" si="11"/>
        <v>0.68100991033793745</v>
      </c>
      <c r="I710" s="89">
        <v>293.94000000000005</v>
      </c>
      <c r="J710" s="125">
        <v>83.090625000000003</v>
      </c>
    </row>
    <row r="711" spans="1:10" x14ac:dyDescent="0.3">
      <c r="A711" s="88" t="s">
        <v>481</v>
      </c>
      <c r="B711" s="24">
        <v>39791</v>
      </c>
      <c r="C711" s="32">
        <v>2.0277129773630551</v>
      </c>
      <c r="D711" s="125">
        <v>1.7</v>
      </c>
      <c r="E711" s="125">
        <v>-1.2</v>
      </c>
      <c r="F711" s="126">
        <v>0</v>
      </c>
      <c r="G711" s="126"/>
      <c r="H711" s="126">
        <f t="shared" si="11"/>
        <v>0.55965503960920326</v>
      </c>
      <c r="I711" s="89">
        <v>186.12</v>
      </c>
      <c r="J711" s="125">
        <v>83.318749999999994</v>
      </c>
    </row>
    <row r="712" spans="1:10" x14ac:dyDescent="0.3">
      <c r="A712" s="88" t="s">
        <v>481</v>
      </c>
      <c r="B712" s="24">
        <v>39792</v>
      </c>
      <c r="C712" s="32">
        <v>0.7524048153908186</v>
      </c>
      <c r="D712" s="125">
        <v>2.9</v>
      </c>
      <c r="E712" s="125">
        <v>0.5</v>
      </c>
      <c r="F712" s="126">
        <v>0</v>
      </c>
      <c r="G712" s="126"/>
      <c r="H712" s="126">
        <f t="shared" si="11"/>
        <v>0.63359438986733596</v>
      </c>
      <c r="I712" s="89">
        <v>140.4</v>
      </c>
      <c r="J712" s="125">
        <v>93.054166666666632</v>
      </c>
    </row>
    <row r="713" spans="1:10" x14ac:dyDescent="0.3">
      <c r="A713" s="88" t="s">
        <v>481</v>
      </c>
      <c r="B713" s="24">
        <v>39793</v>
      </c>
      <c r="C713" s="32">
        <v>0.70920453890904911</v>
      </c>
      <c r="D713" s="125">
        <v>1.9</v>
      </c>
      <c r="E713" s="125">
        <v>-0.1</v>
      </c>
      <c r="F713" s="126">
        <v>1.27</v>
      </c>
      <c r="G713" s="126"/>
      <c r="H713" s="126">
        <f t="shared" si="11"/>
        <v>0.60656760126761966</v>
      </c>
      <c r="I713" s="89">
        <v>127.53000000000002</v>
      </c>
      <c r="J713" s="125">
        <v>93.854166666666686</v>
      </c>
    </row>
    <row r="714" spans="1:10" x14ac:dyDescent="0.3">
      <c r="A714" s="88" t="s">
        <v>481</v>
      </c>
      <c r="B714" s="24">
        <v>39794</v>
      </c>
      <c r="C714" s="32">
        <v>1.7496111975116642</v>
      </c>
      <c r="D714" s="125">
        <v>1.6</v>
      </c>
      <c r="E714" s="125">
        <v>-1</v>
      </c>
      <c r="F714" s="126">
        <v>0.47</v>
      </c>
      <c r="G714" s="126"/>
      <c r="H714" s="126">
        <f t="shared" si="11"/>
        <v>0.5679377955282604</v>
      </c>
      <c r="I714" s="89">
        <v>104.12999999999997</v>
      </c>
      <c r="J714" s="125">
        <v>93.119791666666671</v>
      </c>
    </row>
    <row r="715" spans="1:10" x14ac:dyDescent="0.3">
      <c r="A715" s="88" t="s">
        <v>481</v>
      </c>
      <c r="B715" s="24">
        <v>39795</v>
      </c>
      <c r="C715" s="32">
        <v>0.45630292033869019</v>
      </c>
      <c r="D715" s="125">
        <v>2.1</v>
      </c>
      <c r="E715" s="125">
        <v>-0.9</v>
      </c>
      <c r="F715" s="126">
        <v>0</v>
      </c>
      <c r="G715" s="126"/>
      <c r="H715" s="126">
        <f t="shared" si="11"/>
        <v>0.57211969598720058</v>
      </c>
      <c r="I715" s="89">
        <v>321.92999999999995</v>
      </c>
      <c r="J715" s="125">
        <v>90.811458333333277</v>
      </c>
    </row>
    <row r="716" spans="1:10" x14ac:dyDescent="0.3">
      <c r="A716" s="88" t="s">
        <v>481</v>
      </c>
      <c r="B716" s="24">
        <v>39796</v>
      </c>
      <c r="C716" s="32">
        <v>2.5290161857035884</v>
      </c>
      <c r="D716" s="125">
        <v>5.3</v>
      </c>
      <c r="E716" s="125">
        <v>1.5</v>
      </c>
      <c r="F716" s="126">
        <v>0</v>
      </c>
      <c r="G716" s="126"/>
      <c r="H716" s="126">
        <f t="shared" si="11"/>
        <v>0.68100991033793745</v>
      </c>
      <c r="I716" s="89">
        <v>329.58000000000004</v>
      </c>
      <c r="J716" s="125">
        <v>85.834374999999994</v>
      </c>
    </row>
    <row r="717" spans="1:10" x14ac:dyDescent="0.3">
      <c r="A717" s="88" t="s">
        <v>481</v>
      </c>
      <c r="B717" s="24">
        <v>39797</v>
      </c>
      <c r="C717" s="32">
        <v>1.0575067680433154</v>
      </c>
      <c r="D717" s="125">
        <v>4.0999999999999996</v>
      </c>
      <c r="E717" s="125">
        <v>2.2999999999999998</v>
      </c>
      <c r="F717" s="126">
        <v>0</v>
      </c>
      <c r="G717" s="126"/>
      <c r="H717" s="126">
        <f t="shared" si="11"/>
        <v>0.72117182708011951</v>
      </c>
      <c r="I717" s="89">
        <v>242.10000000000002</v>
      </c>
      <c r="J717" s="125">
        <v>87.980208333333351</v>
      </c>
    </row>
    <row r="718" spans="1:10" x14ac:dyDescent="0.3">
      <c r="A718" s="88" t="s">
        <v>481</v>
      </c>
      <c r="B718" s="24">
        <v>39798</v>
      </c>
      <c r="C718" s="32">
        <v>0.52200334082138133</v>
      </c>
      <c r="D718" s="125">
        <v>3.6</v>
      </c>
      <c r="E718" s="125">
        <v>2</v>
      </c>
      <c r="F718" s="126">
        <v>0</v>
      </c>
      <c r="G718" s="126"/>
      <c r="H718" s="126">
        <f t="shared" si="11"/>
        <v>0.70587248896856769</v>
      </c>
      <c r="I718" s="89">
        <v>73.259999999999991</v>
      </c>
      <c r="J718" s="125">
        <v>91.746875000000003</v>
      </c>
    </row>
    <row r="719" spans="1:10" x14ac:dyDescent="0.3">
      <c r="A719" s="88" t="s">
        <v>481</v>
      </c>
      <c r="B719" s="24">
        <v>39799</v>
      </c>
      <c r="C719" s="32">
        <v>0.69030441794827491</v>
      </c>
      <c r="D719" s="125">
        <v>3.5</v>
      </c>
      <c r="E719" s="125">
        <v>0.8</v>
      </c>
      <c r="F719" s="126">
        <v>8.5000000000000006E-2</v>
      </c>
      <c r="G719" s="126"/>
      <c r="H719" s="126">
        <f t="shared" si="11"/>
        <v>0.64750272279315535</v>
      </c>
      <c r="I719" s="89">
        <v>138.59999999999997</v>
      </c>
      <c r="J719" s="125">
        <v>87.56041666666664</v>
      </c>
    </row>
    <row r="720" spans="1:10" x14ac:dyDescent="0.3">
      <c r="A720" s="88" t="s">
        <v>481</v>
      </c>
      <c r="B720" s="24">
        <v>39800</v>
      </c>
      <c r="C720" s="32">
        <v>2.904318587638961</v>
      </c>
      <c r="D720" s="125">
        <v>5</v>
      </c>
      <c r="E720" s="125">
        <v>1</v>
      </c>
      <c r="F720" s="126">
        <v>0.01</v>
      </c>
      <c r="G720" s="126"/>
      <c r="H720" s="126">
        <f t="shared" si="11"/>
        <v>0.65692419645928013</v>
      </c>
      <c r="I720" s="89">
        <v>183.96000000000009</v>
      </c>
      <c r="J720" s="125">
        <v>90.980208333333337</v>
      </c>
    </row>
    <row r="721" spans="1:10" x14ac:dyDescent="0.3">
      <c r="A721" s="88" t="s">
        <v>481</v>
      </c>
      <c r="B721" s="24">
        <v>39801</v>
      </c>
      <c r="C721" s="32">
        <v>1.445409250619204</v>
      </c>
      <c r="D721" s="125">
        <v>6.5</v>
      </c>
      <c r="E721" s="125">
        <v>2.2999999999999998</v>
      </c>
      <c r="F721" s="126">
        <v>1.835</v>
      </c>
      <c r="G721" s="126"/>
      <c r="H721" s="126">
        <f t="shared" si="11"/>
        <v>0.72117182708011951</v>
      </c>
      <c r="I721" s="89">
        <v>339.75</v>
      </c>
      <c r="J721" s="125">
        <v>87.497916666666654</v>
      </c>
    </row>
    <row r="722" spans="1:10" x14ac:dyDescent="0.3">
      <c r="A722" s="88" t="s">
        <v>481</v>
      </c>
      <c r="B722" s="24">
        <v>39802</v>
      </c>
      <c r="C722" s="32">
        <v>1.2564080410114624</v>
      </c>
      <c r="D722" s="125">
        <v>8.6</v>
      </c>
      <c r="E722" s="125">
        <v>2.8</v>
      </c>
      <c r="F722" s="126">
        <v>1.905</v>
      </c>
      <c r="G722" s="126"/>
      <c r="H722" s="126">
        <f t="shared" si="11"/>
        <v>0.74732216909166049</v>
      </c>
      <c r="I722" s="89">
        <v>482.31000000000006</v>
      </c>
      <c r="J722" s="125">
        <v>81.833333333333343</v>
      </c>
    </row>
    <row r="723" spans="1:10" x14ac:dyDescent="0.3">
      <c r="A723" s="88" t="s">
        <v>481</v>
      </c>
      <c r="B723" s="24">
        <v>39803</v>
      </c>
      <c r="C723" s="32">
        <v>0.49680317954034908</v>
      </c>
      <c r="D723" s="125">
        <v>8.8000000000000007</v>
      </c>
      <c r="E723" s="125">
        <v>2.6</v>
      </c>
      <c r="F723" s="126">
        <v>0.39500000000000002</v>
      </c>
      <c r="G723" s="126"/>
      <c r="H723" s="126">
        <f t="shared" si="11"/>
        <v>0.73676325541308207</v>
      </c>
      <c r="I723" s="89">
        <v>332.28000000000003</v>
      </c>
      <c r="J723" s="125">
        <v>88.630208333333329</v>
      </c>
    </row>
    <row r="724" spans="1:10" x14ac:dyDescent="0.3">
      <c r="A724" s="88" t="s">
        <v>481</v>
      </c>
      <c r="B724" s="24">
        <v>39804</v>
      </c>
      <c r="C724" s="32">
        <v>1.9647125741604745</v>
      </c>
      <c r="D724" s="125">
        <v>9.1999999999999993</v>
      </c>
      <c r="E724" s="125">
        <v>5.7</v>
      </c>
      <c r="F724" s="126">
        <v>0.51</v>
      </c>
      <c r="G724" s="126"/>
      <c r="H724" s="126">
        <f t="shared" si="11"/>
        <v>0.91616430843021424</v>
      </c>
      <c r="I724" s="89">
        <v>549.0899999999998</v>
      </c>
      <c r="J724" s="125">
        <v>81.279166666666669</v>
      </c>
    </row>
    <row r="725" spans="1:10" x14ac:dyDescent="0.3">
      <c r="A725" s="88" t="s">
        <v>481</v>
      </c>
      <c r="B725" s="24">
        <v>39805</v>
      </c>
      <c r="C725" s="32">
        <v>1.2744081562121998</v>
      </c>
      <c r="D725" s="125">
        <v>6.2</v>
      </c>
      <c r="E725" s="125">
        <v>5.2</v>
      </c>
      <c r="F725" s="126">
        <v>0.495</v>
      </c>
      <c r="G725" s="126"/>
      <c r="H725" s="126">
        <f t="shared" si="11"/>
        <v>0.88485406434684233</v>
      </c>
      <c r="I725" s="89">
        <v>310.8599999999999</v>
      </c>
      <c r="J725" s="125">
        <v>92.469791666666694</v>
      </c>
    </row>
    <row r="726" spans="1:10" x14ac:dyDescent="0.3">
      <c r="A726" s="88" t="s">
        <v>481</v>
      </c>
      <c r="B726" s="24">
        <v>39806</v>
      </c>
      <c r="C726" s="32">
        <v>0.48870312770001728</v>
      </c>
      <c r="D726" s="125">
        <v>6.5</v>
      </c>
      <c r="E726" s="125">
        <v>4.9000000000000004</v>
      </c>
      <c r="F726" s="126">
        <v>0.15</v>
      </c>
      <c r="G726" s="126"/>
      <c r="H726" s="126">
        <f t="shared" si="11"/>
        <v>0.86652418747176108</v>
      </c>
      <c r="I726" s="89">
        <v>334.17000000000007</v>
      </c>
      <c r="J726" s="125">
        <v>93.121875000000003</v>
      </c>
    </row>
    <row r="727" spans="1:10" x14ac:dyDescent="0.3">
      <c r="A727" s="88" t="s">
        <v>481</v>
      </c>
      <c r="B727" s="24">
        <v>39807</v>
      </c>
      <c r="C727" s="32">
        <v>2.7099173434709982</v>
      </c>
      <c r="D727" s="125">
        <v>5.0999999999999996</v>
      </c>
      <c r="E727" s="125">
        <v>-0.7</v>
      </c>
      <c r="F727" s="126">
        <v>8.5000000000000006E-2</v>
      </c>
      <c r="G727" s="126"/>
      <c r="H727" s="126">
        <f t="shared" si="11"/>
        <v>0.58056530033118703</v>
      </c>
      <c r="I727" s="89">
        <v>299.79000000000008</v>
      </c>
      <c r="J727" s="125">
        <v>84.21875</v>
      </c>
    </row>
    <row r="728" spans="1:10" x14ac:dyDescent="0.3">
      <c r="A728" s="88" t="s">
        <v>481</v>
      </c>
      <c r="B728" s="24">
        <v>39808</v>
      </c>
      <c r="C728" s="32">
        <v>3.6144231323080471</v>
      </c>
      <c r="D728" s="125">
        <v>-0.3</v>
      </c>
      <c r="E728" s="125">
        <v>-4.2</v>
      </c>
      <c r="F728" s="126">
        <v>0</v>
      </c>
      <c r="G728" s="126"/>
      <c r="H728" s="126">
        <f t="shared" si="11"/>
        <v>0.447611553404549</v>
      </c>
      <c r="I728" s="89">
        <v>328.59000000000003</v>
      </c>
      <c r="J728" s="125">
        <v>80.685416666666626</v>
      </c>
    </row>
    <row r="729" spans="1:10" x14ac:dyDescent="0.3">
      <c r="A729" s="88" t="s">
        <v>481</v>
      </c>
      <c r="B729" s="24">
        <v>39809</v>
      </c>
      <c r="C729" s="32">
        <v>2.652316974828639</v>
      </c>
      <c r="D729" s="125">
        <v>0.7</v>
      </c>
      <c r="E729" s="125">
        <v>-4.5999999999999996</v>
      </c>
      <c r="F729" s="126">
        <v>0</v>
      </c>
      <c r="G729" s="126"/>
      <c r="H729" s="126">
        <f t="shared" si="11"/>
        <v>0.43428656685913181</v>
      </c>
      <c r="I729" s="89">
        <v>212.57999999999993</v>
      </c>
      <c r="J729" s="125">
        <v>95.132291666666674</v>
      </c>
    </row>
    <row r="730" spans="1:10" x14ac:dyDescent="0.3">
      <c r="A730" s="88" t="s">
        <v>481</v>
      </c>
      <c r="B730" s="24">
        <v>39810</v>
      </c>
      <c r="C730" s="32">
        <v>2.851218247796786</v>
      </c>
      <c r="D730" s="125">
        <v>-1.7</v>
      </c>
      <c r="E730" s="125">
        <v>-5.0999999999999996</v>
      </c>
      <c r="F730" s="126">
        <v>0</v>
      </c>
      <c r="G730" s="126"/>
      <c r="H730" s="126">
        <f t="shared" si="11"/>
        <v>0.41812553637572114</v>
      </c>
      <c r="I730" s="89">
        <v>286.64999999999992</v>
      </c>
      <c r="J730" s="125">
        <v>98.666666666666643</v>
      </c>
    </row>
    <row r="731" spans="1:10" x14ac:dyDescent="0.3">
      <c r="A731" s="88" t="s">
        <v>481</v>
      </c>
      <c r="B731" s="24">
        <v>39811</v>
      </c>
      <c r="C731" s="32">
        <v>1.080006912044237</v>
      </c>
      <c r="D731" s="125">
        <v>-3.4</v>
      </c>
      <c r="E731" s="125">
        <v>-6.2</v>
      </c>
      <c r="F731" s="126">
        <v>0</v>
      </c>
      <c r="G731" s="126"/>
      <c r="H731" s="126">
        <f t="shared" si="11"/>
        <v>0.38443461500304205</v>
      </c>
      <c r="I731" s="89">
        <v>308.97000000000008</v>
      </c>
      <c r="J731" s="125">
        <v>98.744791666666686</v>
      </c>
    </row>
    <row r="732" spans="1:10" x14ac:dyDescent="0.3">
      <c r="A732" s="88" t="s">
        <v>481</v>
      </c>
      <c r="B732" s="24">
        <v>39812</v>
      </c>
      <c r="C732" s="32">
        <v>2.638816888428086</v>
      </c>
      <c r="D732" s="125">
        <v>-2.6</v>
      </c>
      <c r="E732" s="125">
        <v>-8.6999999999999993</v>
      </c>
      <c r="F732" s="126">
        <v>0</v>
      </c>
      <c r="G732" s="126"/>
      <c r="H732" s="126">
        <f t="shared" si="11"/>
        <v>0.31666351439151719</v>
      </c>
      <c r="I732" s="89">
        <v>68.759999999999977</v>
      </c>
      <c r="J732" s="125">
        <v>99.046875</v>
      </c>
    </row>
    <row r="733" spans="1:10" x14ac:dyDescent="0.3">
      <c r="A733" s="88" t="s">
        <v>481</v>
      </c>
      <c r="B733" s="24">
        <v>39813</v>
      </c>
      <c r="C733" s="32">
        <v>3.3102211854155867</v>
      </c>
      <c r="D733" s="125">
        <v>-1.1000000000000001</v>
      </c>
      <c r="E733" s="125">
        <v>-9.1</v>
      </c>
      <c r="F733" s="126">
        <v>0</v>
      </c>
      <c r="G733" s="126"/>
      <c r="H733" s="126">
        <f t="shared" si="11"/>
        <v>0.30686747521888891</v>
      </c>
      <c r="I733" s="89">
        <v>79.38</v>
      </c>
      <c r="J733" s="125">
        <v>98.889583333333306</v>
      </c>
    </row>
    <row r="734" spans="1:10" x14ac:dyDescent="0.3">
      <c r="A734" s="88" t="s">
        <v>482</v>
      </c>
      <c r="B734" s="24">
        <v>39083</v>
      </c>
      <c r="C734" s="32">
        <v>1.5282097805425956</v>
      </c>
      <c r="D734">
        <v>11.2</v>
      </c>
      <c r="E734">
        <v>5.0999999999999996</v>
      </c>
      <c r="F734" s="126">
        <v>2.48</v>
      </c>
      <c r="G734" s="126"/>
      <c r="H734" s="126">
        <f t="shared" si="11"/>
        <v>0.87870648225166126</v>
      </c>
      <c r="I734" s="89">
        <v>542.97</v>
      </c>
      <c r="J734" s="126">
        <v>85.731250000000003</v>
      </c>
    </row>
    <row r="735" spans="1:10" x14ac:dyDescent="0.3">
      <c r="A735" s="88" t="s">
        <v>482</v>
      </c>
      <c r="B735" s="24">
        <v>39084</v>
      </c>
      <c r="C735" s="32">
        <v>0.90630580035712238</v>
      </c>
      <c r="D735">
        <v>6.1</v>
      </c>
      <c r="E735">
        <v>4</v>
      </c>
      <c r="F735" s="126">
        <v>1.615</v>
      </c>
      <c r="G735" s="126"/>
      <c r="H735" s="126">
        <f t="shared" si="11"/>
        <v>0.81352738957079329</v>
      </c>
      <c r="I735" s="89">
        <v>398.43000000000006</v>
      </c>
      <c r="J735" s="126">
        <v>89.953125</v>
      </c>
    </row>
    <row r="736" spans="1:10" x14ac:dyDescent="0.3">
      <c r="A736" s="88" t="s">
        <v>482</v>
      </c>
      <c r="B736" s="24">
        <v>39085</v>
      </c>
      <c r="C736" s="32">
        <v>2.1771139335291747</v>
      </c>
      <c r="D736">
        <v>6.6</v>
      </c>
      <c r="E736">
        <v>4.0999999999999996</v>
      </c>
      <c r="F736" s="126">
        <v>1.115</v>
      </c>
      <c r="G736" s="126"/>
      <c r="H736" s="126">
        <f t="shared" si="11"/>
        <v>0.81927114982761395</v>
      </c>
      <c r="I736" s="89">
        <v>365.58000000000004</v>
      </c>
      <c r="J736" s="126">
        <v>91.71875</v>
      </c>
    </row>
    <row r="737" spans="1:10" x14ac:dyDescent="0.3">
      <c r="A737" s="88" t="s">
        <v>482</v>
      </c>
      <c r="B737" s="24">
        <v>39086</v>
      </c>
      <c r="C737" s="32">
        <v>0.722704625309602</v>
      </c>
      <c r="D737">
        <v>8.9</v>
      </c>
      <c r="E737">
        <v>6.2</v>
      </c>
      <c r="F737" s="126">
        <v>2.8650000000000002</v>
      </c>
      <c r="G737" s="126"/>
      <c r="H737" s="126">
        <f t="shared" si="11"/>
        <v>0.94844700173703456</v>
      </c>
      <c r="I737" s="89">
        <v>442.53000000000009</v>
      </c>
      <c r="J737" s="126">
        <v>89.741666666666688</v>
      </c>
    </row>
    <row r="738" spans="1:10" x14ac:dyDescent="0.3">
      <c r="A738" s="88" t="s">
        <v>482</v>
      </c>
      <c r="B738" s="24">
        <v>39087</v>
      </c>
      <c r="C738" s="32">
        <v>0.85140544899487358</v>
      </c>
      <c r="D738">
        <v>9.4</v>
      </c>
      <c r="E738">
        <v>6.8</v>
      </c>
      <c r="F738" s="126">
        <v>0.15</v>
      </c>
      <c r="G738" s="126"/>
      <c r="H738" s="126">
        <f t="shared" si="11"/>
        <v>0.98850615565901678</v>
      </c>
      <c r="I738" s="89">
        <v>504.72000000000025</v>
      </c>
      <c r="J738" s="126">
        <v>88.967708333333348</v>
      </c>
    </row>
    <row r="739" spans="1:10" x14ac:dyDescent="0.3">
      <c r="A739" s="88" t="s">
        <v>482</v>
      </c>
      <c r="B739" s="24">
        <v>39088</v>
      </c>
      <c r="C739" s="32">
        <v>1.804511548873913</v>
      </c>
      <c r="D739">
        <v>9.6</v>
      </c>
      <c r="E739">
        <v>6.4</v>
      </c>
      <c r="F739" s="126">
        <v>9.17</v>
      </c>
      <c r="G739" s="126"/>
      <c r="H739" s="126">
        <f t="shared" si="11"/>
        <v>0.96163811340513428</v>
      </c>
      <c r="I739" s="89">
        <v>222.75</v>
      </c>
      <c r="J739" s="126">
        <v>92.739583333333357</v>
      </c>
    </row>
    <row r="740" spans="1:10" x14ac:dyDescent="0.3">
      <c r="A740" s="88" t="s">
        <v>482</v>
      </c>
      <c r="B740" s="24">
        <v>39089</v>
      </c>
      <c r="C740" s="32">
        <v>1.4481092678993146</v>
      </c>
      <c r="D740">
        <v>9.5</v>
      </c>
      <c r="E740">
        <v>5.0999999999999996</v>
      </c>
      <c r="F740" s="126">
        <v>8.85</v>
      </c>
      <c r="G740" s="126"/>
      <c r="H740" s="126">
        <f t="shared" si="11"/>
        <v>0.87870648225166126</v>
      </c>
      <c r="I740" s="89">
        <v>273.96000000000004</v>
      </c>
      <c r="J740" s="126">
        <v>89.496875000000003</v>
      </c>
    </row>
    <row r="741" spans="1:10" x14ac:dyDescent="0.3">
      <c r="A741" s="88" t="s">
        <v>482</v>
      </c>
      <c r="B741" s="24">
        <v>39090</v>
      </c>
      <c r="C741" s="32">
        <v>0.87930562755601638</v>
      </c>
      <c r="D741">
        <v>10.6</v>
      </c>
      <c r="E741">
        <v>6.3</v>
      </c>
      <c r="F741" s="126">
        <v>0.48</v>
      </c>
      <c r="G741" s="126"/>
      <c r="H741" s="126">
        <f t="shared" si="11"/>
        <v>0.95502249025252561</v>
      </c>
      <c r="I741" s="89">
        <v>284.13</v>
      </c>
      <c r="J741" s="126">
        <v>84.368750000000006</v>
      </c>
    </row>
    <row r="742" spans="1:10" x14ac:dyDescent="0.3">
      <c r="A742" s="88" t="s">
        <v>482</v>
      </c>
      <c r="B742" s="24">
        <v>39091</v>
      </c>
      <c r="C742" s="32">
        <v>0.64170410690628421</v>
      </c>
      <c r="D742">
        <v>14</v>
      </c>
      <c r="E742">
        <v>8.1</v>
      </c>
      <c r="F742" s="126">
        <v>0.70499999999999996</v>
      </c>
      <c r="G742" s="126"/>
      <c r="H742" s="126">
        <f t="shared" si="11"/>
        <v>1.080450793034103</v>
      </c>
      <c r="I742" s="89">
        <v>471.51000000000005</v>
      </c>
      <c r="J742" s="126">
        <v>81.240624999999994</v>
      </c>
    </row>
    <row r="743" spans="1:10" x14ac:dyDescent="0.3">
      <c r="A743" s="88" t="s">
        <v>482</v>
      </c>
      <c r="B743" s="24">
        <v>39092</v>
      </c>
      <c r="C743" s="32">
        <v>2.2500144000921609</v>
      </c>
      <c r="D743">
        <v>13.4</v>
      </c>
      <c r="E743">
        <v>6.6</v>
      </c>
      <c r="F743" s="126">
        <v>4.49</v>
      </c>
      <c r="G743" s="126"/>
      <c r="H743" s="126">
        <f t="shared" si="11"/>
        <v>0.97499060249070812</v>
      </c>
      <c r="I743" s="89">
        <v>423.36</v>
      </c>
      <c r="J743" s="126">
        <v>77.474999999999994</v>
      </c>
    </row>
    <row r="744" spans="1:10" x14ac:dyDescent="0.3">
      <c r="A744" s="88" t="s">
        <v>482</v>
      </c>
      <c r="B744" s="24">
        <v>39093</v>
      </c>
      <c r="C744" s="32">
        <v>0.39150250561603595</v>
      </c>
      <c r="D744">
        <v>8.9</v>
      </c>
      <c r="E744">
        <v>4.5999999999999996</v>
      </c>
      <c r="F744" s="126">
        <v>6.26</v>
      </c>
      <c r="G744" s="126"/>
      <c r="H744" s="126">
        <f t="shared" si="11"/>
        <v>0.84852995914135099</v>
      </c>
      <c r="I744" s="89">
        <v>616.86</v>
      </c>
      <c r="J744" s="126">
        <v>82.347916666666677</v>
      </c>
    </row>
    <row r="745" spans="1:10" x14ac:dyDescent="0.3">
      <c r="A745" s="88" t="s">
        <v>482</v>
      </c>
      <c r="B745" s="24">
        <v>39094</v>
      </c>
      <c r="C745" s="32">
        <v>1.9935127584816543</v>
      </c>
      <c r="D745">
        <v>11.6</v>
      </c>
      <c r="E745">
        <v>6.3</v>
      </c>
      <c r="F745" s="126">
        <v>0.55500000000000005</v>
      </c>
      <c r="G745" s="126"/>
      <c r="H745" s="126">
        <f t="shared" si="11"/>
        <v>0.95502249025252561</v>
      </c>
      <c r="I745" s="89">
        <v>687.68999999999994</v>
      </c>
      <c r="J745" s="126">
        <v>79.804166666666703</v>
      </c>
    </row>
    <row r="746" spans="1:10" x14ac:dyDescent="0.3">
      <c r="A746" s="88" t="s">
        <v>482</v>
      </c>
      <c r="B746" s="24">
        <v>39095</v>
      </c>
      <c r="C746" s="32">
        <v>0.83250532803409938</v>
      </c>
      <c r="D746">
        <v>12.2</v>
      </c>
      <c r="E746">
        <v>10.5</v>
      </c>
      <c r="F746" s="126">
        <v>1.4999999999999999E-2</v>
      </c>
      <c r="G746" s="126"/>
      <c r="H746" s="126">
        <f t="shared" si="11"/>
        <v>1.2701326466613394</v>
      </c>
      <c r="I746" s="89">
        <v>547.20000000000005</v>
      </c>
      <c r="J746" s="126">
        <v>81.792708333333337</v>
      </c>
    </row>
    <row r="747" spans="1:10" x14ac:dyDescent="0.3">
      <c r="A747" s="88" t="s">
        <v>482</v>
      </c>
      <c r="B747" s="24">
        <v>39096</v>
      </c>
      <c r="C747" s="32">
        <v>3.3795216289384253</v>
      </c>
      <c r="D747">
        <v>11.8</v>
      </c>
      <c r="E747">
        <v>5</v>
      </c>
      <c r="F747" s="126">
        <v>0.68500000000000005</v>
      </c>
      <c r="G747" s="126"/>
      <c r="H747" s="126">
        <f t="shared" si="11"/>
        <v>0.87259658934786222</v>
      </c>
      <c r="I747" s="89">
        <v>614.16</v>
      </c>
      <c r="J747" s="126">
        <v>76.560416666666654</v>
      </c>
    </row>
    <row r="748" spans="1:10" x14ac:dyDescent="0.3">
      <c r="A748" s="88" t="s">
        <v>482</v>
      </c>
      <c r="B748" s="24">
        <v>39097</v>
      </c>
      <c r="C748" s="32">
        <v>4.0383258452854101</v>
      </c>
      <c r="D748">
        <v>7.8</v>
      </c>
      <c r="E748">
        <v>2.4</v>
      </c>
      <c r="F748" s="126">
        <v>0</v>
      </c>
      <c r="G748" s="126"/>
      <c r="H748" s="126">
        <f t="shared" si="11"/>
        <v>0.7263362808555901</v>
      </c>
      <c r="I748" s="89">
        <v>252.71999999999997</v>
      </c>
      <c r="J748" s="126">
        <v>81.232291666666654</v>
      </c>
    </row>
    <row r="749" spans="1:10" x14ac:dyDescent="0.3">
      <c r="A749" s="88" t="s">
        <v>482</v>
      </c>
      <c r="B749" s="24">
        <v>39098</v>
      </c>
      <c r="C749" s="32">
        <v>0.88020563331605328</v>
      </c>
      <c r="D749">
        <v>7.1</v>
      </c>
      <c r="E749">
        <v>2.2999999999999998</v>
      </c>
      <c r="F749" s="126">
        <v>1.19</v>
      </c>
      <c r="G749" s="126"/>
      <c r="H749" s="126">
        <f t="shared" si="11"/>
        <v>0.72117182708011951</v>
      </c>
      <c r="I749" s="89">
        <v>287.28000000000003</v>
      </c>
      <c r="J749" s="126">
        <v>84.579166666666666</v>
      </c>
    </row>
    <row r="750" spans="1:10" x14ac:dyDescent="0.3">
      <c r="A750" s="88" t="s">
        <v>482</v>
      </c>
      <c r="B750" s="24">
        <v>39099</v>
      </c>
      <c r="C750" s="32">
        <v>2.4669157882610446</v>
      </c>
      <c r="D750">
        <v>11.2</v>
      </c>
      <c r="E750">
        <v>6.3</v>
      </c>
      <c r="F750" s="126">
        <v>0.52500000000000002</v>
      </c>
      <c r="G750" s="126"/>
      <c r="H750" s="126">
        <f t="shared" si="11"/>
        <v>0.95502249025252561</v>
      </c>
      <c r="I750" s="89">
        <v>353.78999999999985</v>
      </c>
      <c r="J750" s="126">
        <v>81.556250000000006</v>
      </c>
    </row>
    <row r="751" spans="1:10" x14ac:dyDescent="0.3">
      <c r="A751" s="88" t="s">
        <v>482</v>
      </c>
      <c r="B751" s="24">
        <v>39100</v>
      </c>
      <c r="C751" s="32">
        <v>8.9100570243649563E-2</v>
      </c>
      <c r="D751">
        <v>12.9</v>
      </c>
      <c r="E751">
        <v>6.5</v>
      </c>
      <c r="F751" s="126">
        <v>23.635000000000002</v>
      </c>
      <c r="G751" s="126"/>
      <c r="H751" s="126">
        <f t="shared" si="11"/>
        <v>0.96829408068935052</v>
      </c>
      <c r="I751" s="89">
        <v>599.85000000000014</v>
      </c>
      <c r="J751" s="126">
        <v>83.87604166666668</v>
      </c>
    </row>
    <row r="752" spans="1:10" x14ac:dyDescent="0.3">
      <c r="A752" s="88" t="s">
        <v>482</v>
      </c>
      <c r="B752" s="24">
        <v>39101</v>
      </c>
      <c r="C752" s="32">
        <v>1.683910777028973</v>
      </c>
      <c r="D752">
        <v>9.6999999999999993</v>
      </c>
      <c r="E752">
        <v>6.2</v>
      </c>
      <c r="F752" s="126">
        <v>1.575</v>
      </c>
      <c r="G752" s="126"/>
      <c r="H752" s="126">
        <f t="shared" si="11"/>
        <v>0.94844700173703456</v>
      </c>
      <c r="I752" s="89">
        <v>673.20000000000016</v>
      </c>
      <c r="J752" s="126">
        <v>78.592708333333334</v>
      </c>
    </row>
    <row r="753" spans="1:10" x14ac:dyDescent="0.3">
      <c r="A753" s="88" t="s">
        <v>482</v>
      </c>
      <c r="B753" s="24">
        <v>39102</v>
      </c>
      <c r="C753" s="32">
        <v>1.152907378607223</v>
      </c>
      <c r="D753">
        <v>13.9</v>
      </c>
      <c r="E753">
        <v>6.6</v>
      </c>
      <c r="F753" s="126">
        <v>3.6549999999999998</v>
      </c>
      <c r="G753" s="126"/>
      <c r="H753" s="126">
        <f t="shared" si="11"/>
        <v>0.97499060249070812</v>
      </c>
      <c r="I753" s="89">
        <v>478.71000000000004</v>
      </c>
      <c r="J753" s="126">
        <v>80.643749999999997</v>
      </c>
    </row>
    <row r="754" spans="1:10" x14ac:dyDescent="0.3">
      <c r="A754" s="88" t="s">
        <v>482</v>
      </c>
      <c r="B754" s="24">
        <v>39103</v>
      </c>
      <c r="C754" s="32">
        <v>1.3041083462934162</v>
      </c>
      <c r="D754">
        <v>6.8</v>
      </c>
      <c r="E754">
        <v>3.8</v>
      </c>
      <c r="F754" s="126">
        <v>2.4350000000000001</v>
      </c>
      <c r="G754" s="126"/>
      <c r="H754" s="126">
        <f t="shared" si="11"/>
        <v>0.80214634758046521</v>
      </c>
      <c r="I754" s="89">
        <v>534.96</v>
      </c>
      <c r="J754" s="126">
        <v>78.643749999999997</v>
      </c>
    </row>
    <row r="755" spans="1:10" x14ac:dyDescent="0.3">
      <c r="A755" s="88" t="s">
        <v>482</v>
      </c>
      <c r="B755" s="24">
        <v>39104</v>
      </c>
      <c r="C755" s="32">
        <v>1.5093096595818214</v>
      </c>
      <c r="D755">
        <v>4.7</v>
      </c>
      <c r="E755">
        <v>-3.7</v>
      </c>
      <c r="F755" s="126">
        <v>0.08</v>
      </c>
      <c r="G755" s="126"/>
      <c r="H755" s="126">
        <f t="shared" si="11"/>
        <v>0.46477653465671803</v>
      </c>
      <c r="I755" s="89">
        <v>386.81999999999994</v>
      </c>
      <c r="J755" s="126">
        <v>80.601041666666646</v>
      </c>
    </row>
    <row r="756" spans="1:10" x14ac:dyDescent="0.3">
      <c r="A756" s="88" t="s">
        <v>482</v>
      </c>
      <c r="B756" s="24">
        <v>39105</v>
      </c>
      <c r="C756" s="32">
        <v>5.8806376360808708</v>
      </c>
      <c r="D756">
        <v>-1.1000000000000001</v>
      </c>
      <c r="E756">
        <v>-7.3</v>
      </c>
      <c r="F756" s="126">
        <v>0</v>
      </c>
      <c r="G756" s="126"/>
      <c r="H756" s="126">
        <f t="shared" si="11"/>
        <v>0.35317446732956626</v>
      </c>
      <c r="I756" s="89">
        <v>93.870000000000019</v>
      </c>
      <c r="J756" s="126">
        <v>88.554166666666632</v>
      </c>
    </row>
    <row r="757" spans="1:10" x14ac:dyDescent="0.3">
      <c r="A757" s="88" t="s">
        <v>482</v>
      </c>
      <c r="B757" s="24">
        <v>39106</v>
      </c>
      <c r="C757" s="32">
        <v>2.8467182189966014</v>
      </c>
      <c r="D757">
        <v>-2.4</v>
      </c>
      <c r="E757">
        <v>-8.1</v>
      </c>
      <c r="F757" s="126">
        <v>0</v>
      </c>
      <c r="G757" s="126"/>
      <c r="H757" s="126">
        <f t="shared" si="11"/>
        <v>0.33187876416236572</v>
      </c>
      <c r="I757" s="89">
        <v>194.49000000000004</v>
      </c>
      <c r="J757" s="126">
        <v>92.821875000000006</v>
      </c>
    </row>
    <row r="758" spans="1:10" x14ac:dyDescent="0.3">
      <c r="A758" s="88" t="s">
        <v>482</v>
      </c>
      <c r="B758" s="24">
        <v>39107</v>
      </c>
      <c r="C758" s="32">
        <v>5.1030326594090205</v>
      </c>
      <c r="D758">
        <v>-1.1000000000000001</v>
      </c>
      <c r="E758">
        <v>-6.8</v>
      </c>
      <c r="F758" s="126">
        <v>0</v>
      </c>
      <c r="G758" s="126"/>
      <c r="H758" s="126">
        <f t="shared" si="11"/>
        <v>0.36709226809247852</v>
      </c>
      <c r="I758" s="89">
        <v>223.02</v>
      </c>
      <c r="J758" s="126">
        <v>92.094791666666694</v>
      </c>
    </row>
    <row r="759" spans="1:10" x14ac:dyDescent="0.3">
      <c r="A759" s="88" t="s">
        <v>482</v>
      </c>
      <c r="B759" s="24">
        <v>39108</v>
      </c>
      <c r="C759" s="32">
        <v>1.7973115027936177</v>
      </c>
      <c r="D759">
        <v>1.7</v>
      </c>
      <c r="E759">
        <v>-6.9</v>
      </c>
      <c r="F759" s="126">
        <v>0.46</v>
      </c>
      <c r="G759" s="126"/>
      <c r="H759" s="126">
        <f t="shared" si="11"/>
        <v>0.36427039611704592</v>
      </c>
      <c r="I759" s="89">
        <v>389.88</v>
      </c>
      <c r="J759" s="126">
        <v>92.030208333333292</v>
      </c>
    </row>
    <row r="760" spans="1:10" x14ac:dyDescent="0.3">
      <c r="A760" s="88" t="s">
        <v>482</v>
      </c>
      <c r="B760" s="24">
        <v>39109</v>
      </c>
      <c r="C760" s="32">
        <v>4.131026438569207</v>
      </c>
      <c r="D760">
        <v>3</v>
      </c>
      <c r="E760">
        <v>0.4</v>
      </c>
      <c r="F760" s="126">
        <v>0</v>
      </c>
      <c r="G760" s="126"/>
      <c r="H760" s="126">
        <f t="shared" si="11"/>
        <v>0.62901732612537431</v>
      </c>
      <c r="I760" s="89">
        <v>482.84999999999991</v>
      </c>
      <c r="J760" s="126">
        <v>86.083333333333329</v>
      </c>
    </row>
    <row r="761" spans="1:10" x14ac:dyDescent="0.3">
      <c r="A761" s="88" t="s">
        <v>482</v>
      </c>
      <c r="B761" s="24">
        <v>39110</v>
      </c>
      <c r="C761" s="32">
        <v>0.7254046425897126</v>
      </c>
      <c r="D761">
        <v>6.4</v>
      </c>
      <c r="E761">
        <v>1.7</v>
      </c>
      <c r="F761" s="126">
        <v>3.6549999999999998</v>
      </c>
      <c r="G761" s="126"/>
      <c r="H761" s="126">
        <f t="shared" si="11"/>
        <v>0.69086052853268343</v>
      </c>
      <c r="I761" s="89">
        <v>602.46</v>
      </c>
      <c r="J761" s="126">
        <v>89</v>
      </c>
    </row>
    <row r="762" spans="1:10" x14ac:dyDescent="0.3">
      <c r="A762" s="88" t="s">
        <v>482</v>
      </c>
      <c r="B762" s="24">
        <v>39111</v>
      </c>
      <c r="C762" s="32">
        <v>2.9754190426818732</v>
      </c>
      <c r="D762">
        <v>6.9</v>
      </c>
      <c r="E762">
        <v>3.4</v>
      </c>
      <c r="F762" s="126">
        <v>6.665</v>
      </c>
      <c r="G762" s="126"/>
      <c r="H762" s="126">
        <f t="shared" si="11"/>
        <v>0.77980491618110859</v>
      </c>
      <c r="I762" s="89">
        <v>452.87999999999994</v>
      </c>
      <c r="J762" s="126">
        <v>84.248958333333334</v>
      </c>
    </row>
    <row r="763" spans="1:10" x14ac:dyDescent="0.3">
      <c r="A763" s="88" t="s">
        <v>482</v>
      </c>
      <c r="B763" s="24">
        <v>39112</v>
      </c>
      <c r="C763" s="32">
        <v>1.7199110074304476</v>
      </c>
      <c r="D763">
        <v>7.7</v>
      </c>
      <c r="E763">
        <v>3.3</v>
      </c>
      <c r="F763" s="126">
        <v>0.215</v>
      </c>
      <c r="G763" s="126"/>
      <c r="H763" s="126">
        <f t="shared" si="11"/>
        <v>0.77430610767805441</v>
      </c>
      <c r="I763" s="89">
        <v>387.36000000000018</v>
      </c>
      <c r="J763" s="126">
        <v>84.856250000000003</v>
      </c>
    </row>
    <row r="764" spans="1:10" x14ac:dyDescent="0.3">
      <c r="A764" s="88" t="s">
        <v>482</v>
      </c>
      <c r="B764" s="24">
        <v>39113</v>
      </c>
      <c r="C764" s="32">
        <v>3.6198231668682683</v>
      </c>
      <c r="D764">
        <v>7.7</v>
      </c>
      <c r="E764">
        <v>5.7</v>
      </c>
      <c r="F764" s="126">
        <v>0.04</v>
      </c>
      <c r="G764" s="126"/>
      <c r="H764" s="126">
        <f t="shared" si="11"/>
        <v>0.91616430843021424</v>
      </c>
      <c r="I764" s="89">
        <v>561.51</v>
      </c>
      <c r="J764" s="126">
        <v>79.887500000000003</v>
      </c>
    </row>
    <row r="765" spans="1:10" x14ac:dyDescent="0.3">
      <c r="A765" s="88" t="s">
        <v>482</v>
      </c>
      <c r="B765" s="24">
        <v>39114</v>
      </c>
      <c r="C765" s="32">
        <v>3.1104199066874028</v>
      </c>
      <c r="D765">
        <v>7.8</v>
      </c>
      <c r="E765">
        <v>5.5</v>
      </c>
      <c r="F765" s="126">
        <v>0.68</v>
      </c>
      <c r="G765" s="126"/>
      <c r="H765" s="126">
        <f t="shared" si="11"/>
        <v>0.90352494025987484</v>
      </c>
      <c r="I765" s="89">
        <v>330.92999999999995</v>
      </c>
      <c r="J765" s="126">
        <v>86.661458333333314</v>
      </c>
    </row>
    <row r="766" spans="1:10" x14ac:dyDescent="0.3">
      <c r="A766" s="88" t="s">
        <v>482</v>
      </c>
      <c r="B766" s="24">
        <v>39115</v>
      </c>
      <c r="C766" s="32">
        <v>1.2168077875698404</v>
      </c>
      <c r="D766">
        <v>8.6</v>
      </c>
      <c r="E766">
        <v>6.1</v>
      </c>
      <c r="F766" s="126">
        <v>1.1599999999999999</v>
      </c>
      <c r="G766" s="126"/>
      <c r="H766" s="126">
        <f t="shared" si="11"/>
        <v>0.94191143925241705</v>
      </c>
      <c r="I766" s="89">
        <v>388.43999999999988</v>
      </c>
      <c r="J766" s="126">
        <v>93.151041666666643</v>
      </c>
    </row>
    <row r="767" spans="1:10" x14ac:dyDescent="0.3">
      <c r="A767" s="88" t="s">
        <v>482</v>
      </c>
      <c r="B767" s="24">
        <v>39116</v>
      </c>
      <c r="C767" s="32">
        <v>1.5201097287022638</v>
      </c>
      <c r="D767">
        <v>7.8</v>
      </c>
      <c r="E767">
        <v>5.5</v>
      </c>
      <c r="F767" s="126">
        <v>1.425</v>
      </c>
      <c r="G767" s="126"/>
      <c r="H767" s="126">
        <f t="shared" si="11"/>
        <v>0.90352494025987484</v>
      </c>
      <c r="I767" s="89">
        <v>409.94999999999993</v>
      </c>
      <c r="J767" s="126">
        <v>88.445833333333326</v>
      </c>
    </row>
    <row r="768" spans="1:10" x14ac:dyDescent="0.3">
      <c r="A768" s="88" t="s">
        <v>482</v>
      </c>
      <c r="B768" s="24">
        <v>39117</v>
      </c>
      <c r="C768" s="32">
        <v>3.1824203674903524</v>
      </c>
      <c r="D768">
        <v>6.7</v>
      </c>
      <c r="E768">
        <v>1.4</v>
      </c>
      <c r="F768" s="126">
        <v>1.4999999999999999E-2</v>
      </c>
      <c r="G768" s="126"/>
      <c r="H768" s="126">
        <f t="shared" si="11"/>
        <v>0.67613129580825593</v>
      </c>
      <c r="I768" s="89">
        <v>267.48</v>
      </c>
      <c r="J768" s="126">
        <v>89.05</v>
      </c>
    </row>
    <row r="769" spans="1:10" x14ac:dyDescent="0.3">
      <c r="A769" s="88" t="s">
        <v>482</v>
      </c>
      <c r="B769" s="24">
        <v>39118</v>
      </c>
      <c r="C769" s="32">
        <v>2.6037166637866482</v>
      </c>
      <c r="D769">
        <v>4.0999999999999996</v>
      </c>
      <c r="E769">
        <v>0.1</v>
      </c>
      <c r="F769" s="126">
        <v>0.21</v>
      </c>
      <c r="G769" s="126"/>
      <c r="H769" s="126">
        <f t="shared" si="11"/>
        <v>0.61546101269605991</v>
      </c>
      <c r="I769" s="89">
        <v>251.36999999999998</v>
      </c>
      <c r="J769" s="126">
        <v>93.837500000000048</v>
      </c>
    </row>
    <row r="770" spans="1:10" x14ac:dyDescent="0.3">
      <c r="A770" s="88" t="s">
        <v>482</v>
      </c>
      <c r="B770" s="24">
        <v>39119</v>
      </c>
      <c r="C770" s="32">
        <v>3.5532227406255399</v>
      </c>
      <c r="D770">
        <v>3.9</v>
      </c>
      <c r="E770">
        <v>0.1</v>
      </c>
      <c r="F770" s="126">
        <v>0.19500000000000001</v>
      </c>
      <c r="G770" s="126"/>
      <c r="H770" s="126">
        <f t="shared" si="11"/>
        <v>0.61546101269605991</v>
      </c>
      <c r="I770" s="89">
        <v>238.85999999999979</v>
      </c>
      <c r="J770" s="126">
        <v>86.713541666666643</v>
      </c>
    </row>
    <row r="771" spans="1:10" x14ac:dyDescent="0.3">
      <c r="A771" s="88" t="s">
        <v>482</v>
      </c>
      <c r="B771" s="24">
        <v>39120</v>
      </c>
      <c r="C771" s="32">
        <v>6.1803395541731465</v>
      </c>
      <c r="D771">
        <v>3.6</v>
      </c>
      <c r="E771">
        <v>0</v>
      </c>
      <c r="F771" s="126">
        <v>0</v>
      </c>
      <c r="G771" s="126"/>
      <c r="H771" s="126">
        <f t="shared" si="11"/>
        <v>0.61099999999999999</v>
      </c>
      <c r="I771" s="89">
        <v>136.89000000000001</v>
      </c>
      <c r="J771" s="126">
        <v>86.282291666666666</v>
      </c>
    </row>
    <row r="772" spans="1:10" x14ac:dyDescent="0.3">
      <c r="A772" s="88" t="s">
        <v>482</v>
      </c>
      <c r="B772" s="24">
        <v>39121</v>
      </c>
      <c r="C772" s="32">
        <v>1.8108115891941707</v>
      </c>
      <c r="D772">
        <v>3</v>
      </c>
      <c r="E772">
        <v>0</v>
      </c>
      <c r="F772" s="126">
        <v>4.5750000000000002</v>
      </c>
      <c r="G772" s="126"/>
      <c r="H772" s="126">
        <f t="shared" ref="H772:H835" si="12">0.611*EXP((17.27*E772)/(E772+237.3))</f>
        <v>0.61099999999999999</v>
      </c>
      <c r="I772" s="89">
        <v>221.57999999999998</v>
      </c>
      <c r="J772" s="126">
        <v>92.679166666666632</v>
      </c>
    </row>
    <row r="773" spans="1:10" x14ac:dyDescent="0.3">
      <c r="A773" s="88" t="s">
        <v>482</v>
      </c>
      <c r="B773" s="24">
        <v>39122</v>
      </c>
      <c r="C773" s="32">
        <v>1.3266084902943378</v>
      </c>
      <c r="D773">
        <v>3.8</v>
      </c>
      <c r="E773">
        <v>0</v>
      </c>
      <c r="F773" s="126">
        <v>2.0249999999999999</v>
      </c>
      <c r="G773" s="126"/>
      <c r="H773" s="126">
        <f t="shared" si="12"/>
        <v>0.61099999999999999</v>
      </c>
      <c r="I773" s="89">
        <v>175.05000000000007</v>
      </c>
      <c r="J773" s="126">
        <v>92.698958333333351</v>
      </c>
    </row>
    <row r="774" spans="1:10" x14ac:dyDescent="0.3">
      <c r="A774" s="88" t="s">
        <v>482</v>
      </c>
      <c r="B774" s="24">
        <v>39123</v>
      </c>
      <c r="C774" s="32">
        <v>0.84060537987443118</v>
      </c>
      <c r="D774">
        <v>2.2999999999999998</v>
      </c>
      <c r="E774">
        <v>0.1</v>
      </c>
      <c r="F774" s="126">
        <v>5.0000000000000001E-3</v>
      </c>
      <c r="G774" s="126"/>
      <c r="H774" s="126">
        <f t="shared" si="12"/>
        <v>0.61546101269605991</v>
      </c>
      <c r="I774" s="89">
        <v>446.22</v>
      </c>
      <c r="J774" s="126">
        <v>94.826041666666626</v>
      </c>
    </row>
    <row r="775" spans="1:10" x14ac:dyDescent="0.3">
      <c r="A775" s="88" t="s">
        <v>482</v>
      </c>
      <c r="B775" s="24">
        <v>39124</v>
      </c>
      <c r="C775" s="32">
        <v>2.6496169575485284</v>
      </c>
      <c r="D775">
        <v>5.5</v>
      </c>
      <c r="E775">
        <v>0.2</v>
      </c>
      <c r="F775" s="126">
        <v>2.2999999999999998</v>
      </c>
      <c r="G775" s="126"/>
      <c r="H775" s="126">
        <f t="shared" si="12"/>
        <v>0.61995079814923992</v>
      </c>
      <c r="I775" s="89">
        <v>328.77</v>
      </c>
      <c r="J775" s="126">
        <v>92.719791666666609</v>
      </c>
    </row>
    <row r="776" spans="1:10" x14ac:dyDescent="0.3">
      <c r="A776" s="88" t="s">
        <v>482</v>
      </c>
      <c r="B776" s="24">
        <v>39125</v>
      </c>
      <c r="C776" s="32">
        <v>2.0907133805656359</v>
      </c>
      <c r="D776">
        <v>7.5</v>
      </c>
      <c r="E776">
        <v>2.7</v>
      </c>
      <c r="F776" s="126">
        <v>6.2249999999999996</v>
      </c>
      <c r="G776" s="126"/>
      <c r="H776" s="126">
        <f t="shared" si="12"/>
        <v>0.74202613073523482</v>
      </c>
      <c r="I776" s="89">
        <v>156.78000000000006</v>
      </c>
      <c r="J776" s="126">
        <v>91.915625000000006</v>
      </c>
    </row>
    <row r="777" spans="1:10" x14ac:dyDescent="0.3">
      <c r="A777" s="88" t="s">
        <v>482</v>
      </c>
      <c r="B777" s="24">
        <v>39126</v>
      </c>
      <c r="C777" s="32">
        <v>1.0296065894821727</v>
      </c>
      <c r="D777">
        <v>7.4</v>
      </c>
      <c r="E777">
        <v>5.5</v>
      </c>
      <c r="F777" s="126">
        <v>5.22</v>
      </c>
      <c r="G777" s="126"/>
      <c r="H777" s="126">
        <f t="shared" si="12"/>
        <v>0.90352494025987484</v>
      </c>
      <c r="I777" s="89">
        <v>387.98999999999995</v>
      </c>
      <c r="J777" s="126">
        <v>89.63333333333334</v>
      </c>
    </row>
    <row r="778" spans="1:10" x14ac:dyDescent="0.3">
      <c r="A778" s="88" t="s">
        <v>482</v>
      </c>
      <c r="B778" s="24">
        <v>39127</v>
      </c>
      <c r="C778" s="32">
        <v>3.1815203617303149</v>
      </c>
      <c r="D778">
        <v>8.3000000000000007</v>
      </c>
      <c r="E778">
        <v>3</v>
      </c>
      <c r="F778" s="126">
        <v>3.9649999999999999</v>
      </c>
      <c r="G778" s="126"/>
      <c r="H778" s="126">
        <f t="shared" si="12"/>
        <v>0.75801445266818901</v>
      </c>
      <c r="I778" s="89">
        <v>193.59</v>
      </c>
      <c r="J778" s="126">
        <v>87.401041666666671</v>
      </c>
    </row>
    <row r="779" spans="1:10" x14ac:dyDescent="0.3">
      <c r="A779" s="88" t="s">
        <v>482</v>
      </c>
      <c r="B779" s="24">
        <v>39128</v>
      </c>
      <c r="C779" s="32">
        <v>1.4229091066182824</v>
      </c>
      <c r="D779">
        <v>6.5</v>
      </c>
      <c r="E779">
        <v>3.1</v>
      </c>
      <c r="F779" s="126">
        <v>0.2</v>
      </c>
      <c r="G779" s="126"/>
      <c r="H779" s="126">
        <f t="shared" si="12"/>
        <v>0.76341105875491733</v>
      </c>
      <c r="I779" s="89">
        <v>305.28000000000003</v>
      </c>
      <c r="J779" s="126">
        <v>90.170833333333292</v>
      </c>
    </row>
    <row r="780" spans="1:10" x14ac:dyDescent="0.3">
      <c r="A780" s="88" t="s">
        <v>482</v>
      </c>
      <c r="B780" s="24">
        <v>39129</v>
      </c>
      <c r="C780" s="32">
        <v>7.806649962559761</v>
      </c>
      <c r="D780">
        <v>5.5</v>
      </c>
      <c r="E780">
        <v>0.9</v>
      </c>
      <c r="F780" s="126">
        <v>0</v>
      </c>
      <c r="G780" s="126"/>
      <c r="H780" s="126">
        <f t="shared" si="12"/>
        <v>0.65219842492921176</v>
      </c>
      <c r="I780" s="89">
        <v>399.24</v>
      </c>
      <c r="J780" s="126">
        <v>84.597916666666649</v>
      </c>
    </row>
    <row r="781" spans="1:10" x14ac:dyDescent="0.3">
      <c r="A781" s="88" t="s">
        <v>482</v>
      </c>
      <c r="B781" s="24">
        <v>39130</v>
      </c>
      <c r="C781" s="32">
        <v>7.9326507689649217</v>
      </c>
      <c r="D781">
        <v>8.4</v>
      </c>
      <c r="E781">
        <v>2.4</v>
      </c>
      <c r="F781" s="126">
        <v>0</v>
      </c>
      <c r="G781" s="126"/>
      <c r="H781" s="126">
        <f t="shared" si="12"/>
        <v>0.7263362808555901</v>
      </c>
      <c r="I781" s="89">
        <v>430.38</v>
      </c>
      <c r="J781" s="126">
        <v>78.841666666666697</v>
      </c>
    </row>
    <row r="782" spans="1:10" x14ac:dyDescent="0.3">
      <c r="A782" s="88" t="s">
        <v>482</v>
      </c>
      <c r="B782" s="24">
        <v>39131</v>
      </c>
      <c r="C782" s="32">
        <v>8.2782529808190777</v>
      </c>
      <c r="D782">
        <v>9.8000000000000007</v>
      </c>
      <c r="E782">
        <v>0</v>
      </c>
      <c r="F782" s="126">
        <v>0</v>
      </c>
      <c r="G782" s="126"/>
      <c r="H782" s="126">
        <f t="shared" si="12"/>
        <v>0.61099999999999999</v>
      </c>
      <c r="I782" s="89">
        <v>237.95999999999998</v>
      </c>
      <c r="J782" s="126">
        <v>80.955208333333317</v>
      </c>
    </row>
    <row r="783" spans="1:10" x14ac:dyDescent="0.3">
      <c r="A783" s="88" t="s">
        <v>482</v>
      </c>
      <c r="B783" s="24">
        <v>39132</v>
      </c>
      <c r="C783" s="32">
        <v>3.6135231265480097</v>
      </c>
      <c r="D783">
        <v>5.7</v>
      </c>
      <c r="E783">
        <v>0.9</v>
      </c>
      <c r="F783" s="126">
        <v>0.03</v>
      </c>
      <c r="G783" s="126"/>
      <c r="H783" s="126">
        <f t="shared" si="12"/>
        <v>0.65219842492921176</v>
      </c>
      <c r="I783" s="89">
        <v>100.62000000000003</v>
      </c>
      <c r="J783" s="126">
        <v>80.221874999999997</v>
      </c>
    </row>
    <row r="784" spans="1:10" x14ac:dyDescent="0.3">
      <c r="A784" s="88" t="s">
        <v>482</v>
      </c>
      <c r="B784" s="24">
        <v>39133</v>
      </c>
      <c r="C784" s="32">
        <v>3.1410201025286559</v>
      </c>
      <c r="D784">
        <v>7.3</v>
      </c>
      <c r="E784">
        <v>0.6</v>
      </c>
      <c r="F784" s="126">
        <v>0.02</v>
      </c>
      <c r="G784" s="126"/>
      <c r="H784" s="126">
        <f t="shared" si="12"/>
        <v>0.63820086880942895</v>
      </c>
      <c r="I784" s="89">
        <v>117.35999999999999</v>
      </c>
      <c r="J784" s="126">
        <v>81.045833333333348</v>
      </c>
    </row>
    <row r="785" spans="1:10" x14ac:dyDescent="0.3">
      <c r="A785" s="88" t="s">
        <v>482</v>
      </c>
      <c r="B785" s="24">
        <v>39134</v>
      </c>
      <c r="C785" s="32">
        <v>5.4738350325442084</v>
      </c>
      <c r="D785">
        <v>9.9</v>
      </c>
      <c r="E785">
        <v>0.3</v>
      </c>
      <c r="F785" s="126">
        <v>4.03</v>
      </c>
      <c r="G785" s="126"/>
      <c r="H785" s="126">
        <f t="shared" si="12"/>
        <v>0.62446951587741306</v>
      </c>
      <c r="I785" s="89">
        <v>195.84000000000003</v>
      </c>
      <c r="J785" s="126">
        <v>80.107291666666654</v>
      </c>
    </row>
    <row r="786" spans="1:10" x14ac:dyDescent="0.3">
      <c r="A786" s="88" t="s">
        <v>482</v>
      </c>
      <c r="B786" s="24">
        <v>39135</v>
      </c>
      <c r="C786" s="32">
        <v>8.1090518979321473</v>
      </c>
      <c r="D786">
        <v>9.9</v>
      </c>
      <c r="E786">
        <v>0.1</v>
      </c>
      <c r="F786" s="126">
        <v>1.6850000000000001</v>
      </c>
      <c r="G786" s="126"/>
      <c r="H786" s="126">
        <f t="shared" si="12"/>
        <v>0.61546101269605991</v>
      </c>
      <c r="I786" s="89">
        <v>204.57</v>
      </c>
      <c r="J786" s="126">
        <v>78.89791666666666</v>
      </c>
    </row>
    <row r="787" spans="1:10" x14ac:dyDescent="0.3">
      <c r="A787" s="88" t="s">
        <v>482</v>
      </c>
      <c r="B787" s="24">
        <v>39136</v>
      </c>
      <c r="C787" s="32">
        <v>3.4146218535798631</v>
      </c>
      <c r="D787">
        <v>7.1</v>
      </c>
      <c r="E787">
        <v>2.2000000000000002</v>
      </c>
      <c r="F787" s="126">
        <v>0</v>
      </c>
      <c r="G787" s="126"/>
      <c r="H787" s="126">
        <f t="shared" si="12"/>
        <v>0.71603982725344328</v>
      </c>
      <c r="I787" s="89">
        <v>345.51</v>
      </c>
      <c r="J787" s="126">
        <v>83.072916666666671</v>
      </c>
    </row>
    <row r="788" spans="1:10" x14ac:dyDescent="0.3">
      <c r="A788" s="88" t="s">
        <v>482</v>
      </c>
      <c r="B788" s="24">
        <v>39137</v>
      </c>
      <c r="C788" s="32">
        <v>5.2812337998963192</v>
      </c>
      <c r="D788">
        <v>9.9</v>
      </c>
      <c r="E788">
        <v>0.1</v>
      </c>
      <c r="F788" s="126">
        <v>0.59</v>
      </c>
      <c r="G788" s="126"/>
      <c r="H788" s="126">
        <f t="shared" si="12"/>
        <v>0.61546101269605991</v>
      </c>
      <c r="I788" s="89">
        <v>294.03000000000003</v>
      </c>
      <c r="J788" s="126">
        <v>78.904166666666626</v>
      </c>
    </row>
    <row r="789" spans="1:10" x14ac:dyDescent="0.3">
      <c r="A789" s="88" t="s">
        <v>482</v>
      </c>
      <c r="B789" s="24">
        <v>39138</v>
      </c>
      <c r="C789" s="32">
        <v>1.7829114106330282</v>
      </c>
      <c r="D789">
        <v>9.9</v>
      </c>
      <c r="E789">
        <v>0.1</v>
      </c>
      <c r="F789" s="126">
        <v>2.61</v>
      </c>
      <c r="G789" s="126"/>
      <c r="H789" s="126">
        <f t="shared" si="12"/>
        <v>0.61546101269605991</v>
      </c>
      <c r="I789" s="89">
        <v>188.37000000000009</v>
      </c>
      <c r="J789" s="126">
        <v>82.493750000000006</v>
      </c>
    </row>
    <row r="790" spans="1:10" x14ac:dyDescent="0.3">
      <c r="A790" s="88" t="s">
        <v>482</v>
      </c>
      <c r="B790" s="24">
        <v>39139</v>
      </c>
      <c r="C790" s="32">
        <v>1.325708484534301</v>
      </c>
      <c r="D790">
        <v>7.5</v>
      </c>
      <c r="E790">
        <v>4.7</v>
      </c>
      <c r="F790" s="126">
        <v>3.78</v>
      </c>
      <c r="G790" s="126"/>
      <c r="H790" s="126">
        <f t="shared" si="12"/>
        <v>0.85449106840682587</v>
      </c>
      <c r="I790" s="89">
        <v>425.25</v>
      </c>
      <c r="J790" s="126">
        <v>87.057291666666671</v>
      </c>
    </row>
    <row r="791" spans="1:10" x14ac:dyDescent="0.3">
      <c r="A791" s="88" t="s">
        <v>482</v>
      </c>
      <c r="B791" s="24">
        <v>39140</v>
      </c>
      <c r="C791" s="32">
        <v>4.1301264328091705</v>
      </c>
      <c r="D791">
        <v>6.5</v>
      </c>
      <c r="E791">
        <v>3.1</v>
      </c>
      <c r="F791" s="126">
        <v>7.3049999999999997</v>
      </c>
      <c r="G791" s="126"/>
      <c r="H791" s="126">
        <f t="shared" si="12"/>
        <v>0.76341105875491733</v>
      </c>
      <c r="I791" s="89">
        <v>381.24</v>
      </c>
      <c r="J791" s="126">
        <v>80.287499999999994</v>
      </c>
    </row>
    <row r="792" spans="1:10" x14ac:dyDescent="0.3">
      <c r="A792" s="88" t="s">
        <v>482</v>
      </c>
      <c r="B792" s="24">
        <v>39141</v>
      </c>
      <c r="C792" s="32">
        <v>5.4063346005414434</v>
      </c>
      <c r="D792">
        <v>9.9</v>
      </c>
      <c r="E792">
        <v>0</v>
      </c>
      <c r="F792" s="126">
        <v>6.0049999999999999</v>
      </c>
      <c r="G792" s="126"/>
      <c r="H792" s="126">
        <f t="shared" si="12"/>
        <v>0.61099999999999999</v>
      </c>
      <c r="I792" s="89">
        <v>403.46999999999991</v>
      </c>
      <c r="J792" s="126">
        <v>82.007291666666674</v>
      </c>
    </row>
    <row r="793" spans="1:10" x14ac:dyDescent="0.3">
      <c r="A793" s="88" t="s">
        <v>482</v>
      </c>
      <c r="B793" s="24">
        <v>39142</v>
      </c>
      <c r="C793" s="32">
        <v>5.5503355221473418</v>
      </c>
      <c r="D793">
        <v>9.6999999999999993</v>
      </c>
      <c r="E793">
        <v>6.5</v>
      </c>
      <c r="F793" s="126">
        <v>3.145</v>
      </c>
      <c r="G793" s="126"/>
      <c r="H793" s="126">
        <f t="shared" si="12"/>
        <v>0.96829408068935052</v>
      </c>
      <c r="I793" s="89">
        <v>400.95000000000005</v>
      </c>
      <c r="J793" s="126">
        <v>78.210416666666688</v>
      </c>
    </row>
    <row r="794" spans="1:10" x14ac:dyDescent="0.3">
      <c r="A794" s="88" t="s">
        <v>482</v>
      </c>
      <c r="B794" s="24">
        <v>39143</v>
      </c>
      <c r="C794" s="32">
        <v>3.2031204999711997</v>
      </c>
      <c r="D794">
        <v>7.3</v>
      </c>
      <c r="E794">
        <v>3</v>
      </c>
      <c r="F794" s="126">
        <v>3.13</v>
      </c>
      <c r="G794" s="126"/>
      <c r="H794" s="126">
        <f t="shared" si="12"/>
        <v>0.75801445266818901</v>
      </c>
      <c r="I794" s="89">
        <v>516.96</v>
      </c>
      <c r="J794" s="126">
        <v>80.587500000000006</v>
      </c>
    </row>
    <row r="795" spans="1:10" x14ac:dyDescent="0.3">
      <c r="A795" s="88" t="s">
        <v>482</v>
      </c>
      <c r="B795" s="24">
        <v>39144</v>
      </c>
      <c r="C795" s="32">
        <v>1.0647068141236105</v>
      </c>
      <c r="D795">
        <v>4.2</v>
      </c>
      <c r="E795">
        <v>1.6</v>
      </c>
      <c r="F795" s="126">
        <v>5.58</v>
      </c>
      <c r="G795" s="126"/>
      <c r="H795" s="126">
        <f t="shared" si="12"/>
        <v>0.68591959793818613</v>
      </c>
      <c r="I795" s="89">
        <v>259.92</v>
      </c>
      <c r="J795" s="126">
        <v>89.559375000000003</v>
      </c>
    </row>
    <row r="796" spans="1:10" x14ac:dyDescent="0.3">
      <c r="A796" s="88" t="s">
        <v>482</v>
      </c>
      <c r="B796" s="24">
        <v>39145</v>
      </c>
      <c r="C796" s="32">
        <v>9.1341584586141344</v>
      </c>
      <c r="D796">
        <v>9.9</v>
      </c>
      <c r="E796">
        <v>0.1</v>
      </c>
      <c r="F796" s="126">
        <v>5.0000000000000001E-3</v>
      </c>
      <c r="G796" s="126"/>
      <c r="H796" s="126">
        <f t="shared" si="12"/>
        <v>0.61546101269605991</v>
      </c>
      <c r="I796" s="89">
        <v>191.25</v>
      </c>
      <c r="J796" s="126">
        <v>83.590625000000003</v>
      </c>
    </row>
    <row r="797" spans="1:10" x14ac:dyDescent="0.3">
      <c r="A797" s="88" t="s">
        <v>482</v>
      </c>
      <c r="B797" s="24">
        <v>39146</v>
      </c>
      <c r="C797" s="32">
        <v>4.8312309198778873</v>
      </c>
      <c r="D797">
        <v>9.9</v>
      </c>
      <c r="E797">
        <v>0</v>
      </c>
      <c r="F797" s="126">
        <v>1.7450000000000001</v>
      </c>
      <c r="G797" s="126"/>
      <c r="H797" s="126">
        <f t="shared" si="12"/>
        <v>0.61099999999999999</v>
      </c>
      <c r="I797" s="89">
        <v>293.57999999999993</v>
      </c>
      <c r="J797" s="126">
        <v>73.856250000000003</v>
      </c>
    </row>
    <row r="798" spans="1:10" x14ac:dyDescent="0.3">
      <c r="A798" s="88" t="s">
        <v>482</v>
      </c>
      <c r="B798" s="24">
        <v>39147</v>
      </c>
      <c r="C798" s="32">
        <v>5.8041371464777374</v>
      </c>
      <c r="D798">
        <v>9.9</v>
      </c>
      <c r="E798">
        <v>0</v>
      </c>
      <c r="F798" s="126">
        <v>0</v>
      </c>
      <c r="G798" s="126"/>
      <c r="H798" s="126">
        <f t="shared" si="12"/>
        <v>0.61099999999999999</v>
      </c>
      <c r="I798" s="89">
        <v>252.90000000000009</v>
      </c>
      <c r="J798" s="126">
        <v>63.632291666666674</v>
      </c>
    </row>
    <row r="799" spans="1:10" x14ac:dyDescent="0.3">
      <c r="A799" s="88" t="s">
        <v>482</v>
      </c>
      <c r="B799" s="24">
        <v>39148</v>
      </c>
      <c r="C799" s="32">
        <v>4.3515278497782388</v>
      </c>
      <c r="D799">
        <v>9.9</v>
      </c>
      <c r="E799">
        <v>0.1</v>
      </c>
      <c r="F799" s="126">
        <v>1.48</v>
      </c>
      <c r="G799" s="126"/>
      <c r="H799" s="126">
        <f t="shared" si="12"/>
        <v>0.61546101269605991</v>
      </c>
      <c r="I799" s="89">
        <v>211.59000000000003</v>
      </c>
      <c r="J799" s="126">
        <v>74.137500000000003</v>
      </c>
    </row>
    <row r="800" spans="1:10" x14ac:dyDescent="0.3">
      <c r="A800" s="88" t="s">
        <v>482</v>
      </c>
      <c r="B800" s="24">
        <v>39149</v>
      </c>
      <c r="C800" s="32">
        <v>3.115819941247624</v>
      </c>
      <c r="D800">
        <v>8.8000000000000007</v>
      </c>
      <c r="E800">
        <v>3.3</v>
      </c>
      <c r="F800" s="126">
        <v>0.3</v>
      </c>
      <c r="G800" s="126"/>
      <c r="H800" s="126">
        <f t="shared" si="12"/>
        <v>0.77430610767805441</v>
      </c>
      <c r="I800" s="89">
        <v>229.1399999999999</v>
      </c>
      <c r="J800" s="126">
        <v>83.855208333333323</v>
      </c>
    </row>
    <row r="801" spans="1:10" x14ac:dyDescent="0.3">
      <c r="A801" s="88" t="s">
        <v>482</v>
      </c>
      <c r="B801" s="24">
        <v>39150</v>
      </c>
      <c r="C801" s="32">
        <v>6.7968434997983991</v>
      </c>
      <c r="D801">
        <v>9.9</v>
      </c>
      <c r="E801">
        <v>0.1</v>
      </c>
      <c r="F801" s="126">
        <v>3.5950000000000002</v>
      </c>
      <c r="G801" s="126"/>
      <c r="H801" s="126">
        <f t="shared" si="12"/>
        <v>0.61546101269605991</v>
      </c>
      <c r="I801" s="89">
        <v>244.26000000000005</v>
      </c>
      <c r="J801" s="126">
        <v>80.814583333333346</v>
      </c>
    </row>
    <row r="802" spans="1:10" x14ac:dyDescent="0.3">
      <c r="A802" s="88" t="s">
        <v>482</v>
      </c>
      <c r="B802" s="24">
        <v>39151</v>
      </c>
      <c r="C802" s="32">
        <v>10.26096567018029</v>
      </c>
      <c r="D802">
        <v>9.9</v>
      </c>
      <c r="E802">
        <v>0</v>
      </c>
      <c r="F802" s="126">
        <v>0</v>
      </c>
      <c r="G802" s="126"/>
      <c r="H802" s="126">
        <f t="shared" si="12"/>
        <v>0.61099999999999999</v>
      </c>
      <c r="I802" s="89">
        <v>290.07000000000005</v>
      </c>
      <c r="J802" s="126">
        <v>78.61770833333334</v>
      </c>
    </row>
    <row r="803" spans="1:10" x14ac:dyDescent="0.3">
      <c r="A803" s="88" t="s">
        <v>482</v>
      </c>
      <c r="B803" s="24">
        <v>39152</v>
      </c>
      <c r="C803" s="32">
        <v>13.712487759921665</v>
      </c>
      <c r="D803">
        <v>9.9</v>
      </c>
      <c r="E803">
        <v>0.2</v>
      </c>
      <c r="F803" s="126">
        <v>0.06</v>
      </c>
      <c r="G803" s="126"/>
      <c r="H803" s="126">
        <f t="shared" si="12"/>
        <v>0.61995079814923992</v>
      </c>
      <c r="I803" s="89">
        <v>256.68</v>
      </c>
      <c r="J803" s="126">
        <v>72.0625</v>
      </c>
    </row>
    <row r="804" spans="1:10" x14ac:dyDescent="0.3">
      <c r="A804" s="88" t="s">
        <v>482</v>
      </c>
      <c r="B804" s="24">
        <v>39153</v>
      </c>
      <c r="C804" s="32">
        <v>14.436092390991304</v>
      </c>
      <c r="D804">
        <v>9.6999999999999993</v>
      </c>
      <c r="E804">
        <v>0.1</v>
      </c>
      <c r="F804" s="126">
        <v>0.01</v>
      </c>
      <c r="G804" s="126"/>
      <c r="H804" s="126">
        <f t="shared" si="12"/>
        <v>0.61546101269605991</v>
      </c>
      <c r="I804" s="89">
        <v>120.96000000000001</v>
      </c>
      <c r="J804" s="126">
        <v>70.521874999999994</v>
      </c>
    </row>
    <row r="805" spans="1:10" x14ac:dyDescent="0.3">
      <c r="A805" s="88" t="s">
        <v>482</v>
      </c>
      <c r="B805" s="24">
        <v>39154</v>
      </c>
      <c r="C805" s="32">
        <v>12.109577501296009</v>
      </c>
      <c r="D805">
        <v>9.8000000000000007</v>
      </c>
      <c r="E805">
        <v>0.1</v>
      </c>
      <c r="F805" s="126">
        <v>5.0000000000000001E-3</v>
      </c>
      <c r="G805" s="126"/>
      <c r="H805" s="126">
        <f t="shared" si="12"/>
        <v>0.61546101269605991</v>
      </c>
      <c r="I805" s="89">
        <v>162.09</v>
      </c>
      <c r="J805" s="126">
        <v>78.198958333333337</v>
      </c>
    </row>
    <row r="806" spans="1:10" x14ac:dyDescent="0.3">
      <c r="A806" s="88" t="s">
        <v>482</v>
      </c>
      <c r="B806" s="24">
        <v>39155</v>
      </c>
      <c r="C806" s="32">
        <v>11.8188756408041</v>
      </c>
      <c r="D806">
        <v>9.9</v>
      </c>
      <c r="E806">
        <v>0.1</v>
      </c>
      <c r="F806" s="126">
        <v>0</v>
      </c>
      <c r="G806" s="126"/>
      <c r="H806" s="126">
        <f t="shared" si="12"/>
        <v>0.61546101269605991</v>
      </c>
      <c r="I806" s="89">
        <v>212.93999999999997</v>
      </c>
      <c r="J806" s="126">
        <v>73.856250000000003</v>
      </c>
    </row>
    <row r="807" spans="1:10" x14ac:dyDescent="0.3">
      <c r="A807" s="88" t="s">
        <v>482</v>
      </c>
      <c r="B807" s="24">
        <v>39156</v>
      </c>
      <c r="C807" s="32">
        <v>14.609793502678418</v>
      </c>
      <c r="D807">
        <v>9.9</v>
      </c>
      <c r="E807">
        <v>0</v>
      </c>
      <c r="F807" s="126">
        <v>0</v>
      </c>
      <c r="G807" s="126"/>
      <c r="H807" s="126">
        <f t="shared" si="12"/>
        <v>0.61099999999999999</v>
      </c>
      <c r="I807" s="89">
        <v>157.68</v>
      </c>
      <c r="J807" s="126">
        <v>75.884375000000006</v>
      </c>
    </row>
    <row r="808" spans="1:10" x14ac:dyDescent="0.3">
      <c r="A808" s="88" t="s">
        <v>482</v>
      </c>
      <c r="B808" s="24">
        <v>39157</v>
      </c>
      <c r="C808" s="32">
        <v>6.0669388284085022</v>
      </c>
      <c r="D808">
        <v>9.9</v>
      </c>
      <c r="E808">
        <v>0</v>
      </c>
      <c r="F808" s="126">
        <v>0</v>
      </c>
      <c r="G808" s="126"/>
      <c r="H808" s="126">
        <f t="shared" si="12"/>
        <v>0.61099999999999999</v>
      </c>
      <c r="I808" s="89">
        <v>295.19999999999993</v>
      </c>
      <c r="J808" s="126">
        <v>80.378124999999997</v>
      </c>
    </row>
    <row r="809" spans="1:10" x14ac:dyDescent="0.3">
      <c r="A809" s="88" t="s">
        <v>482</v>
      </c>
      <c r="B809" s="24">
        <v>39158</v>
      </c>
      <c r="C809" s="32">
        <v>2.7018172916306664</v>
      </c>
      <c r="D809">
        <v>9.9</v>
      </c>
      <c r="E809">
        <v>6.9</v>
      </c>
      <c r="F809" s="126">
        <v>1.835</v>
      </c>
      <c r="G809" s="126"/>
      <c r="H809" s="126">
        <f t="shared" si="12"/>
        <v>0.99532561227749294</v>
      </c>
      <c r="I809" s="89">
        <v>514.97999999999979</v>
      </c>
      <c r="J809" s="126">
        <v>84.025000000000006</v>
      </c>
    </row>
    <row r="810" spans="1:10" x14ac:dyDescent="0.3">
      <c r="A810" s="88" t="s">
        <v>482</v>
      </c>
      <c r="B810" s="24">
        <v>39159</v>
      </c>
      <c r="C810" s="32">
        <v>3.3210212545360291</v>
      </c>
      <c r="D810">
        <v>9.9</v>
      </c>
      <c r="E810">
        <v>0</v>
      </c>
      <c r="F810" s="126">
        <v>4.4450000000000003</v>
      </c>
      <c r="G810" s="126"/>
      <c r="H810" s="126">
        <f t="shared" si="12"/>
        <v>0.61099999999999999</v>
      </c>
      <c r="I810" s="89">
        <v>560.70000000000005</v>
      </c>
      <c r="J810" s="126">
        <v>79.932291666666671</v>
      </c>
    </row>
    <row r="811" spans="1:10" x14ac:dyDescent="0.3">
      <c r="A811" s="88" t="s">
        <v>482</v>
      </c>
      <c r="B811" s="24">
        <v>39160</v>
      </c>
      <c r="C811" s="32">
        <v>12.114077530096194</v>
      </c>
      <c r="D811">
        <v>6.6</v>
      </c>
      <c r="E811">
        <v>0</v>
      </c>
      <c r="F811" s="126">
        <v>0.01</v>
      </c>
      <c r="G811" s="126"/>
      <c r="H811" s="126">
        <f t="shared" si="12"/>
        <v>0.61099999999999999</v>
      </c>
      <c r="I811" s="89">
        <v>303.92999999999995</v>
      </c>
      <c r="J811" s="126">
        <v>75.657291666666666</v>
      </c>
    </row>
    <row r="812" spans="1:10" x14ac:dyDescent="0.3">
      <c r="A812" s="88" t="s">
        <v>482</v>
      </c>
      <c r="B812" s="24">
        <v>39161</v>
      </c>
      <c r="C812" s="32">
        <v>12.852982259086458</v>
      </c>
      <c r="D812">
        <v>8.4</v>
      </c>
      <c r="E812">
        <v>0</v>
      </c>
      <c r="F812" s="126">
        <v>0.05</v>
      </c>
      <c r="G812" s="126"/>
      <c r="H812" s="126">
        <f t="shared" si="12"/>
        <v>0.61099999999999999</v>
      </c>
      <c r="I812" s="89">
        <v>287.45999999999998</v>
      </c>
      <c r="J812" s="126">
        <v>82.03125</v>
      </c>
    </row>
    <row r="813" spans="1:10" x14ac:dyDescent="0.3">
      <c r="A813" s="88" t="s">
        <v>482</v>
      </c>
      <c r="B813" s="24">
        <v>39162</v>
      </c>
      <c r="C813" s="32">
        <v>3.7278238580726919</v>
      </c>
      <c r="D813">
        <v>4.7</v>
      </c>
      <c r="E813">
        <v>0</v>
      </c>
      <c r="F813" s="126">
        <v>3.11</v>
      </c>
      <c r="G813" s="126"/>
      <c r="H813" s="126">
        <f t="shared" si="12"/>
        <v>0.61099999999999999</v>
      </c>
      <c r="I813" s="89">
        <v>381.78000000000003</v>
      </c>
      <c r="J813" s="126">
        <v>87.224999999999994</v>
      </c>
    </row>
    <row r="814" spans="1:10" x14ac:dyDescent="0.3">
      <c r="A814" s="88" t="s">
        <v>482</v>
      </c>
      <c r="B814" s="24">
        <v>39163</v>
      </c>
      <c r="C814" s="32">
        <v>1.411209031737803</v>
      </c>
      <c r="D814">
        <v>4.5999999999999996</v>
      </c>
      <c r="E814">
        <v>0.1</v>
      </c>
      <c r="F814" s="126">
        <v>26.98</v>
      </c>
      <c r="G814" s="126"/>
      <c r="H814" s="126">
        <f t="shared" si="12"/>
        <v>0.61546101269605991</v>
      </c>
      <c r="I814" s="89">
        <v>352.35</v>
      </c>
      <c r="J814" s="126">
        <v>96.993750000000006</v>
      </c>
    </row>
    <row r="815" spans="1:10" x14ac:dyDescent="0.3">
      <c r="A815" s="88" t="s">
        <v>482</v>
      </c>
      <c r="B815" s="24">
        <v>39164</v>
      </c>
      <c r="C815" s="32">
        <v>11.806862932343819</v>
      </c>
      <c r="D815">
        <v>9.9</v>
      </c>
      <c r="E815">
        <v>0</v>
      </c>
      <c r="F815" s="126">
        <v>0.97499999999999998</v>
      </c>
      <c r="G815" s="126"/>
      <c r="H815" s="126">
        <f t="shared" si="12"/>
        <v>0.61099999999999999</v>
      </c>
      <c r="I815" s="89">
        <v>532.58778947368432</v>
      </c>
      <c r="J815" s="126">
        <v>80.534736842105247</v>
      </c>
    </row>
    <row r="816" spans="1:10" x14ac:dyDescent="0.3">
      <c r="A816" s="88" t="s">
        <v>482</v>
      </c>
      <c r="B816" s="24">
        <v>39165</v>
      </c>
      <c r="C816" s="32">
        <v>12.150077760497668</v>
      </c>
      <c r="D816">
        <v>9.8000000000000007</v>
      </c>
      <c r="E816">
        <v>0.1</v>
      </c>
      <c r="F816" s="126">
        <v>1.675</v>
      </c>
      <c r="G816" s="126"/>
      <c r="H816" s="126">
        <f t="shared" si="12"/>
        <v>0.61546101269605991</v>
      </c>
      <c r="I816" s="89">
        <v>467.28000000000014</v>
      </c>
      <c r="J816" s="126">
        <v>72.3072916666667</v>
      </c>
    </row>
    <row r="817" spans="1:10" x14ac:dyDescent="0.3">
      <c r="A817" s="88" t="s">
        <v>482</v>
      </c>
      <c r="B817" s="24">
        <v>39166</v>
      </c>
      <c r="C817" s="32">
        <v>16.438605207073326</v>
      </c>
      <c r="D817">
        <v>9.9</v>
      </c>
      <c r="E817">
        <v>0</v>
      </c>
      <c r="F817" s="126">
        <v>0</v>
      </c>
      <c r="G817" s="126"/>
      <c r="H817" s="126">
        <f t="shared" si="12"/>
        <v>0.61099999999999999</v>
      </c>
      <c r="I817" s="89">
        <v>452.97</v>
      </c>
      <c r="J817" s="126">
        <v>61.515625</v>
      </c>
    </row>
    <row r="818" spans="1:10" x14ac:dyDescent="0.3">
      <c r="A818" s="88" t="s">
        <v>482</v>
      </c>
      <c r="B818" s="24">
        <v>39167</v>
      </c>
      <c r="C818" s="32">
        <v>16.850807845170209</v>
      </c>
      <c r="D818">
        <v>9.8000000000000007</v>
      </c>
      <c r="E818">
        <v>0</v>
      </c>
      <c r="F818" s="126">
        <v>0</v>
      </c>
      <c r="G818" s="126"/>
      <c r="H818" s="126">
        <f t="shared" si="12"/>
        <v>0.61099999999999999</v>
      </c>
      <c r="I818" s="89">
        <v>418.95000000000016</v>
      </c>
      <c r="J818" s="126">
        <v>62.040624999999999</v>
      </c>
    </row>
    <row r="819" spans="1:10" x14ac:dyDescent="0.3">
      <c r="A819" s="88" t="s">
        <v>482</v>
      </c>
      <c r="B819" s="24">
        <v>39168</v>
      </c>
      <c r="C819" s="32">
        <v>16.807607568688439</v>
      </c>
      <c r="D819">
        <v>9.9</v>
      </c>
      <c r="E819">
        <v>0.1</v>
      </c>
      <c r="F819" s="126">
        <v>0</v>
      </c>
      <c r="G819" s="126"/>
      <c r="H819" s="126">
        <f t="shared" si="12"/>
        <v>0.61546101269605991</v>
      </c>
      <c r="I819" s="89">
        <v>330.93000000000006</v>
      </c>
      <c r="J819" s="126">
        <v>64.620833333333337</v>
      </c>
    </row>
    <row r="820" spans="1:10" x14ac:dyDescent="0.3">
      <c r="A820" s="88" t="s">
        <v>482</v>
      </c>
      <c r="B820" s="24">
        <v>39169</v>
      </c>
      <c r="C820" s="32">
        <v>15.634000057600367</v>
      </c>
      <c r="D820">
        <v>9.6999999999999993</v>
      </c>
      <c r="E820">
        <v>0</v>
      </c>
      <c r="F820" s="126">
        <v>0</v>
      </c>
      <c r="G820" s="126"/>
      <c r="H820" s="126">
        <f t="shared" si="12"/>
        <v>0.61099999999999999</v>
      </c>
      <c r="I820" s="89">
        <v>247.77</v>
      </c>
      <c r="J820" s="126">
        <v>69.394791666666649</v>
      </c>
    </row>
    <row r="821" spans="1:10" x14ac:dyDescent="0.3">
      <c r="A821" s="88" t="s">
        <v>482</v>
      </c>
      <c r="B821" s="24">
        <v>39170</v>
      </c>
      <c r="C821" s="32">
        <v>15.925601923852312</v>
      </c>
      <c r="D821">
        <v>9.8000000000000007</v>
      </c>
      <c r="E821">
        <v>0.1</v>
      </c>
      <c r="F821" s="126">
        <v>0</v>
      </c>
      <c r="G821" s="126"/>
      <c r="H821" s="126">
        <f t="shared" si="12"/>
        <v>0.61546101269605991</v>
      </c>
      <c r="I821" s="89">
        <v>273.69</v>
      </c>
      <c r="J821" s="126">
        <v>70.645833333333329</v>
      </c>
    </row>
    <row r="822" spans="1:10" x14ac:dyDescent="0.3">
      <c r="A822" s="88" t="s">
        <v>482</v>
      </c>
      <c r="B822" s="24">
        <v>39171</v>
      </c>
      <c r="C822" s="32">
        <v>15.159697022060943</v>
      </c>
      <c r="D822">
        <v>9.9</v>
      </c>
      <c r="E822">
        <v>0.1</v>
      </c>
      <c r="F822" s="126">
        <v>0</v>
      </c>
      <c r="G822" s="126"/>
      <c r="H822" s="126">
        <f t="shared" si="12"/>
        <v>0.61546101269605991</v>
      </c>
      <c r="I822" s="89">
        <v>233.82</v>
      </c>
      <c r="J822" s="126">
        <v>79.523958333333326</v>
      </c>
    </row>
    <row r="823" spans="1:10" x14ac:dyDescent="0.3">
      <c r="A823" s="88" t="s">
        <v>482</v>
      </c>
      <c r="B823" s="24">
        <v>39172</v>
      </c>
      <c r="C823" s="32">
        <v>15.174997119981567</v>
      </c>
      <c r="D823">
        <v>9.9</v>
      </c>
      <c r="E823">
        <v>0.4</v>
      </c>
      <c r="F823" s="126">
        <v>0</v>
      </c>
      <c r="G823" s="126"/>
      <c r="H823" s="126">
        <f t="shared" si="12"/>
        <v>0.62901732612537431</v>
      </c>
      <c r="I823" s="89">
        <v>330.93000000000012</v>
      </c>
      <c r="J823" s="126">
        <v>74.710416666666674</v>
      </c>
    </row>
    <row r="824" spans="1:10" x14ac:dyDescent="0.3">
      <c r="A824" s="88" t="s">
        <v>482</v>
      </c>
      <c r="B824" s="24">
        <v>39173</v>
      </c>
      <c r="C824" s="32">
        <v>17.563612407119408</v>
      </c>
      <c r="D824">
        <v>16.899999999999999</v>
      </c>
      <c r="E824">
        <v>3.5</v>
      </c>
      <c r="F824" s="126">
        <v>0</v>
      </c>
      <c r="G824" s="126"/>
      <c r="H824" s="126">
        <f t="shared" si="12"/>
        <v>0.78533815916549388</v>
      </c>
      <c r="I824" s="89">
        <v>359.7299999999999</v>
      </c>
      <c r="J824" s="126">
        <v>65.830208333333346</v>
      </c>
    </row>
    <row r="825" spans="1:10" x14ac:dyDescent="0.3">
      <c r="A825" s="88" t="s">
        <v>482</v>
      </c>
      <c r="B825" s="24">
        <v>39174</v>
      </c>
      <c r="C825" s="32">
        <v>16.674406716202984</v>
      </c>
      <c r="D825">
        <v>17.2</v>
      </c>
      <c r="E825">
        <v>2.6</v>
      </c>
      <c r="F825" s="126">
        <v>0</v>
      </c>
      <c r="G825" s="126"/>
      <c r="H825" s="126">
        <f t="shared" si="12"/>
        <v>0.73676325541308207</v>
      </c>
      <c r="I825" s="89">
        <v>151.47</v>
      </c>
      <c r="J825" s="126">
        <v>70.166666666666671</v>
      </c>
    </row>
    <row r="826" spans="1:10" x14ac:dyDescent="0.3">
      <c r="A826" s="88" t="s">
        <v>482</v>
      </c>
      <c r="B826" s="24">
        <v>39175</v>
      </c>
      <c r="C826" s="32">
        <v>4.7691305224353435</v>
      </c>
      <c r="D826">
        <v>7.5</v>
      </c>
      <c r="E826">
        <v>2.2999999999999998</v>
      </c>
      <c r="F826" s="126">
        <v>2.79</v>
      </c>
      <c r="G826" s="126"/>
      <c r="H826" s="126">
        <f t="shared" si="12"/>
        <v>0.72117182708011951</v>
      </c>
      <c r="I826" s="89">
        <v>301.59000000000003</v>
      </c>
      <c r="J826" s="126">
        <v>88.058333333333351</v>
      </c>
    </row>
    <row r="827" spans="1:10" x14ac:dyDescent="0.3">
      <c r="A827" s="88" t="s">
        <v>482</v>
      </c>
      <c r="B827" s="24">
        <v>39176</v>
      </c>
      <c r="C827" s="32">
        <v>20.193429237947122</v>
      </c>
      <c r="D827">
        <v>9.4</v>
      </c>
      <c r="E827">
        <v>-1</v>
      </c>
      <c r="F827" s="126">
        <v>0</v>
      </c>
      <c r="G827" s="126"/>
      <c r="H827" s="126">
        <f t="shared" si="12"/>
        <v>0.5679377955282604</v>
      </c>
      <c r="I827" s="89">
        <v>186.57</v>
      </c>
      <c r="J827" s="126">
        <v>76.847916666666691</v>
      </c>
    </row>
    <row r="828" spans="1:10" x14ac:dyDescent="0.3">
      <c r="A828" s="88" t="s">
        <v>482</v>
      </c>
      <c r="B828" s="24">
        <v>39177</v>
      </c>
      <c r="C828" s="32">
        <v>8.7714561373192783</v>
      </c>
      <c r="D828">
        <v>14.4</v>
      </c>
      <c r="E828">
        <v>1.2</v>
      </c>
      <c r="F828" s="126">
        <v>0</v>
      </c>
      <c r="G828" s="126"/>
      <c r="H828" s="126">
        <f t="shared" si="12"/>
        <v>0.66646661006207619</v>
      </c>
      <c r="I828" s="89">
        <v>370.8</v>
      </c>
      <c r="J828" s="126">
        <v>82.403125000000003</v>
      </c>
    </row>
    <row r="829" spans="1:10" x14ac:dyDescent="0.3">
      <c r="A829" s="88" t="s">
        <v>482</v>
      </c>
      <c r="B829" s="24">
        <v>39178</v>
      </c>
      <c r="C829" s="32">
        <v>7.7589496572778058</v>
      </c>
      <c r="D829">
        <v>11.3</v>
      </c>
      <c r="E829">
        <v>5.3</v>
      </c>
      <c r="F829" s="126">
        <v>0</v>
      </c>
      <c r="G829" s="126"/>
      <c r="H829" s="126">
        <f t="shared" si="12"/>
        <v>0.89103953465215091</v>
      </c>
      <c r="I829" s="89">
        <v>257.66999999999996</v>
      </c>
      <c r="J829" s="126">
        <v>85.629166666666663</v>
      </c>
    </row>
    <row r="830" spans="1:10" x14ac:dyDescent="0.3">
      <c r="A830" s="88" t="s">
        <v>482</v>
      </c>
      <c r="B830" s="24">
        <v>39179</v>
      </c>
      <c r="C830" s="32">
        <v>16.356704682909971</v>
      </c>
      <c r="D830">
        <v>12.3</v>
      </c>
      <c r="E830">
        <v>2</v>
      </c>
      <c r="F830" s="126">
        <v>5.0000000000000001E-3</v>
      </c>
      <c r="G830" s="126"/>
      <c r="H830" s="126">
        <f t="shared" si="12"/>
        <v>0.70587248896856769</v>
      </c>
      <c r="I830" s="89">
        <v>218.06999999999991</v>
      </c>
      <c r="J830" s="126">
        <v>80.28125</v>
      </c>
    </row>
    <row r="831" spans="1:10" x14ac:dyDescent="0.3">
      <c r="A831" s="88" t="s">
        <v>482</v>
      </c>
      <c r="B831" s="24">
        <v>39180</v>
      </c>
      <c r="C831" s="32">
        <v>10.515667300270721</v>
      </c>
      <c r="D831">
        <v>13.5</v>
      </c>
      <c r="E831">
        <v>5.3</v>
      </c>
      <c r="F831" s="126">
        <v>0</v>
      </c>
      <c r="G831" s="126"/>
      <c r="H831" s="126">
        <f t="shared" si="12"/>
        <v>0.89103953465215091</v>
      </c>
      <c r="I831" s="89">
        <v>312.48000000000008</v>
      </c>
      <c r="J831" s="126">
        <v>79.784374999999997</v>
      </c>
    </row>
    <row r="832" spans="1:10" x14ac:dyDescent="0.3">
      <c r="A832" s="88" t="s">
        <v>482</v>
      </c>
      <c r="B832" s="24">
        <v>39181</v>
      </c>
      <c r="C832" s="32">
        <v>10.994470364610333</v>
      </c>
      <c r="D832">
        <v>13.2</v>
      </c>
      <c r="E832">
        <v>7.9</v>
      </c>
      <c r="F832" s="126">
        <v>0</v>
      </c>
      <c r="G832" s="126"/>
      <c r="H832" s="126">
        <f t="shared" si="12"/>
        <v>1.0658332114824252</v>
      </c>
      <c r="I832" s="89">
        <v>406.2600000000001</v>
      </c>
      <c r="J832" s="126">
        <v>75.443749999999994</v>
      </c>
    </row>
    <row r="833" spans="1:10" x14ac:dyDescent="0.3">
      <c r="A833" s="88" t="s">
        <v>482</v>
      </c>
      <c r="B833" s="24">
        <v>39182</v>
      </c>
      <c r="C833" s="32">
        <v>8.4123538390645702</v>
      </c>
      <c r="D833">
        <v>15.1</v>
      </c>
      <c r="E833">
        <v>9.4</v>
      </c>
      <c r="F833" s="126">
        <v>0.03</v>
      </c>
      <c r="G833" s="126"/>
      <c r="H833" s="126">
        <f t="shared" si="12"/>
        <v>1.1798411174091483</v>
      </c>
      <c r="I833" s="89">
        <v>381.32999999999993</v>
      </c>
      <c r="J833" s="126">
        <v>79.817708333333314</v>
      </c>
    </row>
    <row r="834" spans="1:10" x14ac:dyDescent="0.3">
      <c r="A834" s="88" t="s">
        <v>482</v>
      </c>
      <c r="B834" s="24">
        <v>39183</v>
      </c>
      <c r="C834" s="32">
        <v>10.561567594032601</v>
      </c>
      <c r="D834">
        <v>14.7</v>
      </c>
      <c r="E834">
        <v>7.2</v>
      </c>
      <c r="F834" s="126">
        <v>0</v>
      </c>
      <c r="G834" s="126"/>
      <c r="H834" s="126">
        <f t="shared" si="12"/>
        <v>1.0160332727272676</v>
      </c>
      <c r="I834" s="89">
        <v>219.96000000000009</v>
      </c>
      <c r="J834" s="126">
        <v>79.392708333333275</v>
      </c>
    </row>
    <row r="835" spans="1:10" x14ac:dyDescent="0.3">
      <c r="A835" s="88" t="s">
        <v>482</v>
      </c>
      <c r="B835" s="24">
        <v>39184</v>
      </c>
      <c r="C835" s="32">
        <v>20.414830654916191</v>
      </c>
      <c r="D835">
        <v>18.7</v>
      </c>
      <c r="E835">
        <v>2.7</v>
      </c>
      <c r="F835" s="126">
        <v>0</v>
      </c>
      <c r="G835" s="126"/>
      <c r="H835" s="126">
        <f t="shared" si="12"/>
        <v>0.74202613073523482</v>
      </c>
      <c r="I835" s="89">
        <v>186.93000000000009</v>
      </c>
      <c r="J835" s="126">
        <v>80.889583333333363</v>
      </c>
    </row>
    <row r="836" spans="1:10" x14ac:dyDescent="0.3">
      <c r="A836" s="88" t="s">
        <v>482</v>
      </c>
      <c r="B836" s="24">
        <v>39185</v>
      </c>
      <c r="C836" s="32">
        <v>20.020628132020047</v>
      </c>
      <c r="D836">
        <v>22.2</v>
      </c>
      <c r="E836">
        <v>6.9</v>
      </c>
      <c r="F836" s="126">
        <v>0</v>
      </c>
      <c r="G836" s="126"/>
      <c r="H836" s="126">
        <f t="shared" ref="H836:H899" si="13">0.611*EXP((17.27*E836)/(E836+237.3))</f>
        <v>0.99532561227749294</v>
      </c>
      <c r="I836" s="89">
        <v>313.64999999999998</v>
      </c>
      <c r="J836" s="126">
        <v>65.301041666666649</v>
      </c>
    </row>
    <row r="837" spans="1:10" x14ac:dyDescent="0.3">
      <c r="A837" s="88" t="s">
        <v>482</v>
      </c>
      <c r="B837" s="24">
        <v>39186</v>
      </c>
      <c r="C837" s="32">
        <v>21.564138010483269</v>
      </c>
      <c r="D837">
        <v>23.6</v>
      </c>
      <c r="E837">
        <v>7.7</v>
      </c>
      <c r="F837" s="126">
        <v>0</v>
      </c>
      <c r="G837" s="126"/>
      <c r="H837" s="126">
        <f t="shared" si="13"/>
        <v>1.0513900110721115</v>
      </c>
      <c r="I837" s="89">
        <v>260.01</v>
      </c>
      <c r="J837" s="126">
        <v>51.85</v>
      </c>
    </row>
    <row r="838" spans="1:10" x14ac:dyDescent="0.3">
      <c r="A838" s="88" t="s">
        <v>482</v>
      </c>
      <c r="B838" s="24">
        <v>39187</v>
      </c>
      <c r="C838" s="32">
        <v>22.130241633546458</v>
      </c>
      <c r="D838">
        <v>23.3</v>
      </c>
      <c r="E838">
        <v>6.3</v>
      </c>
      <c r="F838" s="126">
        <v>0</v>
      </c>
      <c r="G838" s="126"/>
      <c r="H838" s="126">
        <f t="shared" si="13"/>
        <v>0.95502249025252561</v>
      </c>
      <c r="I838" s="89">
        <v>236.88000000000005</v>
      </c>
      <c r="J838" s="126">
        <v>48.173958333333324</v>
      </c>
    </row>
    <row r="839" spans="1:10" x14ac:dyDescent="0.3">
      <c r="A839" s="88" t="s">
        <v>482</v>
      </c>
      <c r="B839" s="24">
        <v>39188</v>
      </c>
      <c r="C839" s="32">
        <v>20.579531709002939</v>
      </c>
      <c r="D839">
        <v>26</v>
      </c>
      <c r="E839">
        <v>10</v>
      </c>
      <c r="F839" s="126">
        <v>5.0000000000000001E-3</v>
      </c>
      <c r="G839" s="126"/>
      <c r="H839" s="126">
        <f t="shared" si="13"/>
        <v>1.2283647027117881</v>
      </c>
      <c r="I839" s="89">
        <v>158.58000000000001</v>
      </c>
      <c r="J839" s="126">
        <v>46.376041666666652</v>
      </c>
    </row>
    <row r="840" spans="1:10" x14ac:dyDescent="0.3">
      <c r="A840" s="88" t="s">
        <v>482</v>
      </c>
      <c r="B840" s="24">
        <v>39189</v>
      </c>
      <c r="C840" s="32">
        <v>11.771175335522148</v>
      </c>
      <c r="D840">
        <v>16.399999999999999</v>
      </c>
      <c r="E840">
        <v>6.1</v>
      </c>
      <c r="F840" s="126">
        <v>0</v>
      </c>
      <c r="G840" s="126"/>
      <c r="H840" s="126">
        <f t="shared" si="13"/>
        <v>0.94191143925241705</v>
      </c>
      <c r="I840" s="89">
        <v>277.46999999999997</v>
      </c>
      <c r="J840" s="126">
        <v>67.667708333333351</v>
      </c>
    </row>
    <row r="841" spans="1:10" x14ac:dyDescent="0.3">
      <c r="A841" s="88" t="s">
        <v>482</v>
      </c>
      <c r="B841" s="24">
        <v>39190</v>
      </c>
      <c r="C841" s="32">
        <v>15.110196705258913</v>
      </c>
      <c r="D841">
        <v>12.7</v>
      </c>
      <c r="E841">
        <v>4.7</v>
      </c>
      <c r="F841" s="126">
        <v>0</v>
      </c>
      <c r="G841" s="126"/>
      <c r="H841" s="126">
        <f t="shared" si="13"/>
        <v>0.85449106840682587</v>
      </c>
      <c r="I841" s="89">
        <v>359.81999999999994</v>
      </c>
      <c r="J841" s="126">
        <v>62.661458333333364</v>
      </c>
    </row>
    <row r="842" spans="1:10" x14ac:dyDescent="0.3">
      <c r="A842" s="88" t="s">
        <v>482</v>
      </c>
      <c r="B842" s="24">
        <v>39191</v>
      </c>
      <c r="C842" s="32">
        <v>21.306736363112723</v>
      </c>
      <c r="D842">
        <v>16.7</v>
      </c>
      <c r="E842">
        <v>1.8</v>
      </c>
      <c r="F842" s="126">
        <v>0</v>
      </c>
      <c r="G842" s="126"/>
      <c r="H842" s="126">
        <f t="shared" si="13"/>
        <v>0.69583287280742301</v>
      </c>
      <c r="I842" s="89">
        <v>431.37000000000012</v>
      </c>
      <c r="J842" s="126">
        <v>60.358333333333348</v>
      </c>
    </row>
    <row r="843" spans="1:10" x14ac:dyDescent="0.3">
      <c r="A843" s="88" t="s">
        <v>482</v>
      </c>
      <c r="B843" s="24">
        <v>39192</v>
      </c>
      <c r="C843" s="32">
        <v>10.423866712746962</v>
      </c>
      <c r="D843">
        <v>9.3000000000000007</v>
      </c>
      <c r="E843">
        <v>3.3</v>
      </c>
      <c r="F843" s="126">
        <v>0</v>
      </c>
      <c r="G843" s="126"/>
      <c r="H843" s="126">
        <f t="shared" si="13"/>
        <v>0.77430610767805441</v>
      </c>
      <c r="I843" s="89">
        <v>366.12</v>
      </c>
      <c r="J843" s="126">
        <v>59.535416666666684</v>
      </c>
    </row>
    <row r="844" spans="1:10" x14ac:dyDescent="0.3">
      <c r="A844" s="88" t="s">
        <v>482</v>
      </c>
      <c r="B844" s="24">
        <v>39193</v>
      </c>
      <c r="C844" s="32">
        <v>21.86743995161569</v>
      </c>
      <c r="D844">
        <v>11.4</v>
      </c>
      <c r="E844">
        <v>-0.8</v>
      </c>
      <c r="F844" s="126">
        <v>0</v>
      </c>
      <c r="G844" s="126"/>
      <c r="H844" s="126">
        <f t="shared" si="13"/>
        <v>0.57632881345991693</v>
      </c>
      <c r="I844" s="89">
        <v>110.69999999999999</v>
      </c>
      <c r="J844" s="126">
        <v>64.023958333333326</v>
      </c>
    </row>
    <row r="845" spans="1:10" x14ac:dyDescent="0.3">
      <c r="A845" s="88" t="s">
        <v>482</v>
      </c>
      <c r="B845" s="24">
        <v>39194</v>
      </c>
      <c r="C845" s="32">
        <v>22.923146708138933</v>
      </c>
      <c r="D845">
        <v>19.100000000000001</v>
      </c>
      <c r="E845">
        <v>2.2000000000000002</v>
      </c>
      <c r="F845" s="126">
        <v>0</v>
      </c>
      <c r="G845" s="126"/>
      <c r="H845" s="126">
        <f t="shared" si="13"/>
        <v>0.71603982725344328</v>
      </c>
      <c r="I845" s="89">
        <v>208.52999999999992</v>
      </c>
      <c r="J845" s="126">
        <v>48.592708333333341</v>
      </c>
    </row>
    <row r="846" spans="1:10" x14ac:dyDescent="0.3">
      <c r="A846" s="88" t="s">
        <v>482</v>
      </c>
      <c r="B846" s="24">
        <v>39195</v>
      </c>
      <c r="C846" s="32">
        <v>20.258229652669776</v>
      </c>
      <c r="D846">
        <v>22</v>
      </c>
      <c r="E846">
        <v>6.1</v>
      </c>
      <c r="F846" s="126">
        <v>0</v>
      </c>
      <c r="G846" s="126"/>
      <c r="H846" s="126">
        <f t="shared" si="13"/>
        <v>0.94191143925241705</v>
      </c>
      <c r="I846" s="89">
        <v>204.75000000000009</v>
      </c>
      <c r="J846" s="126">
        <v>58.70104166666669</v>
      </c>
    </row>
    <row r="847" spans="1:10" x14ac:dyDescent="0.3">
      <c r="A847" s="88" t="s">
        <v>482</v>
      </c>
      <c r="B847" s="24">
        <v>39196</v>
      </c>
      <c r="C847" s="32">
        <v>8.8280477082965412</v>
      </c>
      <c r="D847">
        <v>18.399999999999999</v>
      </c>
      <c r="E847">
        <v>12.4</v>
      </c>
      <c r="F847" s="126">
        <v>4.08</v>
      </c>
      <c r="G847" s="126"/>
      <c r="H847" s="126">
        <f t="shared" si="13"/>
        <v>1.4404604588486194</v>
      </c>
      <c r="I847" s="89">
        <v>189.60527472527474</v>
      </c>
      <c r="J847" s="126">
        <v>86.950549450549445</v>
      </c>
    </row>
    <row r="848" spans="1:10" x14ac:dyDescent="0.3">
      <c r="A848" s="88" t="s">
        <v>482</v>
      </c>
      <c r="B848" s="24">
        <v>39197</v>
      </c>
      <c r="C848" s="32">
        <v>20.689332411727435</v>
      </c>
      <c r="D848">
        <v>23.4</v>
      </c>
      <c r="E848">
        <v>11.1</v>
      </c>
      <c r="F848" s="126">
        <v>0</v>
      </c>
      <c r="G848" s="126"/>
      <c r="H848" s="126">
        <f t="shared" si="13"/>
        <v>1.3218981992116727</v>
      </c>
      <c r="I848" s="89">
        <v>188.90999999999997</v>
      </c>
      <c r="J848" s="126">
        <v>73.651041666666657</v>
      </c>
    </row>
    <row r="849" spans="1:10" x14ac:dyDescent="0.3">
      <c r="A849" s="88" t="s">
        <v>482</v>
      </c>
      <c r="B849" s="24">
        <v>39198</v>
      </c>
      <c r="C849" s="32">
        <v>23.631451241287944</v>
      </c>
      <c r="D849">
        <v>23.7</v>
      </c>
      <c r="E849">
        <v>12</v>
      </c>
      <c r="F849" s="126">
        <v>0</v>
      </c>
      <c r="G849" s="126"/>
      <c r="H849" s="126">
        <f t="shared" si="13"/>
        <v>1.4030231277532583</v>
      </c>
      <c r="I849" s="89">
        <v>200.78999999999996</v>
      </c>
      <c r="J849" s="126">
        <v>58.014583333333341</v>
      </c>
    </row>
    <row r="850" spans="1:10" x14ac:dyDescent="0.3">
      <c r="A850" s="88" t="s">
        <v>482</v>
      </c>
      <c r="B850" s="24">
        <v>39199</v>
      </c>
      <c r="C850" s="32">
        <v>23.74485196705259</v>
      </c>
      <c r="D850">
        <v>25.2</v>
      </c>
      <c r="E850">
        <v>7.4</v>
      </c>
      <c r="F850" s="126">
        <v>0</v>
      </c>
      <c r="G850" s="126"/>
      <c r="H850" s="126">
        <f t="shared" si="13"/>
        <v>1.0300482820505565</v>
      </c>
      <c r="I850" s="89">
        <v>166.32000000000002</v>
      </c>
      <c r="J850" s="126">
        <v>62.354166666666664</v>
      </c>
    </row>
    <row r="851" spans="1:10" x14ac:dyDescent="0.3">
      <c r="A851" s="88" t="s">
        <v>482</v>
      </c>
      <c r="B851" s="24">
        <v>39200</v>
      </c>
      <c r="C851" s="32">
        <v>23.251648810552386</v>
      </c>
      <c r="D851">
        <v>25.1</v>
      </c>
      <c r="E851">
        <v>9.1</v>
      </c>
      <c r="F851" s="126">
        <v>0</v>
      </c>
      <c r="G851" s="126"/>
      <c r="H851" s="126">
        <f t="shared" si="13"/>
        <v>1.156217822409108</v>
      </c>
      <c r="I851" s="89">
        <v>213.65999999999997</v>
      </c>
      <c r="J851" s="126">
        <v>64.504166666666677</v>
      </c>
    </row>
    <row r="852" spans="1:10" x14ac:dyDescent="0.3">
      <c r="A852" s="88" t="s">
        <v>482</v>
      </c>
      <c r="B852" s="24">
        <v>39201</v>
      </c>
      <c r="C852" s="32">
        <v>25.624063994009564</v>
      </c>
      <c r="D852">
        <v>15.4</v>
      </c>
      <c r="E852">
        <v>6.4</v>
      </c>
      <c r="F852" s="126">
        <v>0</v>
      </c>
      <c r="G852" s="126"/>
      <c r="H852" s="126">
        <f t="shared" si="13"/>
        <v>0.96163811340513428</v>
      </c>
      <c r="I852" s="89">
        <v>405.62999999999994</v>
      </c>
      <c r="J852" s="126">
        <v>59.017708333333331</v>
      </c>
    </row>
    <row r="853" spans="1:10" x14ac:dyDescent="0.3">
      <c r="A853" s="88" t="s">
        <v>482</v>
      </c>
      <c r="B853" s="24">
        <v>39202</v>
      </c>
      <c r="C853" s="32">
        <v>25.42426271528138</v>
      </c>
      <c r="D853">
        <v>17.5</v>
      </c>
      <c r="E853">
        <v>0.4</v>
      </c>
      <c r="F853" s="126">
        <v>0</v>
      </c>
      <c r="G853" s="126"/>
      <c r="H853" s="126">
        <f t="shared" si="13"/>
        <v>0.62901732612537431</v>
      </c>
      <c r="I853" s="89">
        <v>277.29000000000002</v>
      </c>
      <c r="J853" s="126">
        <v>61.602083333333347</v>
      </c>
    </row>
    <row r="854" spans="1:10" x14ac:dyDescent="0.3">
      <c r="A854" s="88" t="s">
        <v>482</v>
      </c>
      <c r="B854" s="24">
        <v>39203</v>
      </c>
      <c r="C854" s="32">
        <v>25.484563101203847</v>
      </c>
      <c r="D854">
        <v>16</v>
      </c>
      <c r="E854">
        <v>2.8</v>
      </c>
      <c r="F854" s="126">
        <v>0</v>
      </c>
      <c r="G854" s="126"/>
      <c r="H854" s="126">
        <f t="shared" si="13"/>
        <v>0.74732216909166049</v>
      </c>
      <c r="I854" s="89">
        <v>220.68</v>
      </c>
      <c r="J854" s="126">
        <v>58.877083333333339</v>
      </c>
    </row>
    <row r="855" spans="1:10" x14ac:dyDescent="0.3">
      <c r="A855" s="88" t="s">
        <v>482</v>
      </c>
      <c r="B855" s="24">
        <v>39204</v>
      </c>
      <c r="C855" s="32">
        <v>25.380162433039573</v>
      </c>
      <c r="D855">
        <v>19</v>
      </c>
      <c r="E855">
        <v>2.9</v>
      </c>
      <c r="F855" s="126">
        <v>0</v>
      </c>
      <c r="G855" s="126"/>
      <c r="H855" s="126">
        <f t="shared" si="13"/>
        <v>0.75265154972421666</v>
      </c>
      <c r="I855" s="89">
        <v>104.67</v>
      </c>
      <c r="J855" s="126">
        <v>61.206249999999997</v>
      </c>
    </row>
    <row r="856" spans="1:10" x14ac:dyDescent="0.3">
      <c r="A856" s="88" t="s">
        <v>482</v>
      </c>
      <c r="B856" s="24">
        <v>39205</v>
      </c>
      <c r="C856" s="32">
        <v>23.536050630724038</v>
      </c>
      <c r="D856">
        <v>20.399999999999999</v>
      </c>
      <c r="E856">
        <v>4.0999999999999996</v>
      </c>
      <c r="F856" s="126">
        <v>0</v>
      </c>
      <c r="G856" s="126"/>
      <c r="H856" s="126">
        <f t="shared" si="13"/>
        <v>0.81927114982761395</v>
      </c>
      <c r="I856" s="89">
        <v>196.19999999999993</v>
      </c>
      <c r="J856" s="126">
        <v>66.977083333333354</v>
      </c>
    </row>
    <row r="857" spans="1:10" x14ac:dyDescent="0.3">
      <c r="A857" s="88" t="s">
        <v>482</v>
      </c>
      <c r="B857" s="24">
        <v>39206</v>
      </c>
      <c r="C857" s="32">
        <v>25.65106416681067</v>
      </c>
      <c r="D857">
        <v>21.3</v>
      </c>
      <c r="E857">
        <v>5.7</v>
      </c>
      <c r="F857" s="126">
        <v>0</v>
      </c>
      <c r="G857" s="126"/>
      <c r="H857" s="126">
        <f t="shared" si="13"/>
        <v>0.91616430843021424</v>
      </c>
      <c r="I857" s="89">
        <v>250.64999999999998</v>
      </c>
      <c r="J857" s="126">
        <v>54.759374999999999</v>
      </c>
    </row>
    <row r="858" spans="1:10" x14ac:dyDescent="0.3">
      <c r="A858" s="88" t="s">
        <v>482</v>
      </c>
      <c r="B858" s="24">
        <v>39207</v>
      </c>
      <c r="C858" s="32">
        <v>25.804065146016935</v>
      </c>
      <c r="D858">
        <v>22.7</v>
      </c>
      <c r="E858">
        <v>5.8</v>
      </c>
      <c r="F858" s="126">
        <v>0</v>
      </c>
      <c r="G858" s="126"/>
      <c r="H858" s="126">
        <f t="shared" si="13"/>
        <v>0.92254223518646628</v>
      </c>
      <c r="I858" s="89">
        <v>237.77999999999997</v>
      </c>
      <c r="J858" s="126">
        <v>55.009374999999999</v>
      </c>
    </row>
    <row r="859" spans="1:10" x14ac:dyDescent="0.3">
      <c r="A859" s="88" t="s">
        <v>482</v>
      </c>
      <c r="B859" s="24">
        <v>39208</v>
      </c>
      <c r="C859" s="32">
        <v>25.270361730315077</v>
      </c>
      <c r="D859">
        <v>22.2</v>
      </c>
      <c r="E859">
        <v>6.9</v>
      </c>
      <c r="F859" s="126">
        <v>0</v>
      </c>
      <c r="G859" s="126"/>
      <c r="H859" s="126">
        <f t="shared" si="13"/>
        <v>0.99532561227749294</v>
      </c>
      <c r="I859" s="89">
        <v>177.57</v>
      </c>
      <c r="J859" s="126">
        <v>64.951041666666654</v>
      </c>
    </row>
    <row r="860" spans="1:10" x14ac:dyDescent="0.3">
      <c r="A860" s="88" t="s">
        <v>482</v>
      </c>
      <c r="B860" s="24">
        <v>39209</v>
      </c>
      <c r="C860" s="32">
        <v>3.904224987039917</v>
      </c>
      <c r="D860">
        <v>15.2</v>
      </c>
      <c r="E860">
        <v>9.6999999999999993</v>
      </c>
      <c r="F860" s="126">
        <v>28.635000000000002</v>
      </c>
      <c r="G860" s="126"/>
      <c r="H860" s="126">
        <f t="shared" si="13"/>
        <v>1.2038879226915637</v>
      </c>
      <c r="I860" s="89">
        <v>203.58000000000004</v>
      </c>
      <c r="J860" s="126">
        <v>90.26354166666664</v>
      </c>
    </row>
    <row r="861" spans="1:10" x14ac:dyDescent="0.3">
      <c r="A861" s="88" t="s">
        <v>482</v>
      </c>
      <c r="B861" s="24">
        <v>39210</v>
      </c>
      <c r="C861" s="32">
        <v>14.780794597085421</v>
      </c>
      <c r="D861">
        <v>14.5</v>
      </c>
      <c r="E861">
        <v>9.4</v>
      </c>
      <c r="F861" s="126">
        <v>0.26500000000000001</v>
      </c>
      <c r="G861" s="126"/>
      <c r="H861" s="126">
        <f t="shared" si="13"/>
        <v>1.1798411174091483</v>
      </c>
      <c r="I861" s="89">
        <v>425.25</v>
      </c>
      <c r="J861" s="126">
        <v>84.096874999999997</v>
      </c>
    </row>
    <row r="862" spans="1:10" x14ac:dyDescent="0.3">
      <c r="A862" s="88" t="s">
        <v>482</v>
      </c>
      <c r="B862" s="24">
        <v>39211</v>
      </c>
      <c r="C862" s="32">
        <v>16.377404815390818</v>
      </c>
      <c r="D862">
        <v>16.399999999999999</v>
      </c>
      <c r="E862">
        <v>8.8000000000000007</v>
      </c>
      <c r="F862" s="126">
        <v>0</v>
      </c>
      <c r="G862" s="126"/>
      <c r="H862" s="126">
        <f t="shared" si="13"/>
        <v>1.1330116523877718</v>
      </c>
      <c r="I862" s="89">
        <v>419.85</v>
      </c>
      <c r="J862" s="126">
        <v>75.960416666666674</v>
      </c>
    </row>
    <row r="863" spans="1:10" x14ac:dyDescent="0.3">
      <c r="A863" s="88" t="s">
        <v>482</v>
      </c>
      <c r="B863" s="24">
        <v>39212</v>
      </c>
      <c r="C863" s="32">
        <v>9.3024595357410291</v>
      </c>
      <c r="D863">
        <v>16.600000000000001</v>
      </c>
      <c r="E863">
        <v>10.5</v>
      </c>
      <c r="F863" s="126">
        <v>8.9250000000000007</v>
      </c>
      <c r="G863" s="126"/>
      <c r="H863" s="126">
        <f t="shared" si="13"/>
        <v>1.2701326466613394</v>
      </c>
      <c r="I863" s="89">
        <v>339.84000000000003</v>
      </c>
      <c r="J863" s="126">
        <v>88.795833333333334</v>
      </c>
    </row>
    <row r="864" spans="1:10" x14ac:dyDescent="0.3">
      <c r="A864" s="88" t="s">
        <v>482</v>
      </c>
      <c r="B864" s="24">
        <v>39213</v>
      </c>
      <c r="C864" s="32">
        <v>5.9148378549622711</v>
      </c>
      <c r="D864">
        <v>14.8</v>
      </c>
      <c r="E864">
        <v>8.8000000000000007</v>
      </c>
      <c r="F864" s="126">
        <v>10.050000000000001</v>
      </c>
      <c r="G864" s="126"/>
      <c r="H864" s="126">
        <f t="shared" si="13"/>
        <v>1.1330116523877718</v>
      </c>
      <c r="I864" s="89">
        <v>337.94999999999993</v>
      </c>
      <c r="J864" s="126">
        <v>90.262500000000003</v>
      </c>
    </row>
    <row r="865" spans="1:10" x14ac:dyDescent="0.3">
      <c r="A865" s="88" t="s">
        <v>482</v>
      </c>
      <c r="B865" s="24">
        <v>39214</v>
      </c>
      <c r="C865" s="32">
        <v>12.691881228039861</v>
      </c>
      <c r="D865">
        <v>16.5</v>
      </c>
      <c r="E865">
        <v>8</v>
      </c>
      <c r="F865" s="126">
        <v>6.9349999999999996</v>
      </c>
      <c r="G865" s="126"/>
      <c r="H865" s="126">
        <f t="shared" si="13"/>
        <v>1.0731200926872433</v>
      </c>
      <c r="I865" s="89">
        <v>303.48</v>
      </c>
      <c r="J865" s="126">
        <v>84.672916666666708</v>
      </c>
    </row>
    <row r="866" spans="1:10" x14ac:dyDescent="0.3">
      <c r="A866" s="88" t="s">
        <v>482</v>
      </c>
      <c r="B866" s="24">
        <v>39215</v>
      </c>
      <c r="C866" s="32">
        <v>17.462811761995276</v>
      </c>
      <c r="D866">
        <v>20.6</v>
      </c>
      <c r="E866">
        <v>9.1999999999999993</v>
      </c>
      <c r="F866" s="126">
        <v>4.5149999999999997</v>
      </c>
      <c r="G866" s="126"/>
      <c r="H866" s="126">
        <f t="shared" si="13"/>
        <v>1.16404559315309</v>
      </c>
      <c r="I866" s="89">
        <v>196.02</v>
      </c>
      <c r="J866" s="126">
        <v>77.819791666666688</v>
      </c>
    </row>
    <row r="867" spans="1:10" x14ac:dyDescent="0.3">
      <c r="A867" s="88" t="s">
        <v>482</v>
      </c>
      <c r="B867" s="24">
        <v>39216</v>
      </c>
      <c r="C867" s="32">
        <v>18.267416911468235</v>
      </c>
      <c r="D867">
        <v>21</v>
      </c>
      <c r="E867">
        <v>12.9</v>
      </c>
      <c r="F867" s="126">
        <v>0.60499999999999998</v>
      </c>
      <c r="G867" s="126"/>
      <c r="H867" s="126">
        <f t="shared" si="13"/>
        <v>1.4884887514247067</v>
      </c>
      <c r="I867" s="89">
        <v>226.61999999999998</v>
      </c>
      <c r="J867" s="126">
        <v>76.875</v>
      </c>
    </row>
    <row r="868" spans="1:10" x14ac:dyDescent="0.3">
      <c r="A868" s="88" t="s">
        <v>482</v>
      </c>
      <c r="B868" s="24">
        <v>39217</v>
      </c>
      <c r="C868" s="32">
        <v>15.380198433269973</v>
      </c>
      <c r="D868">
        <v>14.5</v>
      </c>
      <c r="E868">
        <v>8.1999999999999993</v>
      </c>
      <c r="F868" s="126">
        <v>5.84</v>
      </c>
      <c r="G868" s="126"/>
      <c r="H868" s="126">
        <f t="shared" si="13"/>
        <v>1.0878255375495476</v>
      </c>
      <c r="I868" s="89">
        <v>255.5100000000001</v>
      </c>
      <c r="J868" s="126">
        <v>80.577083333333363</v>
      </c>
    </row>
    <row r="869" spans="1:10" x14ac:dyDescent="0.3">
      <c r="A869" s="88" t="s">
        <v>482</v>
      </c>
      <c r="B869" s="24">
        <v>39218</v>
      </c>
      <c r="C869" s="32">
        <v>10.594867807153966</v>
      </c>
      <c r="D869">
        <v>15.5</v>
      </c>
      <c r="E869">
        <v>5.8</v>
      </c>
      <c r="F869" s="126">
        <v>3.335</v>
      </c>
      <c r="G869" s="126"/>
      <c r="H869" s="126">
        <f t="shared" si="13"/>
        <v>0.92254223518646628</v>
      </c>
      <c r="I869" s="89">
        <v>256.85999999999996</v>
      </c>
      <c r="J869" s="126">
        <v>84.455208333333346</v>
      </c>
    </row>
    <row r="870" spans="1:10" x14ac:dyDescent="0.3">
      <c r="A870" s="88" t="s">
        <v>482</v>
      </c>
      <c r="B870" s="24">
        <v>39219</v>
      </c>
      <c r="C870" s="32">
        <v>20.518331317320431</v>
      </c>
      <c r="D870">
        <v>13.4</v>
      </c>
      <c r="E870">
        <v>4.7</v>
      </c>
      <c r="F870" s="126">
        <v>0</v>
      </c>
      <c r="G870" s="126"/>
      <c r="H870" s="126">
        <f t="shared" si="13"/>
        <v>0.85449106840682587</v>
      </c>
      <c r="I870" s="89">
        <v>396.36</v>
      </c>
      <c r="J870" s="126">
        <v>76.14895833333334</v>
      </c>
    </row>
    <row r="871" spans="1:10" x14ac:dyDescent="0.3">
      <c r="A871" s="88" t="s">
        <v>482</v>
      </c>
      <c r="B871" s="24">
        <v>39220</v>
      </c>
      <c r="C871" s="32">
        <v>26.444869247163183</v>
      </c>
      <c r="D871">
        <v>19.7</v>
      </c>
      <c r="E871">
        <v>3.4</v>
      </c>
      <c r="F871" s="126">
        <v>0</v>
      </c>
      <c r="G871" s="126"/>
      <c r="H871" s="126">
        <f t="shared" si="13"/>
        <v>0.77980491618110859</v>
      </c>
      <c r="I871" s="89">
        <v>185.57999999999998</v>
      </c>
      <c r="J871" s="126">
        <v>74.334374999999994</v>
      </c>
    </row>
    <row r="872" spans="1:10" x14ac:dyDescent="0.3">
      <c r="A872" s="88" t="s">
        <v>482</v>
      </c>
      <c r="B872" s="24">
        <v>39221</v>
      </c>
      <c r="C872" s="32">
        <v>10.773968953401303</v>
      </c>
      <c r="D872">
        <v>20.5</v>
      </c>
      <c r="E872">
        <v>11.5</v>
      </c>
      <c r="F872" s="126">
        <v>0</v>
      </c>
      <c r="G872" s="126"/>
      <c r="H872" s="126">
        <f t="shared" si="13"/>
        <v>1.3574301110209714</v>
      </c>
      <c r="I872" s="89">
        <v>184.76999999999998</v>
      </c>
      <c r="J872" s="126">
        <v>80.365624999999994</v>
      </c>
    </row>
    <row r="873" spans="1:10" x14ac:dyDescent="0.3">
      <c r="A873" s="88" t="s">
        <v>482</v>
      </c>
      <c r="B873" s="24">
        <v>39222</v>
      </c>
      <c r="C873" s="32">
        <v>19.2187229998272</v>
      </c>
      <c r="D873">
        <v>23.2</v>
      </c>
      <c r="E873">
        <v>13.1</v>
      </c>
      <c r="F873" s="126">
        <v>5.0000000000000001E-3</v>
      </c>
      <c r="G873" s="126"/>
      <c r="H873" s="126">
        <f t="shared" si="13"/>
        <v>1.5080901913058991</v>
      </c>
      <c r="I873" s="89">
        <v>232.20000000000002</v>
      </c>
      <c r="J873" s="126">
        <v>79.803124999999994</v>
      </c>
    </row>
    <row r="874" spans="1:10" x14ac:dyDescent="0.3">
      <c r="A874" s="88" t="s">
        <v>482</v>
      </c>
      <c r="B874" s="24">
        <v>39223</v>
      </c>
      <c r="C874" s="32">
        <v>26.336707502296434</v>
      </c>
      <c r="D874">
        <v>28.9</v>
      </c>
      <c r="E874">
        <v>13.8</v>
      </c>
      <c r="F874" s="126">
        <v>4.4999999999999998E-2</v>
      </c>
      <c r="G874" s="126"/>
      <c r="H874" s="126">
        <f t="shared" si="13"/>
        <v>1.5784913004187435</v>
      </c>
      <c r="I874" s="89">
        <v>156.06568421052629</v>
      </c>
      <c r="J874" s="126">
        <v>72.289473684210535</v>
      </c>
    </row>
    <row r="875" spans="1:10" x14ac:dyDescent="0.3">
      <c r="A875" s="88" t="s">
        <v>482</v>
      </c>
      <c r="B875" s="24">
        <v>39224</v>
      </c>
      <c r="C875" s="32">
        <v>19.475594117486562</v>
      </c>
      <c r="D875">
        <v>23.9</v>
      </c>
      <c r="E875">
        <v>15.6</v>
      </c>
      <c r="F875" s="126">
        <v>0</v>
      </c>
      <c r="G875" s="126"/>
      <c r="H875" s="126">
        <f t="shared" si="13"/>
        <v>1.7729278081089486</v>
      </c>
      <c r="I875" s="89">
        <v>211.54357894736845</v>
      </c>
      <c r="J875" s="126">
        <v>82.608421052631584</v>
      </c>
    </row>
    <row r="876" spans="1:10" x14ac:dyDescent="0.3">
      <c r="A876" s="88" t="s">
        <v>482</v>
      </c>
      <c r="B876" s="24">
        <v>39225</v>
      </c>
      <c r="C876" s="32">
        <v>15.363098323829274</v>
      </c>
      <c r="D876">
        <v>20.399999999999999</v>
      </c>
      <c r="E876">
        <v>13.3</v>
      </c>
      <c r="F876" s="126">
        <v>0.2</v>
      </c>
      <c r="G876" s="126"/>
      <c r="H876" s="126">
        <f t="shared" si="13"/>
        <v>1.5279178496783383</v>
      </c>
      <c r="I876" s="89">
        <v>133.38</v>
      </c>
      <c r="J876" s="126">
        <v>80.01458333333332</v>
      </c>
    </row>
    <row r="877" spans="1:10" x14ac:dyDescent="0.3">
      <c r="A877" s="88" t="s">
        <v>482</v>
      </c>
      <c r="B877" s="24">
        <v>39226</v>
      </c>
      <c r="C877" s="32">
        <v>21.367036749035194</v>
      </c>
      <c r="D877">
        <v>25.5</v>
      </c>
      <c r="E877">
        <v>11</v>
      </c>
      <c r="F877" s="126">
        <v>7.4649999999999999</v>
      </c>
      <c r="G877" s="126"/>
      <c r="H877" s="126">
        <f t="shared" si="13"/>
        <v>1.313143973467028</v>
      </c>
      <c r="I877" s="89">
        <v>133.20000000000002</v>
      </c>
      <c r="J877" s="126">
        <v>79.522916666666646</v>
      </c>
    </row>
    <row r="878" spans="1:10" x14ac:dyDescent="0.3">
      <c r="A878" s="88" t="s">
        <v>482</v>
      </c>
      <c r="B878" s="24">
        <v>39227</v>
      </c>
      <c r="C878" s="32">
        <v>20.615531939404413</v>
      </c>
      <c r="D878">
        <v>28.8</v>
      </c>
      <c r="E878">
        <v>15.9</v>
      </c>
      <c r="F878" s="126">
        <v>1.675</v>
      </c>
      <c r="G878" s="126"/>
      <c r="H878" s="126">
        <f t="shared" si="13"/>
        <v>1.8072967155190105</v>
      </c>
      <c r="I878" s="89">
        <v>139.76999999999995</v>
      </c>
      <c r="J878" s="126">
        <v>87.632291666666632</v>
      </c>
    </row>
    <row r="879" spans="1:10" x14ac:dyDescent="0.3">
      <c r="A879" s="88" t="s">
        <v>482</v>
      </c>
      <c r="B879" s="24">
        <v>39228</v>
      </c>
      <c r="C879" s="32">
        <v>16.799507516848109</v>
      </c>
      <c r="D879">
        <v>23.8</v>
      </c>
      <c r="E879">
        <v>15.3</v>
      </c>
      <c r="F879" s="126">
        <v>0</v>
      </c>
      <c r="G879" s="126"/>
      <c r="H879" s="126">
        <f t="shared" si="13"/>
        <v>1.739133169821284</v>
      </c>
      <c r="I879" s="89">
        <v>184.05</v>
      </c>
      <c r="J879" s="126">
        <v>88.778125000000003</v>
      </c>
    </row>
    <row r="880" spans="1:10" x14ac:dyDescent="0.3">
      <c r="A880" s="88" t="s">
        <v>482</v>
      </c>
      <c r="B880" s="24">
        <v>39229</v>
      </c>
      <c r="C880" s="32">
        <v>17.502412015436899</v>
      </c>
      <c r="D880">
        <v>23.4</v>
      </c>
      <c r="E880">
        <v>13.5</v>
      </c>
      <c r="F880" s="126">
        <v>25.72</v>
      </c>
      <c r="G880" s="126"/>
      <c r="H880" s="126">
        <f t="shared" si="13"/>
        <v>1.5479739445616383</v>
      </c>
      <c r="I880" s="89">
        <v>178.2</v>
      </c>
      <c r="J880" s="126">
        <v>89.612499999999997</v>
      </c>
    </row>
    <row r="881" spans="1:11" x14ac:dyDescent="0.3">
      <c r="A881" s="88" t="s">
        <v>482</v>
      </c>
      <c r="B881" s="24">
        <v>39230</v>
      </c>
      <c r="C881" s="32">
        <v>7.2639464892575321</v>
      </c>
      <c r="D881">
        <v>16.100000000000001</v>
      </c>
      <c r="E881">
        <v>11.5</v>
      </c>
      <c r="F881" s="126">
        <v>3.83</v>
      </c>
      <c r="G881" s="126"/>
      <c r="H881" s="126">
        <f t="shared" si="13"/>
        <v>1.3574301110209714</v>
      </c>
      <c r="I881" s="89">
        <v>192.06000000000006</v>
      </c>
      <c r="J881" s="126">
        <v>92.137500000000003</v>
      </c>
    </row>
    <row r="882" spans="1:11" x14ac:dyDescent="0.3">
      <c r="A882" s="88" t="s">
        <v>482</v>
      </c>
      <c r="B882" s="24">
        <v>39231</v>
      </c>
      <c r="C882" s="32">
        <v>2.1321136455273315</v>
      </c>
      <c r="D882">
        <v>13.9</v>
      </c>
      <c r="E882">
        <v>9.1</v>
      </c>
      <c r="F882" s="126">
        <v>17.585000000000001</v>
      </c>
      <c r="G882" s="126"/>
      <c r="H882" s="126">
        <f t="shared" si="13"/>
        <v>1.156217822409108</v>
      </c>
      <c r="I882" s="89">
        <v>438.21000000000004</v>
      </c>
      <c r="J882" s="126">
        <v>96.107291666666626</v>
      </c>
    </row>
    <row r="883" spans="1:11" x14ac:dyDescent="0.3">
      <c r="A883" s="88" t="s">
        <v>482</v>
      </c>
      <c r="B883" s="24">
        <v>39232</v>
      </c>
      <c r="C883" s="32">
        <v>25.171361096711017</v>
      </c>
      <c r="D883">
        <v>17</v>
      </c>
      <c r="E883">
        <v>8</v>
      </c>
      <c r="F883" s="126">
        <v>0.64500000000000002</v>
      </c>
      <c r="G883" s="126"/>
      <c r="H883" s="126">
        <f t="shared" si="13"/>
        <v>1.0731200926872433</v>
      </c>
      <c r="I883" s="89">
        <v>254.5200000000001</v>
      </c>
      <c r="J883" s="126">
        <v>76.78854166666666</v>
      </c>
    </row>
    <row r="884" spans="1:11" x14ac:dyDescent="0.3">
      <c r="A884" s="88" t="s">
        <v>482</v>
      </c>
      <c r="B884" s="24">
        <v>39233</v>
      </c>
      <c r="C884" s="32">
        <v>25.208261332872532</v>
      </c>
      <c r="D884">
        <v>20.100000000000001</v>
      </c>
      <c r="E884">
        <v>9.4</v>
      </c>
      <c r="F884" s="126">
        <v>0</v>
      </c>
      <c r="G884" s="126"/>
      <c r="H884" s="126">
        <f t="shared" si="13"/>
        <v>1.1798411174091483</v>
      </c>
      <c r="I884" s="89">
        <v>146.07000000000002</v>
      </c>
      <c r="J884" s="126">
        <v>71.951041666666654</v>
      </c>
    </row>
    <row r="885" spans="1:11" x14ac:dyDescent="0.3">
      <c r="A885" s="88" t="s">
        <v>482</v>
      </c>
      <c r="B885" s="24">
        <v>39234</v>
      </c>
      <c r="C885" s="32">
        <v>21.329236507113645</v>
      </c>
      <c r="D885">
        <v>21.4</v>
      </c>
      <c r="E885">
        <v>9.3000000000000007</v>
      </c>
      <c r="F885" s="126">
        <v>0</v>
      </c>
      <c r="G885" s="126"/>
      <c r="H885" s="126">
        <f t="shared" si="13"/>
        <v>1.1719199459898388</v>
      </c>
      <c r="I885" s="89">
        <v>214.2</v>
      </c>
      <c r="J885" s="126">
        <v>81.178124999999994</v>
      </c>
    </row>
    <row r="886" spans="1:11" x14ac:dyDescent="0.3">
      <c r="A886" s="88" t="s">
        <v>482</v>
      </c>
      <c r="B886" s="24">
        <v>39235</v>
      </c>
      <c r="C886" s="32">
        <v>7.1199455676516328</v>
      </c>
      <c r="D886">
        <v>18</v>
      </c>
      <c r="E886">
        <v>10.199999999999999</v>
      </c>
      <c r="F886" s="126">
        <v>0.28999999999999998</v>
      </c>
      <c r="G886" s="126"/>
      <c r="H886" s="126">
        <f t="shared" si="13"/>
        <v>1.2449246593693148</v>
      </c>
      <c r="I886" s="89">
        <v>137.69999999999999</v>
      </c>
      <c r="J886" s="126">
        <v>89.603125000000006</v>
      </c>
    </row>
    <row r="887" spans="1:11" x14ac:dyDescent="0.3">
      <c r="A887" s="88" t="s">
        <v>482</v>
      </c>
      <c r="B887" s="24">
        <v>39236</v>
      </c>
      <c r="C887" s="32">
        <v>7.8524460451283726</v>
      </c>
      <c r="D887">
        <v>17.899999999999999</v>
      </c>
      <c r="E887">
        <v>12</v>
      </c>
      <c r="F887" s="126">
        <v>0.05</v>
      </c>
      <c r="G887" s="126"/>
      <c r="H887" s="126">
        <f t="shared" si="13"/>
        <v>1.4030231277532583</v>
      </c>
      <c r="I887" s="89">
        <v>159.97642105263159</v>
      </c>
      <c r="J887" s="126">
        <v>93.694736842105257</v>
      </c>
    </row>
    <row r="888" spans="1:11" x14ac:dyDescent="0.3">
      <c r="A888" s="88" t="s">
        <v>482</v>
      </c>
      <c r="B888" s="24">
        <v>39237</v>
      </c>
      <c r="C888" s="32">
        <v>10.700168481078279</v>
      </c>
      <c r="D888">
        <v>19</v>
      </c>
      <c r="E888">
        <v>12.1</v>
      </c>
      <c r="F888" s="126">
        <v>0</v>
      </c>
      <c r="G888" s="126"/>
      <c r="H888" s="126">
        <f t="shared" si="13"/>
        <v>1.4123014242757443</v>
      </c>
      <c r="I888" s="89">
        <v>176.76000000000005</v>
      </c>
      <c r="J888" s="126">
        <v>92.803125000000065</v>
      </c>
    </row>
    <row r="889" spans="1:11" x14ac:dyDescent="0.3">
      <c r="A889" s="88" t="s">
        <v>482</v>
      </c>
      <c r="B889" s="24">
        <v>39238</v>
      </c>
      <c r="C889" s="32">
        <v>14.608893496918382</v>
      </c>
      <c r="D889">
        <v>20.399999999999999</v>
      </c>
      <c r="E889">
        <v>14.4</v>
      </c>
      <c r="F889" s="126">
        <v>1.2350000000000001</v>
      </c>
      <c r="G889" s="126"/>
      <c r="H889" s="126">
        <f t="shared" si="13"/>
        <v>1.6411136286522547</v>
      </c>
      <c r="I889" s="89">
        <v>142.65000000000003</v>
      </c>
      <c r="J889" s="126">
        <v>91.741666666666632</v>
      </c>
    </row>
    <row r="890" spans="1:11" x14ac:dyDescent="0.3">
      <c r="A890" s="88" t="s">
        <v>482</v>
      </c>
      <c r="B890" s="24">
        <v>39239</v>
      </c>
      <c r="C890" s="32">
        <v>19.278123379989633</v>
      </c>
      <c r="D890">
        <v>23.5</v>
      </c>
      <c r="E890">
        <v>12.9</v>
      </c>
      <c r="F890" s="126">
        <v>0.02</v>
      </c>
      <c r="G890" s="126"/>
      <c r="H890" s="126">
        <f t="shared" si="13"/>
        <v>1.4884887514247067</v>
      </c>
      <c r="I890" s="89">
        <v>118.71000000000001</v>
      </c>
      <c r="J890" s="126">
        <v>89.441666666666677</v>
      </c>
    </row>
    <row r="891" spans="1:11" x14ac:dyDescent="0.3">
      <c r="A891" s="88" t="s">
        <v>482</v>
      </c>
      <c r="B891" s="24">
        <v>39240</v>
      </c>
      <c r="C891" s="32">
        <v>24.114754334427744</v>
      </c>
      <c r="D891">
        <v>28</v>
      </c>
      <c r="E891">
        <v>15.1</v>
      </c>
      <c r="F891" s="126">
        <v>0</v>
      </c>
      <c r="G891" s="126"/>
      <c r="H891" s="126">
        <f t="shared" si="13"/>
        <v>1.7169184104549529</v>
      </c>
      <c r="I891" s="89">
        <v>213.93000000000006</v>
      </c>
      <c r="J891" s="126">
        <v>83.09479166666668</v>
      </c>
    </row>
    <row r="892" spans="1:11" x14ac:dyDescent="0.3">
      <c r="A892" s="88" t="s">
        <v>482</v>
      </c>
      <c r="B892" s="24">
        <v>39241</v>
      </c>
      <c r="C892" s="32">
        <v>26.430469155002591</v>
      </c>
      <c r="D892">
        <v>28.8</v>
      </c>
      <c r="E892">
        <v>15.8</v>
      </c>
      <c r="F892" s="126">
        <v>0.01</v>
      </c>
      <c r="G892" s="126"/>
      <c r="H892" s="126">
        <f t="shared" si="13"/>
        <v>1.7957760971031187</v>
      </c>
      <c r="I892" s="89">
        <v>292.77</v>
      </c>
      <c r="J892" s="126">
        <v>76.330208333333331</v>
      </c>
    </row>
    <row r="893" spans="1:11" x14ac:dyDescent="0.3">
      <c r="A893" s="88" t="s">
        <v>482</v>
      </c>
      <c r="B893" s="24">
        <v>39242</v>
      </c>
      <c r="C893" s="32">
        <v>22.085241345544613</v>
      </c>
      <c r="D893">
        <v>29.1</v>
      </c>
      <c r="E893">
        <v>15.9</v>
      </c>
      <c r="F893" s="126">
        <v>5.5049999999999999</v>
      </c>
      <c r="G893" s="126"/>
      <c r="H893" s="126">
        <f t="shared" si="13"/>
        <v>1.8072967155190105</v>
      </c>
      <c r="I893" s="89">
        <v>445.23</v>
      </c>
      <c r="J893" s="126">
        <v>80.226041666666688</v>
      </c>
    </row>
    <row r="894" spans="1:11" x14ac:dyDescent="0.3">
      <c r="A894" s="88" t="s">
        <v>482</v>
      </c>
      <c r="B894" s="24">
        <v>39243</v>
      </c>
      <c r="C894" s="32">
        <v>28.153980185473188</v>
      </c>
      <c r="D894">
        <v>28.1</v>
      </c>
      <c r="E894">
        <v>15.9</v>
      </c>
      <c r="F894" s="126">
        <v>2.5000000000000001E-2</v>
      </c>
      <c r="G894" s="126"/>
      <c r="H894" s="126">
        <f t="shared" si="13"/>
        <v>1.8072967155190105</v>
      </c>
      <c r="I894" s="89">
        <v>183.60000000000002</v>
      </c>
      <c r="J894" s="126">
        <v>77.909374999999997</v>
      </c>
    </row>
    <row r="895" spans="1:11" x14ac:dyDescent="0.3">
      <c r="A895" s="88" t="s">
        <v>482</v>
      </c>
      <c r="B895" s="24">
        <v>39244</v>
      </c>
      <c r="C895" s="32">
        <v>27.824578077299698</v>
      </c>
      <c r="D895">
        <v>28.5</v>
      </c>
      <c r="E895">
        <v>14.9</v>
      </c>
      <c r="F895" s="126">
        <v>0</v>
      </c>
      <c r="G895" s="126"/>
      <c r="H895" s="126">
        <f t="shared" si="13"/>
        <v>1.6949528505265632</v>
      </c>
      <c r="I895" s="89">
        <v>203.93999999999997</v>
      </c>
      <c r="J895" s="126">
        <v>75.279166666666654</v>
      </c>
      <c r="K895" s="34">
        <v>548.88693299604722</v>
      </c>
    </row>
    <row r="896" spans="1:11" x14ac:dyDescent="0.3">
      <c r="A896" s="88" t="s">
        <v>482</v>
      </c>
      <c r="B896" s="24">
        <v>39245</v>
      </c>
      <c r="C896" s="32">
        <v>23.555850757444851</v>
      </c>
      <c r="D896">
        <v>26.8</v>
      </c>
      <c r="E896">
        <v>16.100000000000001</v>
      </c>
      <c r="F896" s="126">
        <v>0</v>
      </c>
      <c r="G896" s="126"/>
      <c r="H896" s="126">
        <f t="shared" si="13"/>
        <v>1.8305324367134694</v>
      </c>
      <c r="I896" s="89">
        <v>236.07</v>
      </c>
      <c r="J896" s="126">
        <v>79.221874999999997</v>
      </c>
      <c r="K896" s="34">
        <v>547.68256002231294</v>
      </c>
    </row>
    <row r="897" spans="1:11" x14ac:dyDescent="0.3">
      <c r="A897" s="88" t="s">
        <v>482</v>
      </c>
      <c r="B897" s="24">
        <v>39246</v>
      </c>
      <c r="C897" s="32">
        <v>20.530931397960948</v>
      </c>
      <c r="D897">
        <v>23.6</v>
      </c>
      <c r="E897">
        <v>15.9</v>
      </c>
      <c r="F897" s="126">
        <v>0</v>
      </c>
      <c r="G897" s="126"/>
      <c r="H897" s="126">
        <f t="shared" si="13"/>
        <v>1.8072967155190105</v>
      </c>
      <c r="I897" s="89">
        <v>246.24</v>
      </c>
      <c r="J897" s="126">
        <v>81.902083333333351</v>
      </c>
      <c r="K897" s="34">
        <v>550.03007968127474</v>
      </c>
    </row>
    <row r="898" spans="1:11" x14ac:dyDescent="0.3">
      <c r="A898" s="88" t="s">
        <v>482</v>
      </c>
      <c r="B898" s="24">
        <v>39247</v>
      </c>
      <c r="C898" s="32">
        <v>19.891027302574738</v>
      </c>
      <c r="D898">
        <v>26.1</v>
      </c>
      <c r="E898">
        <v>15.1</v>
      </c>
      <c r="F898" s="126">
        <v>5.9349999999999996</v>
      </c>
      <c r="G898" s="126"/>
      <c r="H898" s="126">
        <f t="shared" si="13"/>
        <v>1.7169184104549529</v>
      </c>
      <c r="I898" s="89">
        <v>129.96</v>
      </c>
      <c r="J898" s="126">
        <v>81.796875</v>
      </c>
      <c r="K898" s="34">
        <v>550.96650579872835</v>
      </c>
    </row>
    <row r="899" spans="1:11" x14ac:dyDescent="0.3">
      <c r="A899" s="88" t="s">
        <v>482</v>
      </c>
      <c r="B899" s="24">
        <v>39248</v>
      </c>
      <c r="C899" s="32">
        <v>19.558025171361098</v>
      </c>
      <c r="D899">
        <v>25.4</v>
      </c>
      <c r="E899">
        <v>16.5</v>
      </c>
      <c r="F899" s="126">
        <v>11.53</v>
      </c>
      <c r="G899" s="126"/>
      <c r="H899" s="126">
        <f t="shared" si="13"/>
        <v>1.8777904954698514</v>
      </c>
      <c r="I899" s="89">
        <v>197.36999999999998</v>
      </c>
      <c r="J899" s="126">
        <v>91.144791666666663</v>
      </c>
      <c r="K899" s="34">
        <v>549.0606868686865</v>
      </c>
    </row>
    <row r="900" spans="1:11" x14ac:dyDescent="0.3">
      <c r="A900" s="88" t="s">
        <v>482</v>
      </c>
      <c r="B900" s="24">
        <v>39249</v>
      </c>
      <c r="C900" s="32">
        <v>18.295317090029375</v>
      </c>
      <c r="D900">
        <v>21.2</v>
      </c>
      <c r="E900">
        <v>14.3</v>
      </c>
      <c r="F900" s="126">
        <v>5.8150000000000004</v>
      </c>
      <c r="G900" s="126"/>
      <c r="H900" s="126">
        <f t="shared" ref="H900:H963" si="14">0.611*EXP((17.27*E900)/(E900+237.3))</f>
        <v>1.6305276651269101</v>
      </c>
      <c r="I900" s="89">
        <v>250.29000000000002</v>
      </c>
      <c r="J900" s="126">
        <v>85.110416666666694</v>
      </c>
      <c r="K900" s="34">
        <v>549.96520874751491</v>
      </c>
    </row>
    <row r="901" spans="1:11" x14ac:dyDescent="0.3">
      <c r="A901" s="88" t="s">
        <v>482</v>
      </c>
      <c r="B901" s="24">
        <v>39250</v>
      </c>
      <c r="C901" s="32">
        <v>20.82253326421289</v>
      </c>
      <c r="D901">
        <v>21.8</v>
      </c>
      <c r="E901">
        <v>12.4</v>
      </c>
      <c r="F901" s="126">
        <v>0</v>
      </c>
      <c r="G901" s="126"/>
      <c r="H901" s="126">
        <f t="shared" si="14"/>
        <v>1.4404604588486194</v>
      </c>
      <c r="I901" s="89">
        <v>166.59</v>
      </c>
      <c r="J901" s="126">
        <v>81.452083333333306</v>
      </c>
      <c r="K901" s="34">
        <v>551.99731343283622</v>
      </c>
    </row>
    <row r="902" spans="1:11" x14ac:dyDescent="0.3">
      <c r="A902" s="88" t="s">
        <v>482</v>
      </c>
      <c r="B902" s="24">
        <v>39251</v>
      </c>
      <c r="C902" s="32">
        <v>11.525473763032084</v>
      </c>
      <c r="D902">
        <v>20.2</v>
      </c>
      <c r="E902">
        <v>14.1</v>
      </c>
      <c r="F902" s="126">
        <v>8.2949999999999999</v>
      </c>
      <c r="G902" s="126"/>
      <c r="H902" s="126">
        <f t="shared" si="14"/>
        <v>1.6095352919714581</v>
      </c>
      <c r="I902" s="89">
        <v>221.49</v>
      </c>
      <c r="J902" s="126">
        <v>90.066666666666663</v>
      </c>
      <c r="K902" s="34">
        <v>551.57563451776684</v>
      </c>
    </row>
    <row r="903" spans="1:11" x14ac:dyDescent="0.3">
      <c r="A903" s="88" t="s">
        <v>482</v>
      </c>
      <c r="B903" s="24">
        <v>39252</v>
      </c>
      <c r="C903" s="32">
        <v>28.457282126605609</v>
      </c>
      <c r="D903">
        <v>24.5</v>
      </c>
      <c r="E903">
        <v>13.6</v>
      </c>
      <c r="F903" s="126">
        <v>5.0000000000000001E-3</v>
      </c>
      <c r="G903" s="126"/>
      <c r="H903" s="126">
        <f t="shared" si="14"/>
        <v>1.55808835361568</v>
      </c>
      <c r="I903" s="89">
        <v>140.4</v>
      </c>
      <c r="J903" s="126">
        <v>82.13229166666666</v>
      </c>
      <c r="K903" s="34">
        <v>554.80139026812378</v>
      </c>
    </row>
    <row r="904" spans="1:11" x14ac:dyDescent="0.3">
      <c r="A904" s="88" t="s">
        <v>482</v>
      </c>
      <c r="B904" s="24">
        <v>39253</v>
      </c>
      <c r="C904" s="32">
        <v>24.452256494441567</v>
      </c>
      <c r="D904">
        <v>28.6</v>
      </c>
      <c r="E904">
        <v>14.9</v>
      </c>
      <c r="F904" s="126">
        <v>3.5000000000000003E-2</v>
      </c>
      <c r="G904" s="126"/>
      <c r="H904" s="126">
        <f t="shared" si="14"/>
        <v>1.6949528505265632</v>
      </c>
      <c r="I904" s="89">
        <v>216.45000000000002</v>
      </c>
      <c r="J904" s="126">
        <v>79.37708333333336</v>
      </c>
      <c r="K904" s="34">
        <v>553.17538104705102</v>
      </c>
    </row>
    <row r="905" spans="1:11" x14ac:dyDescent="0.3">
      <c r="A905" s="88" t="s">
        <v>482</v>
      </c>
      <c r="B905" s="24">
        <v>39254</v>
      </c>
      <c r="C905" s="32">
        <v>4.1940268417717874</v>
      </c>
      <c r="D905">
        <v>19.600000000000001</v>
      </c>
      <c r="E905">
        <v>12.6</v>
      </c>
      <c r="F905" s="126">
        <v>16.765000000000001</v>
      </c>
      <c r="G905" s="126"/>
      <c r="H905" s="126">
        <f t="shared" si="14"/>
        <v>1.4595059422181114</v>
      </c>
      <c r="I905" s="89">
        <v>160.65</v>
      </c>
      <c r="J905" s="126">
        <v>90.234375</v>
      </c>
      <c r="K905" s="34">
        <v>534.21087190527442</v>
      </c>
    </row>
    <row r="906" spans="1:11" x14ac:dyDescent="0.3">
      <c r="A906" s="88" t="s">
        <v>482</v>
      </c>
      <c r="B906" s="24">
        <v>39255</v>
      </c>
      <c r="C906" s="32">
        <v>22.140141696906859</v>
      </c>
      <c r="D906">
        <v>21.4</v>
      </c>
      <c r="E906">
        <v>13</v>
      </c>
      <c r="F906" s="126">
        <v>3.04</v>
      </c>
      <c r="G906" s="126"/>
      <c r="H906" s="126">
        <f t="shared" si="14"/>
        <v>1.498261331998219</v>
      </c>
      <c r="I906" s="89">
        <v>181.17</v>
      </c>
      <c r="J906" s="126">
        <v>89.876041666666694</v>
      </c>
      <c r="K906" s="34">
        <v>549.65902534113059</v>
      </c>
    </row>
    <row r="907" spans="1:11" x14ac:dyDescent="0.3">
      <c r="A907" s="88" t="s">
        <v>482</v>
      </c>
      <c r="B907" s="24">
        <v>39256</v>
      </c>
      <c r="C907" s="32">
        <v>17.843514198490873</v>
      </c>
      <c r="D907">
        <v>19.3</v>
      </c>
      <c r="E907">
        <v>13.7</v>
      </c>
      <c r="F907" s="126">
        <v>4.34</v>
      </c>
      <c r="G907" s="126"/>
      <c r="H907" s="126">
        <f t="shared" si="14"/>
        <v>1.568260711501982</v>
      </c>
      <c r="I907" s="89">
        <v>232.46999999999997</v>
      </c>
      <c r="J907" s="126">
        <v>89.713541666666671</v>
      </c>
      <c r="K907" s="34">
        <v>549.94707050645491</v>
      </c>
    </row>
    <row r="908" spans="1:11" x14ac:dyDescent="0.3">
      <c r="A908" s="88" t="s">
        <v>482</v>
      </c>
      <c r="B908" s="24">
        <v>39257</v>
      </c>
      <c r="C908" s="32">
        <v>21.65233857496688</v>
      </c>
      <c r="D908">
        <v>21.9</v>
      </c>
      <c r="E908">
        <v>13.3</v>
      </c>
      <c r="F908" s="126">
        <v>0</v>
      </c>
      <c r="G908" s="126"/>
      <c r="H908" s="126">
        <f t="shared" si="14"/>
        <v>1.5279178496783383</v>
      </c>
      <c r="I908" s="89">
        <v>173.52000000000004</v>
      </c>
      <c r="J908" s="126">
        <v>83.836458333333312</v>
      </c>
      <c r="K908" s="34">
        <v>550.3939032471834</v>
      </c>
    </row>
    <row r="909" spans="1:11" x14ac:dyDescent="0.3">
      <c r="A909" s="88" t="s">
        <v>482</v>
      </c>
      <c r="B909" s="24">
        <v>39258</v>
      </c>
      <c r="C909" s="32">
        <v>11.725275041760268</v>
      </c>
      <c r="D909">
        <v>23</v>
      </c>
      <c r="E909">
        <v>15</v>
      </c>
      <c r="F909" s="126">
        <v>1.48</v>
      </c>
      <c r="G909" s="126"/>
      <c r="H909" s="126">
        <f t="shared" si="14"/>
        <v>1.7059046297032363</v>
      </c>
      <c r="I909" s="89">
        <v>165.24</v>
      </c>
      <c r="J909" s="126">
        <v>85.163541666666688</v>
      </c>
      <c r="K909" s="34">
        <v>549.90961057520542</v>
      </c>
    </row>
    <row r="910" spans="1:11" x14ac:dyDescent="0.3">
      <c r="A910" s="88" t="s">
        <v>482</v>
      </c>
      <c r="B910" s="24">
        <v>39259</v>
      </c>
      <c r="C910" s="32">
        <v>16.872407983411094</v>
      </c>
      <c r="D910">
        <v>17.399999999999999</v>
      </c>
      <c r="E910">
        <v>10.8</v>
      </c>
      <c r="F910" s="126">
        <v>1.8</v>
      </c>
      <c r="G910" s="126"/>
      <c r="H910" s="126">
        <f t="shared" si="14"/>
        <v>1.2957882396636844</v>
      </c>
      <c r="I910" s="89">
        <v>467.91000000000008</v>
      </c>
      <c r="J910" s="126">
        <v>84.965625000000003</v>
      </c>
      <c r="K910" s="34">
        <v>547.85811795891289</v>
      </c>
    </row>
    <row r="911" spans="1:11" x14ac:dyDescent="0.3">
      <c r="A911" s="88" t="s">
        <v>482</v>
      </c>
      <c r="B911" s="24">
        <v>39260</v>
      </c>
      <c r="C911" s="32">
        <v>14.37669201082887</v>
      </c>
      <c r="D911">
        <v>16.399999999999999</v>
      </c>
      <c r="E911">
        <v>9.9</v>
      </c>
      <c r="F911" s="126">
        <v>1</v>
      </c>
      <c r="G911" s="126"/>
      <c r="H911" s="126">
        <f t="shared" si="14"/>
        <v>1.2201575987481763</v>
      </c>
      <c r="I911" s="89">
        <v>535.14</v>
      </c>
      <c r="J911" s="126">
        <v>79.552083333333314</v>
      </c>
      <c r="K911" s="34">
        <v>549.44099502487609</v>
      </c>
    </row>
    <row r="912" spans="1:11" x14ac:dyDescent="0.3">
      <c r="A912" s="88" t="s">
        <v>482</v>
      </c>
      <c r="B912" s="24">
        <v>39261</v>
      </c>
      <c r="C912" s="32">
        <v>15.91480185473187</v>
      </c>
      <c r="D912">
        <v>18.3</v>
      </c>
      <c r="E912">
        <v>10.9</v>
      </c>
      <c r="F912" s="126">
        <v>0.88</v>
      </c>
      <c r="G912" s="126"/>
      <c r="H912" s="126">
        <f t="shared" si="14"/>
        <v>1.3044407381026226</v>
      </c>
      <c r="I912" s="89">
        <v>306.36000000000013</v>
      </c>
      <c r="J912" s="126">
        <v>82.779166666666683</v>
      </c>
      <c r="K912" s="34">
        <v>549.77014925373123</v>
      </c>
    </row>
    <row r="913" spans="1:11" x14ac:dyDescent="0.3">
      <c r="A913" s="88" t="s">
        <v>482</v>
      </c>
      <c r="B913" s="24">
        <v>39262</v>
      </c>
      <c r="C913" s="32">
        <v>8.9793574678877945</v>
      </c>
      <c r="D913">
        <v>18.2</v>
      </c>
      <c r="E913">
        <v>9.1999999999999993</v>
      </c>
      <c r="F913" s="126">
        <v>2.2999999999999998</v>
      </c>
      <c r="G913" s="126"/>
      <c r="H913" s="126">
        <f t="shared" si="14"/>
        <v>1.16404559315309</v>
      </c>
      <c r="I913" s="89">
        <v>177.21000000000004</v>
      </c>
      <c r="J913" s="126">
        <v>86.99166666666666</v>
      </c>
      <c r="K913" s="34">
        <v>549.7346281540506</v>
      </c>
    </row>
    <row r="914" spans="1:11" x14ac:dyDescent="0.3">
      <c r="A914" s="88" t="s">
        <v>482</v>
      </c>
      <c r="B914" s="24">
        <v>39263</v>
      </c>
      <c r="C914" s="32">
        <v>13.29758510454467</v>
      </c>
      <c r="D914">
        <v>19.2</v>
      </c>
      <c r="E914">
        <v>12.7</v>
      </c>
      <c r="F914" s="126">
        <v>3.66</v>
      </c>
      <c r="G914" s="126"/>
      <c r="H914" s="126">
        <f t="shared" si="14"/>
        <v>1.4691113294420337</v>
      </c>
      <c r="I914" s="89">
        <v>276.20999999999998</v>
      </c>
      <c r="J914" s="126">
        <v>85.731250000000003</v>
      </c>
      <c r="K914" s="34">
        <v>549.63821867730178</v>
      </c>
    </row>
    <row r="915" spans="1:11" x14ac:dyDescent="0.3">
      <c r="A915" s="88" t="s">
        <v>482</v>
      </c>
      <c r="B915" s="24">
        <v>39264</v>
      </c>
      <c r="C915" s="32">
        <v>15.03369621565578</v>
      </c>
      <c r="D915">
        <v>24.1</v>
      </c>
      <c r="E915">
        <v>14.3</v>
      </c>
      <c r="F915" s="126">
        <v>0.91</v>
      </c>
      <c r="G915" s="126"/>
      <c r="H915" s="126">
        <f t="shared" si="14"/>
        <v>1.6305276651269101</v>
      </c>
      <c r="I915" s="89">
        <v>126.53999999999999</v>
      </c>
      <c r="J915" s="126">
        <v>85.08541666666666</v>
      </c>
      <c r="K915" s="34">
        <v>549.88629407850942</v>
      </c>
    </row>
    <row r="916" spans="1:11" x14ac:dyDescent="0.3">
      <c r="A916" s="88" t="s">
        <v>482</v>
      </c>
      <c r="B916" s="24">
        <v>39265</v>
      </c>
      <c r="C916" s="32">
        <v>10.792869074362077</v>
      </c>
      <c r="D916">
        <v>21.7</v>
      </c>
      <c r="E916">
        <v>13.8</v>
      </c>
      <c r="F916" s="126">
        <v>13.305</v>
      </c>
      <c r="G916" s="126"/>
      <c r="H916" s="126">
        <f t="shared" si="14"/>
        <v>1.5784913004187435</v>
      </c>
      <c r="I916" s="89">
        <v>125.18999999999994</v>
      </c>
      <c r="J916" s="126">
        <v>92.397916666666617</v>
      </c>
      <c r="K916" s="34">
        <v>547.55139314705741</v>
      </c>
    </row>
    <row r="917" spans="1:11" x14ac:dyDescent="0.3">
      <c r="A917" s="88" t="s">
        <v>482</v>
      </c>
      <c r="B917" s="24">
        <v>39266</v>
      </c>
      <c r="C917" s="32">
        <v>16.573606071078853</v>
      </c>
      <c r="D917">
        <v>20.8</v>
      </c>
      <c r="E917">
        <v>12</v>
      </c>
      <c r="F917" s="126">
        <v>3.81</v>
      </c>
      <c r="G917" s="126"/>
      <c r="H917" s="126">
        <f t="shared" si="14"/>
        <v>1.4030231277532583</v>
      </c>
      <c r="I917" s="89">
        <v>177.12</v>
      </c>
      <c r="J917" s="126">
        <v>90.579166666666694</v>
      </c>
      <c r="K917" s="34">
        <v>549.63919835131185</v>
      </c>
    </row>
    <row r="918" spans="1:11" x14ac:dyDescent="0.3">
      <c r="A918" s="88" t="s">
        <v>482</v>
      </c>
      <c r="B918" s="24">
        <v>39267</v>
      </c>
      <c r="C918" s="32">
        <v>17.97221502217614</v>
      </c>
      <c r="D918">
        <v>18.5</v>
      </c>
      <c r="E918">
        <v>11.8</v>
      </c>
      <c r="F918" s="126">
        <v>2.8149999999999999</v>
      </c>
      <c r="G918" s="126"/>
      <c r="H918" s="126">
        <f t="shared" si="14"/>
        <v>1.3846270162501679</v>
      </c>
      <c r="I918" s="89">
        <v>260.73000000000013</v>
      </c>
      <c r="J918" s="126">
        <v>90.609375</v>
      </c>
      <c r="K918" s="34">
        <v>549.22645290581158</v>
      </c>
    </row>
    <row r="919" spans="1:11" x14ac:dyDescent="0.3">
      <c r="A919" s="88" t="s">
        <v>482</v>
      </c>
      <c r="B919" s="24">
        <v>39268</v>
      </c>
      <c r="C919" s="32">
        <v>14.938295605091874</v>
      </c>
      <c r="D919">
        <v>19.8</v>
      </c>
      <c r="E919">
        <v>12.7</v>
      </c>
      <c r="F919" s="126">
        <v>0.67</v>
      </c>
      <c r="G919" s="126"/>
      <c r="H919" s="126">
        <f t="shared" si="14"/>
        <v>1.4691113294420337</v>
      </c>
      <c r="I919" s="89">
        <v>358.83000000000004</v>
      </c>
      <c r="J919" s="126">
        <v>88.739583333333314</v>
      </c>
      <c r="K919" s="34">
        <v>549.13142761618212</v>
      </c>
    </row>
    <row r="920" spans="1:11" x14ac:dyDescent="0.3">
      <c r="A920" s="88" t="s">
        <v>482</v>
      </c>
      <c r="B920" s="24">
        <v>39269</v>
      </c>
      <c r="C920" s="32">
        <v>13.158084211738954</v>
      </c>
      <c r="D920">
        <v>19</v>
      </c>
      <c r="E920">
        <v>12.5</v>
      </c>
      <c r="F920" s="126">
        <v>0.435</v>
      </c>
      <c r="G920" s="126"/>
      <c r="H920" s="126">
        <f t="shared" si="14"/>
        <v>1.4499557420926388</v>
      </c>
      <c r="I920" s="89">
        <v>425.43000000000018</v>
      </c>
      <c r="J920" s="126">
        <v>85.518749999999997</v>
      </c>
      <c r="K920" s="34">
        <v>548.3379229480737</v>
      </c>
    </row>
    <row r="921" spans="1:11" x14ac:dyDescent="0.3">
      <c r="A921" s="88" t="s">
        <v>482</v>
      </c>
      <c r="B921" s="24">
        <v>39270</v>
      </c>
      <c r="C921" s="32">
        <v>15.05079632509648</v>
      </c>
      <c r="D921">
        <v>20.3</v>
      </c>
      <c r="E921">
        <v>12.7</v>
      </c>
      <c r="F921" s="126">
        <v>0.125</v>
      </c>
      <c r="G921" s="126"/>
      <c r="H921" s="126">
        <f t="shared" si="14"/>
        <v>1.4691113294420337</v>
      </c>
      <c r="I921" s="89">
        <v>490.68000000000006</v>
      </c>
      <c r="J921" s="126">
        <v>82.92916666666666</v>
      </c>
      <c r="K921" s="34">
        <v>547.53973843058361</v>
      </c>
    </row>
    <row r="922" spans="1:11" x14ac:dyDescent="0.3">
      <c r="A922" s="88" t="s">
        <v>482</v>
      </c>
      <c r="B922" s="24">
        <v>39271</v>
      </c>
      <c r="C922" s="32">
        <v>24.00315362018317</v>
      </c>
      <c r="D922">
        <v>21.9</v>
      </c>
      <c r="E922">
        <v>10.7</v>
      </c>
      <c r="F922" s="126">
        <v>0</v>
      </c>
      <c r="G922" s="126"/>
      <c r="H922" s="126">
        <f t="shared" si="14"/>
        <v>1.2871862257172708</v>
      </c>
      <c r="I922" s="89">
        <v>230.85000000000002</v>
      </c>
      <c r="J922" s="126">
        <v>78.672916666666666</v>
      </c>
      <c r="K922" s="34">
        <v>550.0990591397848</v>
      </c>
    </row>
    <row r="923" spans="1:11" x14ac:dyDescent="0.3">
      <c r="A923" s="88" t="s">
        <v>482</v>
      </c>
      <c r="B923" s="24">
        <v>39272</v>
      </c>
      <c r="C923" s="32">
        <v>5.9310379586429347</v>
      </c>
      <c r="D923">
        <v>15.4</v>
      </c>
      <c r="E923">
        <v>11.9</v>
      </c>
      <c r="F923" s="126">
        <v>6.4649999999999999</v>
      </c>
      <c r="G923" s="126"/>
      <c r="H923" s="126">
        <f t="shared" si="14"/>
        <v>1.3937984130245886</v>
      </c>
      <c r="I923" s="89">
        <v>137.25</v>
      </c>
      <c r="J923" s="126">
        <v>91.079166666666723</v>
      </c>
      <c r="K923" s="34">
        <v>549.46771043771048</v>
      </c>
    </row>
    <row r="924" spans="1:11" x14ac:dyDescent="0.3">
      <c r="A924" s="88" t="s">
        <v>482</v>
      </c>
      <c r="B924" s="24">
        <v>39273</v>
      </c>
      <c r="C924" s="32">
        <v>15.619599965439779</v>
      </c>
      <c r="D924">
        <v>18.600000000000001</v>
      </c>
      <c r="E924">
        <v>10.7</v>
      </c>
      <c r="F924" s="126">
        <v>3.22</v>
      </c>
      <c r="G924" s="126"/>
      <c r="H924" s="126">
        <f t="shared" si="14"/>
        <v>1.2871862257172708</v>
      </c>
      <c r="I924" s="89">
        <v>162.35999999999999</v>
      </c>
      <c r="J924" s="126">
        <v>91.304166666666632</v>
      </c>
      <c r="K924" s="34">
        <v>549.74661274014136</v>
      </c>
    </row>
    <row r="925" spans="1:11" x14ac:dyDescent="0.3">
      <c r="A925" s="88" t="s">
        <v>482</v>
      </c>
      <c r="B925" s="24">
        <v>39274</v>
      </c>
      <c r="C925" s="32">
        <v>11.376972812626002</v>
      </c>
      <c r="D925">
        <v>17.2</v>
      </c>
      <c r="E925">
        <v>9.6999999999999993</v>
      </c>
      <c r="F925" s="126">
        <v>4.3</v>
      </c>
      <c r="G925" s="126"/>
      <c r="H925" s="126">
        <f t="shared" si="14"/>
        <v>1.2038879226915637</v>
      </c>
      <c r="I925" s="89">
        <v>262.70999999999998</v>
      </c>
      <c r="J925" s="126">
        <v>89.544791666666697</v>
      </c>
      <c r="K925" s="34">
        <v>549.59518555474313</v>
      </c>
    </row>
    <row r="926" spans="1:11" x14ac:dyDescent="0.3">
      <c r="A926" s="88" t="s">
        <v>482</v>
      </c>
      <c r="B926" s="24">
        <v>39275</v>
      </c>
      <c r="C926" s="32">
        <v>9.8424629917631474</v>
      </c>
      <c r="D926">
        <v>18.8</v>
      </c>
      <c r="E926">
        <v>12.8</v>
      </c>
      <c r="F926" s="126">
        <v>1.86</v>
      </c>
      <c r="G926" s="126"/>
      <c r="H926" s="126">
        <f t="shared" si="14"/>
        <v>1.4787721750550831</v>
      </c>
      <c r="I926" s="89">
        <v>336.23999999999995</v>
      </c>
      <c r="J926" s="126">
        <v>84.865624999999994</v>
      </c>
      <c r="K926" s="34">
        <v>549.85916159567273</v>
      </c>
    </row>
    <row r="927" spans="1:11" x14ac:dyDescent="0.3">
      <c r="A927" s="88" t="s">
        <v>482</v>
      </c>
      <c r="B927" s="24">
        <v>39276</v>
      </c>
      <c r="C927" s="32">
        <v>16.277504176026728</v>
      </c>
      <c r="D927">
        <v>23.7</v>
      </c>
      <c r="E927">
        <v>14.8</v>
      </c>
      <c r="F927" s="126">
        <v>3.0350000000000001</v>
      </c>
      <c r="G927" s="126"/>
      <c r="H927" s="126">
        <f t="shared" si="14"/>
        <v>1.6840627760776321</v>
      </c>
      <c r="I927" s="89">
        <v>253.53000000000003</v>
      </c>
      <c r="J927" s="126">
        <v>83.703125</v>
      </c>
      <c r="K927" s="34">
        <v>550.20671414038679</v>
      </c>
    </row>
    <row r="928" spans="1:11" x14ac:dyDescent="0.3">
      <c r="A928" s="88" t="s">
        <v>482</v>
      </c>
      <c r="B928" s="24">
        <v>39277</v>
      </c>
      <c r="C928" s="32">
        <v>25.487263118483956</v>
      </c>
      <c r="D928">
        <v>31</v>
      </c>
      <c r="E928">
        <v>16.100000000000001</v>
      </c>
      <c r="F928" s="126">
        <v>1.4999999999999999E-2</v>
      </c>
      <c r="G928" s="126"/>
      <c r="H928" s="126">
        <f t="shared" si="14"/>
        <v>1.8305324367134694</v>
      </c>
      <c r="I928" s="89">
        <v>201.77999999999997</v>
      </c>
      <c r="J928" s="126">
        <v>74.090625000000003</v>
      </c>
      <c r="K928" s="34">
        <v>549.94105442176897</v>
      </c>
    </row>
    <row r="929" spans="1:11" x14ac:dyDescent="0.3">
      <c r="A929" s="88" t="s">
        <v>482</v>
      </c>
      <c r="B929" s="24">
        <v>39278</v>
      </c>
      <c r="C929" s="32">
        <v>24.195754852831062</v>
      </c>
      <c r="D929">
        <v>33.9</v>
      </c>
      <c r="E929">
        <v>15.9</v>
      </c>
      <c r="F929" s="126">
        <v>0</v>
      </c>
      <c r="G929" s="126"/>
      <c r="H929" s="126">
        <f t="shared" si="14"/>
        <v>1.8072967155190105</v>
      </c>
      <c r="I929" s="89">
        <v>125.91</v>
      </c>
      <c r="J929" s="126">
        <v>75.280208333333334</v>
      </c>
      <c r="K929" s="34">
        <v>553.72474437627761</v>
      </c>
    </row>
    <row r="930" spans="1:11" x14ac:dyDescent="0.3">
      <c r="A930" s="88" t="s">
        <v>482</v>
      </c>
      <c r="B930" s="24">
        <v>39279</v>
      </c>
      <c r="C930" s="32">
        <v>27.134273659351418</v>
      </c>
      <c r="D930">
        <v>34.4</v>
      </c>
      <c r="E930">
        <v>20.8</v>
      </c>
      <c r="F930" s="126">
        <v>5.0000000000000001E-3</v>
      </c>
      <c r="G930" s="126"/>
      <c r="H930" s="126">
        <f t="shared" si="14"/>
        <v>2.457420719105694</v>
      </c>
      <c r="I930" s="89">
        <v>179.91000000000003</v>
      </c>
      <c r="J930" s="126">
        <v>60.071874999999999</v>
      </c>
      <c r="K930" s="34">
        <v>550.18210382513666</v>
      </c>
    </row>
    <row r="931" spans="1:11" x14ac:dyDescent="0.3">
      <c r="A931" s="88" t="s">
        <v>482</v>
      </c>
      <c r="B931" s="24">
        <v>39280</v>
      </c>
      <c r="C931" s="32">
        <v>22.898846552617936</v>
      </c>
      <c r="D931">
        <v>25.6</v>
      </c>
      <c r="E931">
        <v>15.8</v>
      </c>
      <c r="F931" s="126">
        <v>4.4999999999999998E-2</v>
      </c>
      <c r="G931" s="126"/>
      <c r="H931" s="126">
        <f t="shared" si="14"/>
        <v>1.7957760971031187</v>
      </c>
      <c r="I931" s="89">
        <v>273.60000000000002</v>
      </c>
      <c r="J931" s="126">
        <v>70.484375</v>
      </c>
      <c r="K931" s="34">
        <v>548.75714965106579</v>
      </c>
    </row>
    <row r="932" spans="1:11" x14ac:dyDescent="0.3">
      <c r="A932" s="88" t="s">
        <v>482</v>
      </c>
      <c r="B932" s="24">
        <v>39281</v>
      </c>
      <c r="C932" s="32">
        <v>22.248142388111283</v>
      </c>
      <c r="D932">
        <v>26.6</v>
      </c>
      <c r="E932">
        <v>13.8</v>
      </c>
      <c r="F932" s="126">
        <v>0</v>
      </c>
      <c r="G932" s="126"/>
      <c r="H932" s="126">
        <f t="shared" si="14"/>
        <v>1.5784913004187435</v>
      </c>
      <c r="I932" s="89">
        <v>167.58000000000004</v>
      </c>
      <c r="J932" s="126">
        <v>72.382291666666674</v>
      </c>
      <c r="K932" s="34">
        <v>549.23181810355231</v>
      </c>
    </row>
    <row r="933" spans="1:11" x14ac:dyDescent="0.3">
      <c r="A933" s="88" t="s">
        <v>482</v>
      </c>
      <c r="B933" s="24">
        <v>39282</v>
      </c>
      <c r="C933" s="32">
        <v>16.55470595011808</v>
      </c>
      <c r="D933">
        <v>23.9</v>
      </c>
      <c r="E933">
        <v>12.4</v>
      </c>
      <c r="F933" s="126">
        <v>1.4999999999999999E-2</v>
      </c>
      <c r="G933" s="126"/>
      <c r="H933" s="126">
        <f t="shared" si="14"/>
        <v>1.4404604588486194</v>
      </c>
      <c r="I933" s="89">
        <v>97.29000000000002</v>
      </c>
      <c r="J933" s="126">
        <v>77.895833333333357</v>
      </c>
      <c r="K933" s="34">
        <v>549.22081183350485</v>
      </c>
    </row>
    <row r="934" spans="1:11" x14ac:dyDescent="0.3">
      <c r="A934" s="88" t="s">
        <v>482</v>
      </c>
      <c r="B934" s="24">
        <v>39283</v>
      </c>
      <c r="C934" s="32">
        <v>20.165529059385982</v>
      </c>
      <c r="D934">
        <v>27</v>
      </c>
      <c r="E934">
        <v>16</v>
      </c>
      <c r="F934" s="126">
        <v>0.26500000000000001</v>
      </c>
      <c r="G934" s="126"/>
      <c r="H934" s="126">
        <f t="shared" si="14"/>
        <v>1.8188820592283421</v>
      </c>
      <c r="I934" s="89">
        <v>233.28000000000003</v>
      </c>
      <c r="J934" s="126">
        <v>76.389583333333334</v>
      </c>
      <c r="K934" s="34">
        <v>549.61529520636407</v>
      </c>
    </row>
    <row r="935" spans="1:11" x14ac:dyDescent="0.3">
      <c r="A935" s="88" t="s">
        <v>482</v>
      </c>
      <c r="B935" s="24">
        <v>39284</v>
      </c>
      <c r="C935" s="32">
        <v>21.122235182305168</v>
      </c>
      <c r="D935">
        <v>24.3</v>
      </c>
      <c r="E935">
        <v>16.100000000000001</v>
      </c>
      <c r="F935" s="126">
        <v>1.875</v>
      </c>
      <c r="G935" s="126"/>
      <c r="H935" s="126">
        <f t="shared" si="14"/>
        <v>1.8305324367134694</v>
      </c>
      <c r="I935" s="89">
        <v>174.78000000000003</v>
      </c>
      <c r="J935" s="126">
        <v>77.78854166666666</v>
      </c>
      <c r="K935" s="34">
        <v>549.57673935617834</v>
      </c>
    </row>
    <row r="936" spans="1:11" x14ac:dyDescent="0.3">
      <c r="A936" s="88" t="s">
        <v>482</v>
      </c>
      <c r="B936" s="24">
        <v>39285</v>
      </c>
      <c r="C936" s="32">
        <v>16.172203502102416</v>
      </c>
      <c r="D936">
        <v>21.6</v>
      </c>
      <c r="E936">
        <v>13.1</v>
      </c>
      <c r="F936" s="126">
        <v>11.33</v>
      </c>
      <c r="G936" s="126"/>
      <c r="H936" s="126">
        <f t="shared" si="14"/>
        <v>1.5080901913058991</v>
      </c>
      <c r="I936" s="89">
        <v>222.93000000000006</v>
      </c>
      <c r="J936" s="126">
        <v>87.45</v>
      </c>
      <c r="K936" s="34">
        <v>549.81762053416571</v>
      </c>
    </row>
    <row r="937" spans="1:11" x14ac:dyDescent="0.3">
      <c r="A937" s="88" t="s">
        <v>482</v>
      </c>
      <c r="B937" s="24">
        <v>39286</v>
      </c>
      <c r="C937" s="32">
        <v>16.897608144692125</v>
      </c>
      <c r="D937">
        <v>22</v>
      </c>
      <c r="E937">
        <v>11.6</v>
      </c>
      <c r="F937" s="126">
        <v>0.58499999999999996</v>
      </c>
      <c r="G937" s="126"/>
      <c r="H937" s="126">
        <f t="shared" si="14"/>
        <v>1.3664431264636057</v>
      </c>
      <c r="I937" s="89">
        <v>112.95000000000002</v>
      </c>
      <c r="J937" s="126">
        <v>81.21770833333332</v>
      </c>
      <c r="K937" s="34">
        <v>548.28705878922062</v>
      </c>
    </row>
    <row r="938" spans="1:11" x14ac:dyDescent="0.3">
      <c r="A938" s="88" t="s">
        <v>482</v>
      </c>
      <c r="B938" s="24">
        <v>39287</v>
      </c>
      <c r="C938" s="32">
        <v>9.1836587754161627</v>
      </c>
      <c r="D938">
        <v>19.5</v>
      </c>
      <c r="E938">
        <v>12.4</v>
      </c>
      <c r="F938" s="126">
        <v>9.1150000000000002</v>
      </c>
      <c r="G938" s="126"/>
      <c r="H938" s="126">
        <f t="shared" si="14"/>
        <v>1.4404604588486194</v>
      </c>
      <c r="I938" s="89">
        <v>379.71</v>
      </c>
      <c r="J938" s="126">
        <v>88.661458333333329</v>
      </c>
      <c r="K938" s="34">
        <v>547.26649232914917</v>
      </c>
    </row>
    <row r="939" spans="1:11" x14ac:dyDescent="0.3">
      <c r="A939" s="88" t="s">
        <v>482</v>
      </c>
      <c r="B939" s="24">
        <v>39288</v>
      </c>
      <c r="C939" s="32">
        <v>20.098928633143252</v>
      </c>
      <c r="D939">
        <v>22.7</v>
      </c>
      <c r="E939">
        <v>13.3</v>
      </c>
      <c r="F939" s="126">
        <v>0</v>
      </c>
      <c r="G939" s="126"/>
      <c r="H939" s="126">
        <f t="shared" si="14"/>
        <v>1.5279178496783383</v>
      </c>
      <c r="I939" s="89">
        <v>397.26000000000005</v>
      </c>
      <c r="J939" s="126">
        <v>73.363541666666706</v>
      </c>
      <c r="K939" s="34">
        <v>550.07128366561722</v>
      </c>
    </row>
    <row r="940" spans="1:11" x14ac:dyDescent="0.3">
      <c r="A940" s="88" t="s">
        <v>482</v>
      </c>
      <c r="B940" s="24">
        <v>39289</v>
      </c>
      <c r="C940" s="32">
        <v>19.405924197914867</v>
      </c>
      <c r="D940">
        <v>26.6</v>
      </c>
      <c r="E940">
        <v>14</v>
      </c>
      <c r="F940" s="126">
        <v>0</v>
      </c>
      <c r="G940" s="126"/>
      <c r="H940" s="126">
        <f t="shared" si="14"/>
        <v>1.5991283056791965</v>
      </c>
      <c r="I940" s="89">
        <v>176.13</v>
      </c>
      <c r="J940" s="126">
        <v>62.692708333333314</v>
      </c>
      <c r="K940" s="34">
        <v>549.9385614035092</v>
      </c>
    </row>
    <row r="941" spans="1:11" x14ac:dyDescent="0.3">
      <c r="A941" s="88" t="s">
        <v>482</v>
      </c>
      <c r="B941" s="24">
        <v>39290</v>
      </c>
      <c r="C941" s="32">
        <v>19.835226945452451</v>
      </c>
      <c r="D941">
        <v>22.6</v>
      </c>
      <c r="E941">
        <v>14.5</v>
      </c>
      <c r="F941" s="126">
        <v>1.41</v>
      </c>
      <c r="G941" s="126"/>
      <c r="H941" s="126">
        <f t="shared" si="14"/>
        <v>1.6517598297933815</v>
      </c>
      <c r="I941" s="89">
        <v>366.39</v>
      </c>
      <c r="J941" s="126">
        <v>65.486458333333331</v>
      </c>
      <c r="K941" s="34">
        <v>549.71131244531614</v>
      </c>
    </row>
    <row r="942" spans="1:11" x14ac:dyDescent="0.3">
      <c r="A942" s="88" t="s">
        <v>482</v>
      </c>
      <c r="B942" s="24">
        <v>39291</v>
      </c>
      <c r="C942" s="32">
        <v>8.6031550601923854</v>
      </c>
      <c r="D942">
        <v>20.6</v>
      </c>
      <c r="E942">
        <v>13.3</v>
      </c>
      <c r="F942" s="126">
        <v>5.4450000000000003</v>
      </c>
      <c r="G942" s="126"/>
      <c r="H942" s="126">
        <f t="shared" si="14"/>
        <v>1.5279178496783383</v>
      </c>
      <c r="I942" s="89">
        <v>204.39000000000004</v>
      </c>
      <c r="J942" s="126">
        <v>81.237499999999997</v>
      </c>
      <c r="K942" s="34">
        <v>548.41324152542359</v>
      </c>
    </row>
    <row r="943" spans="1:11" x14ac:dyDescent="0.3">
      <c r="A943" s="88" t="s">
        <v>482</v>
      </c>
      <c r="B943" s="24">
        <v>39292</v>
      </c>
      <c r="C943" s="32">
        <v>4.7988307125165601</v>
      </c>
      <c r="D943">
        <v>15.7</v>
      </c>
      <c r="E943">
        <v>11.4</v>
      </c>
      <c r="F943" s="126">
        <v>6.2750000000000004</v>
      </c>
      <c r="G943" s="126"/>
      <c r="H943" s="126">
        <f t="shared" si="14"/>
        <v>1.3484693686655054</v>
      </c>
      <c r="I943" s="89">
        <v>184.95</v>
      </c>
      <c r="J943" s="126">
        <v>88.905208333333334</v>
      </c>
      <c r="K943" s="34">
        <v>549.3164009918529</v>
      </c>
    </row>
    <row r="944" spans="1:11" x14ac:dyDescent="0.3">
      <c r="A944" s="88" t="s">
        <v>482</v>
      </c>
      <c r="B944" s="24">
        <v>39293</v>
      </c>
      <c r="C944" s="32">
        <v>15.469299003513623</v>
      </c>
      <c r="D944">
        <v>15.6</v>
      </c>
      <c r="E944">
        <v>9.6999999999999993</v>
      </c>
      <c r="F944" s="126">
        <v>1.5149999999999999</v>
      </c>
      <c r="G944" s="126"/>
      <c r="H944" s="126">
        <f t="shared" si="14"/>
        <v>1.2038879226915637</v>
      </c>
      <c r="I944" s="89">
        <v>488.88000000000022</v>
      </c>
      <c r="J944" s="126">
        <v>80.242708333333312</v>
      </c>
      <c r="K944" s="34">
        <v>548.37778962331197</v>
      </c>
    </row>
    <row r="945" spans="1:11" x14ac:dyDescent="0.3">
      <c r="A945" s="88" t="s">
        <v>482</v>
      </c>
      <c r="B945" s="24">
        <v>39294</v>
      </c>
      <c r="C945" s="32">
        <v>16.1011030470595</v>
      </c>
      <c r="D945">
        <v>17.8</v>
      </c>
      <c r="E945">
        <v>11.1</v>
      </c>
      <c r="F945" s="126">
        <v>2.5000000000000001E-2</v>
      </c>
      <c r="G945" s="126"/>
      <c r="H945" s="126">
        <f t="shared" si="14"/>
        <v>1.3218981992116727</v>
      </c>
      <c r="I945" s="89">
        <v>399.77999999999986</v>
      </c>
      <c r="J945" s="126">
        <v>74.792708333333351</v>
      </c>
      <c r="K945" s="34">
        <v>549.3295187165777</v>
      </c>
    </row>
    <row r="946" spans="1:11" x14ac:dyDescent="0.3">
      <c r="A946" s="88" t="s">
        <v>482</v>
      </c>
      <c r="B946" s="24">
        <v>39295</v>
      </c>
      <c r="C946" s="32">
        <v>25.223561430793158</v>
      </c>
      <c r="D946">
        <v>21.7</v>
      </c>
      <c r="E946">
        <v>9.1999999999999993</v>
      </c>
      <c r="F946" s="126">
        <v>5.0000000000000001E-3</v>
      </c>
      <c r="G946" s="126"/>
      <c r="H946" s="126">
        <f t="shared" si="14"/>
        <v>1.16404559315309</v>
      </c>
      <c r="I946" s="89">
        <v>159.30000000000001</v>
      </c>
      <c r="J946" s="126">
        <v>69.235416666666666</v>
      </c>
      <c r="K946" s="34">
        <v>549.3488005728608</v>
      </c>
    </row>
    <row r="947" spans="1:11" x14ac:dyDescent="0.3">
      <c r="A947" s="88" t="s">
        <v>482</v>
      </c>
      <c r="B947" s="24">
        <v>39296</v>
      </c>
      <c r="C947" s="32">
        <v>6.8283437013996888</v>
      </c>
      <c r="D947">
        <v>19.8</v>
      </c>
      <c r="E947">
        <v>13</v>
      </c>
      <c r="F947" s="126">
        <v>10.15</v>
      </c>
      <c r="G947" s="126"/>
      <c r="H947" s="126">
        <f t="shared" si="14"/>
        <v>1.498261331998219</v>
      </c>
      <c r="I947" s="89">
        <v>206.18999999999997</v>
      </c>
      <c r="J947" s="126">
        <v>78.494791666666643</v>
      </c>
      <c r="K947" s="34">
        <v>548.84085102209758</v>
      </c>
    </row>
    <row r="948" spans="1:11" x14ac:dyDescent="0.3">
      <c r="A948" s="88" t="s">
        <v>482</v>
      </c>
      <c r="B948" s="24">
        <v>39297</v>
      </c>
      <c r="C948" s="32">
        <v>20.070128448822071</v>
      </c>
      <c r="D948">
        <v>20.9</v>
      </c>
      <c r="E948">
        <v>13</v>
      </c>
      <c r="F948" s="126">
        <v>5.0000000000000001E-3</v>
      </c>
      <c r="G948" s="126"/>
      <c r="H948" s="126">
        <f t="shared" si="14"/>
        <v>1.498261331998219</v>
      </c>
      <c r="I948" s="89">
        <v>287.45999999999992</v>
      </c>
      <c r="J948" s="126">
        <v>76.351041666666688</v>
      </c>
      <c r="K948" s="34">
        <v>550.04282106782114</v>
      </c>
    </row>
    <row r="949" spans="1:11" x14ac:dyDescent="0.3">
      <c r="A949" s="88" t="s">
        <v>482</v>
      </c>
      <c r="B949" s="24">
        <v>39298</v>
      </c>
      <c r="C949" s="32">
        <v>21.846739819134843</v>
      </c>
      <c r="D949">
        <v>24.4</v>
      </c>
      <c r="E949">
        <v>11.2</v>
      </c>
      <c r="F949" s="126">
        <v>5.0000000000000001E-3</v>
      </c>
      <c r="G949" s="126"/>
      <c r="H949" s="126">
        <f t="shared" si="14"/>
        <v>1.3307036698161701</v>
      </c>
      <c r="I949" s="89">
        <v>175.05000000000007</v>
      </c>
      <c r="J949" s="126">
        <v>68.840625000000003</v>
      </c>
      <c r="K949" s="34">
        <v>550.06872964169384</v>
      </c>
    </row>
    <row r="950" spans="1:11" x14ac:dyDescent="0.3">
      <c r="A950" s="88" t="s">
        <v>482</v>
      </c>
      <c r="B950" s="24">
        <v>39299</v>
      </c>
      <c r="C950" s="32">
        <v>24.961659754622431</v>
      </c>
      <c r="D950">
        <v>27.1</v>
      </c>
      <c r="E950">
        <v>15.2</v>
      </c>
      <c r="F950" s="126">
        <v>0</v>
      </c>
      <c r="G950" s="126"/>
      <c r="H950" s="126">
        <f t="shared" si="14"/>
        <v>1.7279944907780873</v>
      </c>
      <c r="I950" s="89">
        <v>247.49999999999994</v>
      </c>
      <c r="J950" s="126">
        <v>59.798958333333353</v>
      </c>
      <c r="K950" s="34">
        <v>549.0310119695323</v>
      </c>
    </row>
    <row r="951" spans="1:11" x14ac:dyDescent="0.3">
      <c r="A951" s="88" t="s">
        <v>482</v>
      </c>
      <c r="B951" s="24">
        <v>39300</v>
      </c>
      <c r="C951" s="32">
        <v>25.737464719774209</v>
      </c>
      <c r="D951">
        <v>28.3</v>
      </c>
      <c r="E951">
        <v>16.5</v>
      </c>
      <c r="F951" s="126">
        <v>0</v>
      </c>
      <c r="G951" s="126"/>
      <c r="H951" s="126">
        <f t="shared" si="14"/>
        <v>1.8777904954698514</v>
      </c>
      <c r="I951" s="89">
        <v>264.06</v>
      </c>
      <c r="J951" s="126">
        <v>52.613541666666684</v>
      </c>
      <c r="K951" s="34">
        <v>549.73081967213136</v>
      </c>
    </row>
    <row r="952" spans="1:11" x14ac:dyDescent="0.3">
      <c r="A952" s="88" t="s">
        <v>482</v>
      </c>
      <c r="B952" s="24">
        <v>39301</v>
      </c>
      <c r="C952" s="32">
        <v>20.454430908357814</v>
      </c>
      <c r="D952">
        <v>25.9</v>
      </c>
      <c r="E952">
        <v>14.2</v>
      </c>
      <c r="F952" s="126">
        <v>5.0000000000000001E-3</v>
      </c>
      <c r="G952" s="126"/>
      <c r="H952" s="126">
        <f t="shared" si="14"/>
        <v>1.6200016491976139</v>
      </c>
      <c r="I952" s="89">
        <v>218.70000000000002</v>
      </c>
      <c r="J952" s="126">
        <v>77.432291666666714</v>
      </c>
      <c r="K952" s="34">
        <v>547.2774488304093</v>
      </c>
    </row>
    <row r="953" spans="1:11" x14ac:dyDescent="0.3">
      <c r="A953" s="88" t="s">
        <v>482</v>
      </c>
      <c r="B953" s="24">
        <v>39302</v>
      </c>
      <c r="C953" s="32">
        <v>5.0949326075686887</v>
      </c>
      <c r="D953">
        <v>18.3</v>
      </c>
      <c r="E953">
        <v>15.2</v>
      </c>
      <c r="F953" s="126">
        <v>0</v>
      </c>
      <c r="G953" s="126"/>
      <c r="H953" s="126">
        <f t="shared" si="14"/>
        <v>1.7279944907780873</v>
      </c>
      <c r="I953" s="89">
        <v>260.09999999999997</v>
      </c>
      <c r="J953" s="126">
        <v>92.329166666666652</v>
      </c>
      <c r="K953" s="34">
        <v>549.41791483113059</v>
      </c>
    </row>
    <row r="954" spans="1:11" x14ac:dyDescent="0.3">
      <c r="A954" s="88" t="s">
        <v>482</v>
      </c>
      <c r="B954" s="24">
        <v>39303</v>
      </c>
      <c r="C954" s="32">
        <v>19.886527273774551</v>
      </c>
      <c r="D954">
        <v>28.8</v>
      </c>
      <c r="E954">
        <v>16.2</v>
      </c>
      <c r="F954" s="126">
        <v>5.0000000000000001E-3</v>
      </c>
      <c r="G954" s="126"/>
      <c r="H954" s="126">
        <f t="shared" si="14"/>
        <v>1.842248157637969</v>
      </c>
      <c r="I954" s="89">
        <v>230.94000000000011</v>
      </c>
      <c r="J954" s="126">
        <v>80.322916666666657</v>
      </c>
      <c r="K954" s="34">
        <v>549.31393805309733</v>
      </c>
    </row>
    <row r="955" spans="1:11" x14ac:dyDescent="0.3">
      <c r="A955" s="88" t="s">
        <v>482</v>
      </c>
      <c r="B955" s="24">
        <v>39304</v>
      </c>
      <c r="C955" s="32">
        <v>4.7907306606762283</v>
      </c>
      <c r="D955">
        <v>21.1</v>
      </c>
      <c r="E955">
        <v>16</v>
      </c>
      <c r="F955" s="126">
        <v>13.484999999999999</v>
      </c>
      <c r="G955" s="126"/>
      <c r="H955" s="126">
        <f t="shared" si="14"/>
        <v>1.8188820592283421</v>
      </c>
      <c r="I955" s="89">
        <v>222.92999999999995</v>
      </c>
      <c r="J955" s="126">
        <v>93.946875000000006</v>
      </c>
      <c r="K955" s="34">
        <v>549.35160932297492</v>
      </c>
    </row>
    <row r="956" spans="1:11" x14ac:dyDescent="0.3">
      <c r="A956" s="88" t="s">
        <v>482</v>
      </c>
      <c r="B956" s="24">
        <v>39305</v>
      </c>
      <c r="C956" s="32">
        <v>7.2144461724555038</v>
      </c>
      <c r="D956">
        <v>20.9</v>
      </c>
      <c r="E956">
        <v>14.6</v>
      </c>
      <c r="F956" s="126">
        <v>9.2100000000000009</v>
      </c>
      <c r="G956" s="126"/>
      <c r="H956" s="126">
        <f t="shared" si="14"/>
        <v>1.6624665597000106</v>
      </c>
      <c r="I956" s="89">
        <v>389.70000000000005</v>
      </c>
      <c r="J956" s="126">
        <v>85.261458333333323</v>
      </c>
      <c r="K956" s="34">
        <v>549.05447788926006</v>
      </c>
    </row>
    <row r="957" spans="1:11" x14ac:dyDescent="0.3">
      <c r="A957" s="88" t="s">
        <v>482</v>
      </c>
      <c r="B957" s="24">
        <v>39306</v>
      </c>
      <c r="C957" s="32">
        <v>19.65162577040493</v>
      </c>
      <c r="D957">
        <v>22.3</v>
      </c>
      <c r="E957">
        <v>11.6</v>
      </c>
      <c r="F957" s="126">
        <v>0</v>
      </c>
      <c r="G957" s="126"/>
      <c r="H957" s="126">
        <f t="shared" si="14"/>
        <v>1.3664431264636057</v>
      </c>
      <c r="I957" s="89">
        <v>181.71</v>
      </c>
      <c r="J957" s="126">
        <v>78.419791666666711</v>
      </c>
      <c r="K957" s="34">
        <v>549.94109742441231</v>
      </c>
    </row>
    <row r="958" spans="1:11" x14ac:dyDescent="0.3">
      <c r="A958" s="88" t="s">
        <v>482</v>
      </c>
      <c r="B958" s="24">
        <v>39307</v>
      </c>
      <c r="C958" s="32">
        <v>11.019253681118297</v>
      </c>
      <c r="D958">
        <v>22.6</v>
      </c>
      <c r="E958">
        <v>12.1</v>
      </c>
      <c r="F958" s="126">
        <v>0</v>
      </c>
      <c r="G958" s="126"/>
      <c r="H958" s="126">
        <f t="shared" si="14"/>
        <v>1.4123014242757443</v>
      </c>
      <c r="I958" s="89">
        <v>153.97389473684211</v>
      </c>
      <c r="J958" s="126">
        <v>75.538947368421034</v>
      </c>
      <c r="K958" s="34">
        <v>549.79029962546781</v>
      </c>
    </row>
    <row r="959" spans="1:11" x14ac:dyDescent="0.3">
      <c r="A959" s="88" t="s">
        <v>482</v>
      </c>
      <c r="B959" s="24">
        <v>39308</v>
      </c>
      <c r="C959" s="32">
        <v>23.027547376303207</v>
      </c>
      <c r="D959">
        <v>24.7</v>
      </c>
      <c r="E959">
        <v>11.4</v>
      </c>
      <c r="F959" s="126">
        <v>0</v>
      </c>
      <c r="G959" s="126"/>
      <c r="H959" s="126">
        <f t="shared" si="14"/>
        <v>1.3484693686655054</v>
      </c>
      <c r="I959" s="89">
        <v>129.32999999999998</v>
      </c>
      <c r="J959" s="126">
        <v>65.970833333333346</v>
      </c>
      <c r="K959" s="34">
        <v>549.34986817325796</v>
      </c>
    </row>
    <row r="960" spans="1:11" x14ac:dyDescent="0.3">
      <c r="A960" s="88" t="s">
        <v>482</v>
      </c>
      <c r="B960" s="24">
        <v>39309</v>
      </c>
      <c r="C960" s="32">
        <v>12.507380047232301</v>
      </c>
      <c r="D960">
        <v>26.6</v>
      </c>
      <c r="E960">
        <v>18.100000000000001</v>
      </c>
      <c r="F960" s="126">
        <v>0.68</v>
      </c>
      <c r="G960" s="126"/>
      <c r="H960" s="126">
        <f t="shared" si="14"/>
        <v>2.0776827112717497</v>
      </c>
      <c r="I960" s="89">
        <v>246.51</v>
      </c>
      <c r="J960" s="126">
        <v>71.752083333333317</v>
      </c>
      <c r="K960" s="34">
        <v>548.57294028722595</v>
      </c>
    </row>
    <row r="961" spans="1:11" x14ac:dyDescent="0.3">
      <c r="A961" s="88" t="s">
        <v>482</v>
      </c>
      <c r="B961" s="24">
        <v>39310</v>
      </c>
      <c r="C961" s="32">
        <v>13.36958556534762</v>
      </c>
      <c r="D961">
        <v>21.4</v>
      </c>
      <c r="E961">
        <v>13</v>
      </c>
      <c r="F961" s="126">
        <v>6.45</v>
      </c>
      <c r="G961" s="126"/>
      <c r="H961" s="126">
        <f t="shared" si="14"/>
        <v>1.498261331998219</v>
      </c>
      <c r="I961" s="89">
        <v>299.88000000000017</v>
      </c>
      <c r="J961" s="126">
        <v>76.447916666666671</v>
      </c>
      <c r="K961" s="34">
        <v>549.11093394077454</v>
      </c>
    </row>
    <row r="962" spans="1:11" x14ac:dyDescent="0.3">
      <c r="A962" s="88" t="s">
        <v>482</v>
      </c>
      <c r="B962" s="24">
        <v>39311</v>
      </c>
      <c r="C962" s="32">
        <v>14.767294510684868</v>
      </c>
      <c r="D962">
        <v>19.899999999999999</v>
      </c>
      <c r="E962">
        <v>11.8</v>
      </c>
      <c r="F962" s="126">
        <v>2.0950000000000002</v>
      </c>
      <c r="G962" s="126"/>
      <c r="H962" s="126">
        <f t="shared" si="14"/>
        <v>1.3846270162501679</v>
      </c>
      <c r="I962" s="89">
        <v>223.92000000000002</v>
      </c>
      <c r="J962" s="126">
        <v>76.23645833333336</v>
      </c>
      <c r="K962" s="34">
        <v>549.36063007998985</v>
      </c>
    </row>
    <row r="963" spans="1:11" x14ac:dyDescent="0.3">
      <c r="A963" s="88" t="s">
        <v>482</v>
      </c>
      <c r="B963" s="24">
        <v>39312</v>
      </c>
      <c r="C963" s="32">
        <v>18.280916997868786</v>
      </c>
      <c r="D963">
        <v>20.5</v>
      </c>
      <c r="E963">
        <v>10.3</v>
      </c>
      <c r="F963" s="126">
        <v>0</v>
      </c>
      <c r="G963" s="126"/>
      <c r="H963" s="126">
        <f t="shared" si="14"/>
        <v>1.2532780017936267</v>
      </c>
      <c r="I963" s="89">
        <v>115.55999999999999</v>
      </c>
      <c r="J963" s="126">
        <v>77.186458333333363</v>
      </c>
      <c r="K963" s="34">
        <v>550.25770114942577</v>
      </c>
    </row>
    <row r="964" spans="1:11" x14ac:dyDescent="0.3">
      <c r="A964" s="88" t="s">
        <v>482</v>
      </c>
      <c r="B964" s="24">
        <v>39313</v>
      </c>
      <c r="C964" s="32">
        <v>15.210997350383044</v>
      </c>
      <c r="D964">
        <v>24.2</v>
      </c>
      <c r="E964">
        <v>11.6</v>
      </c>
      <c r="F964" s="126">
        <v>9.125</v>
      </c>
      <c r="G964" s="126"/>
      <c r="H964" s="126">
        <f t="shared" ref="H964:H1027" si="15">0.611*EXP((17.27*E964)/(E964+237.3))</f>
        <v>1.3664431264636057</v>
      </c>
      <c r="I964" s="89">
        <v>127.52999999999997</v>
      </c>
      <c r="J964" s="126">
        <v>69.506249999999994</v>
      </c>
      <c r="K964" s="34">
        <v>551.00526720492155</v>
      </c>
    </row>
    <row r="965" spans="1:11" x14ac:dyDescent="0.3">
      <c r="A965" s="88" t="s">
        <v>482</v>
      </c>
      <c r="B965" s="24">
        <v>39314</v>
      </c>
      <c r="C965" s="32">
        <v>19.716426185127585</v>
      </c>
      <c r="D965">
        <v>22.2</v>
      </c>
      <c r="E965">
        <v>12.9</v>
      </c>
      <c r="F965" s="126">
        <v>7.0000000000000007E-2</v>
      </c>
      <c r="G965" s="126"/>
      <c r="H965" s="126">
        <f t="shared" si="15"/>
        <v>1.4884887514247067</v>
      </c>
      <c r="I965" s="89">
        <v>139.67999999999998</v>
      </c>
      <c r="J965" s="126">
        <v>77.417708333333351</v>
      </c>
      <c r="K965" s="34">
        <v>549.01196283391425</v>
      </c>
    </row>
    <row r="966" spans="1:11" x14ac:dyDescent="0.3">
      <c r="A966" s="88" t="s">
        <v>482</v>
      </c>
      <c r="B966" s="24">
        <v>39315</v>
      </c>
      <c r="C966" s="32">
        <v>2.598316629226427</v>
      </c>
      <c r="D966">
        <v>19</v>
      </c>
      <c r="E966">
        <v>13.7</v>
      </c>
      <c r="F966" s="126">
        <v>26.785</v>
      </c>
      <c r="G966" s="126"/>
      <c r="H966" s="126">
        <f t="shared" si="15"/>
        <v>1.568260711501982</v>
      </c>
      <c r="I966" s="89">
        <v>277.64999999999998</v>
      </c>
      <c r="J966" s="126">
        <v>92.772916666666632</v>
      </c>
      <c r="K966" s="34">
        <v>548.15992248061991</v>
      </c>
    </row>
    <row r="967" spans="1:11" x14ac:dyDescent="0.3">
      <c r="A967" s="88" t="s">
        <v>482</v>
      </c>
      <c r="B967" s="24">
        <v>39316</v>
      </c>
      <c r="C967" s="32">
        <v>14.491892748113587</v>
      </c>
      <c r="D967">
        <v>22.9</v>
      </c>
      <c r="E967">
        <v>14.7</v>
      </c>
      <c r="F967" s="126">
        <v>1.51</v>
      </c>
      <c r="G967" s="126"/>
      <c r="H967" s="126">
        <f t="shared" si="15"/>
        <v>1.673234110655023</v>
      </c>
      <c r="I967" s="89">
        <v>130.76999999999992</v>
      </c>
      <c r="J967" s="126">
        <v>82.37708333333336</v>
      </c>
      <c r="K967" s="34">
        <v>548.89563862928333</v>
      </c>
    </row>
    <row r="968" spans="1:11" x14ac:dyDescent="0.3">
      <c r="A968" s="88" t="s">
        <v>482</v>
      </c>
      <c r="B968" s="24">
        <v>39317</v>
      </c>
      <c r="C968" s="32">
        <v>11.087170957894131</v>
      </c>
      <c r="D968">
        <v>22.7</v>
      </c>
      <c r="E968">
        <v>12.9</v>
      </c>
      <c r="F968" s="126">
        <v>17.524999999999999</v>
      </c>
      <c r="G968" s="126"/>
      <c r="H968" s="126">
        <f t="shared" si="15"/>
        <v>1.4884887514247067</v>
      </c>
      <c r="I968" s="89">
        <v>111.32999999999996</v>
      </c>
      <c r="J968" s="126">
        <v>90.47083333333336</v>
      </c>
      <c r="K968" s="34">
        <v>549.44904306220121</v>
      </c>
    </row>
    <row r="969" spans="1:11" x14ac:dyDescent="0.3">
      <c r="A969" s="88" t="s">
        <v>482</v>
      </c>
      <c r="B969" s="24">
        <v>39318</v>
      </c>
      <c r="C969" s="32">
        <v>15.988602327054894</v>
      </c>
      <c r="D969">
        <v>24</v>
      </c>
      <c r="E969">
        <v>15.5</v>
      </c>
      <c r="F969" s="126">
        <v>6.7350000000000003</v>
      </c>
      <c r="G969" s="126"/>
      <c r="H969" s="126">
        <f t="shared" si="15"/>
        <v>1.7615995264429876</v>
      </c>
      <c r="I969" s="89">
        <v>133.02000000000001</v>
      </c>
      <c r="J969" s="126">
        <v>84.880208333333343</v>
      </c>
      <c r="K969" s="34">
        <v>549.62854242793298</v>
      </c>
    </row>
    <row r="970" spans="1:11" x14ac:dyDescent="0.3">
      <c r="A970" s="88" t="s">
        <v>482</v>
      </c>
      <c r="B970" s="24">
        <v>39319</v>
      </c>
      <c r="C970" s="32">
        <v>14.09229019065722</v>
      </c>
      <c r="D970">
        <v>23.8</v>
      </c>
      <c r="E970">
        <v>14.5</v>
      </c>
      <c r="F970" s="126">
        <v>0</v>
      </c>
      <c r="G970" s="126"/>
      <c r="H970" s="126">
        <f t="shared" si="15"/>
        <v>1.6517598297933815</v>
      </c>
      <c r="I970" s="89">
        <v>212.04000000000011</v>
      </c>
      <c r="J970" s="126">
        <v>82.792708333333337</v>
      </c>
      <c r="K970" s="34">
        <v>550.00295857988158</v>
      </c>
    </row>
    <row r="971" spans="1:11" x14ac:dyDescent="0.3">
      <c r="A971" s="88" t="s">
        <v>482</v>
      </c>
      <c r="B971" s="24">
        <v>39320</v>
      </c>
      <c r="C971" s="32">
        <v>14.145390530499395</v>
      </c>
      <c r="D971">
        <v>22.6</v>
      </c>
      <c r="E971">
        <v>13.3</v>
      </c>
      <c r="F971" s="126">
        <v>0</v>
      </c>
      <c r="G971" s="126"/>
      <c r="H971" s="126">
        <f t="shared" si="15"/>
        <v>1.5279178496783383</v>
      </c>
      <c r="I971" s="89">
        <v>284.31</v>
      </c>
      <c r="J971" s="126">
        <v>78.408333333333317</v>
      </c>
      <c r="K971" s="34">
        <v>549.11625049544182</v>
      </c>
    </row>
    <row r="972" spans="1:11" x14ac:dyDescent="0.3">
      <c r="A972" s="88" t="s">
        <v>482</v>
      </c>
      <c r="B972" s="24">
        <v>39321</v>
      </c>
      <c r="C972" s="32">
        <v>12.922282702609296</v>
      </c>
      <c r="D972">
        <v>17.7</v>
      </c>
      <c r="E972">
        <v>12.3</v>
      </c>
      <c r="F972" s="126">
        <v>0</v>
      </c>
      <c r="G972" s="126"/>
      <c r="H972" s="126">
        <f t="shared" si="15"/>
        <v>1.4310198233396516</v>
      </c>
      <c r="I972" s="89">
        <v>232.82999999999998</v>
      </c>
      <c r="J972" s="126">
        <v>72.619791666666671</v>
      </c>
      <c r="K972" s="34">
        <v>549.92716049382636</v>
      </c>
    </row>
    <row r="973" spans="1:11" x14ac:dyDescent="0.3">
      <c r="A973" s="88" t="s">
        <v>482</v>
      </c>
      <c r="B973" s="24">
        <v>39322</v>
      </c>
      <c r="C973" s="32">
        <v>15.322598064627615</v>
      </c>
      <c r="D973">
        <v>17.399999999999999</v>
      </c>
      <c r="E973">
        <v>8.5</v>
      </c>
      <c r="F973" s="126">
        <v>5.0000000000000001E-3</v>
      </c>
      <c r="G973" s="126"/>
      <c r="H973" s="126">
        <f t="shared" si="15"/>
        <v>1.110216300480029</v>
      </c>
      <c r="I973" s="89">
        <v>184.58999999999986</v>
      </c>
      <c r="J973" s="126">
        <v>76.0677083333333</v>
      </c>
      <c r="K973" s="34">
        <v>550.04053621448577</v>
      </c>
    </row>
    <row r="974" spans="1:11" x14ac:dyDescent="0.3">
      <c r="A974" s="88" t="s">
        <v>482</v>
      </c>
      <c r="B974" s="24">
        <v>39323</v>
      </c>
      <c r="C974" s="32">
        <v>16.947108461494153</v>
      </c>
      <c r="D974">
        <v>17</v>
      </c>
      <c r="E974">
        <v>6.2</v>
      </c>
      <c r="F974" s="126">
        <v>0.01</v>
      </c>
      <c r="G974" s="126"/>
      <c r="H974" s="126">
        <f t="shared" si="15"/>
        <v>0.94844700173703456</v>
      </c>
      <c r="I974" s="89">
        <v>99.990000000000009</v>
      </c>
      <c r="J974" s="126">
        <v>79.668750000000003</v>
      </c>
      <c r="K974" s="34">
        <v>550.09258280033475</v>
      </c>
    </row>
    <row r="975" spans="1:11" x14ac:dyDescent="0.3">
      <c r="A975" s="88" t="s">
        <v>482</v>
      </c>
      <c r="B975" s="24">
        <v>39324</v>
      </c>
      <c r="C975" s="32">
        <v>12.034877023212948</v>
      </c>
      <c r="D975">
        <v>17.2</v>
      </c>
      <c r="E975">
        <v>7.5</v>
      </c>
      <c r="F975" s="126">
        <v>1.895</v>
      </c>
      <c r="G975" s="126"/>
      <c r="H975" s="126">
        <f t="shared" si="15"/>
        <v>1.0371194102680934</v>
      </c>
      <c r="I975" s="89">
        <v>313.46999999999997</v>
      </c>
      <c r="J975" s="126">
        <v>81.789583333333368</v>
      </c>
      <c r="K975" s="34">
        <v>548.04169696969723</v>
      </c>
    </row>
    <row r="976" spans="1:11" x14ac:dyDescent="0.3">
      <c r="A976" s="88" t="s">
        <v>482</v>
      </c>
      <c r="B976" s="24">
        <v>39325</v>
      </c>
      <c r="C976" s="32">
        <v>6.6564426012326487</v>
      </c>
      <c r="D976">
        <v>17.899999999999999</v>
      </c>
      <c r="E976">
        <v>12.9</v>
      </c>
      <c r="F976" s="126">
        <v>6.9</v>
      </c>
      <c r="G976" s="126"/>
      <c r="H976" s="126">
        <f t="shared" si="15"/>
        <v>1.4884887514247067</v>
      </c>
      <c r="I976" s="89">
        <v>326.15999999999997</v>
      </c>
      <c r="J976" s="126">
        <v>88.835416666666674</v>
      </c>
      <c r="K976" s="34">
        <v>547.20891330891311</v>
      </c>
    </row>
    <row r="977" spans="1:11" x14ac:dyDescent="0.3">
      <c r="A977" s="88" t="s">
        <v>482</v>
      </c>
      <c r="B977" s="24">
        <v>39326</v>
      </c>
      <c r="C977" s="32">
        <v>13.792588272564943</v>
      </c>
      <c r="D977">
        <v>19.399999999999999</v>
      </c>
      <c r="E977">
        <v>12.4</v>
      </c>
      <c r="F977" s="126">
        <v>0.27500000000000002</v>
      </c>
      <c r="G977" s="126"/>
      <c r="H977" s="126">
        <f t="shared" si="15"/>
        <v>1.4404604588486194</v>
      </c>
      <c r="I977" s="89">
        <v>260.45999999999992</v>
      </c>
      <c r="J977" s="126">
        <v>84.496875000000003</v>
      </c>
      <c r="K977" s="34">
        <v>549.77800897592863</v>
      </c>
    </row>
    <row r="978" spans="1:11" x14ac:dyDescent="0.3">
      <c r="A978" s="88" t="s">
        <v>482</v>
      </c>
      <c r="B978" s="24">
        <v>39327</v>
      </c>
      <c r="C978" s="32">
        <v>12.027676977132655</v>
      </c>
      <c r="D978">
        <v>19.8</v>
      </c>
      <c r="E978">
        <v>12.4</v>
      </c>
      <c r="F978" s="126">
        <v>0</v>
      </c>
      <c r="G978" s="126"/>
      <c r="H978" s="126">
        <f t="shared" si="15"/>
        <v>1.4404604588486194</v>
      </c>
      <c r="I978" s="89">
        <v>270.08999999999997</v>
      </c>
      <c r="J978" s="126">
        <v>79.896874999999994</v>
      </c>
      <c r="K978" s="34">
        <v>548.69286592865956</v>
      </c>
    </row>
    <row r="979" spans="1:11" x14ac:dyDescent="0.3">
      <c r="A979" s="88" t="s">
        <v>482</v>
      </c>
      <c r="B979" s="24">
        <v>39328</v>
      </c>
      <c r="C979" s="32">
        <v>9.2439591613386316</v>
      </c>
      <c r="D979">
        <v>16.3</v>
      </c>
      <c r="E979">
        <v>10.5</v>
      </c>
      <c r="F979" s="126">
        <v>17.989999999999998</v>
      </c>
      <c r="G979" s="126"/>
      <c r="H979" s="126">
        <f t="shared" si="15"/>
        <v>1.2701326466613394</v>
      </c>
      <c r="I979" s="89">
        <v>287.28000000000003</v>
      </c>
      <c r="J979" s="126">
        <v>84.140625</v>
      </c>
      <c r="K979" s="34">
        <v>549.02550473835993</v>
      </c>
    </row>
    <row r="980" spans="1:11" x14ac:dyDescent="0.3">
      <c r="A980" s="88" t="s">
        <v>482</v>
      </c>
      <c r="B980" s="24">
        <v>39329</v>
      </c>
      <c r="C980" s="32">
        <v>17.287310638788089</v>
      </c>
      <c r="D980">
        <v>16.100000000000001</v>
      </c>
      <c r="E980">
        <v>8.4</v>
      </c>
      <c r="F980" s="126">
        <v>0.52</v>
      </c>
      <c r="G980" s="126"/>
      <c r="H980" s="126">
        <f t="shared" si="15"/>
        <v>1.1027080638918816</v>
      </c>
      <c r="I980" s="89">
        <v>434.87999999999994</v>
      </c>
      <c r="J980" s="126">
        <v>72.838541666666686</v>
      </c>
      <c r="K980" s="34">
        <v>548.3148654244302</v>
      </c>
    </row>
    <row r="981" spans="1:11" x14ac:dyDescent="0.3">
      <c r="A981" s="88" t="s">
        <v>482</v>
      </c>
      <c r="B981" s="24">
        <v>39330</v>
      </c>
      <c r="C981" s="32">
        <v>14.77269454524509</v>
      </c>
      <c r="D981">
        <v>17.100000000000001</v>
      </c>
      <c r="E981">
        <v>7.6</v>
      </c>
      <c r="F981" s="126">
        <v>0</v>
      </c>
      <c r="G981" s="126"/>
      <c r="H981" s="126">
        <f t="shared" si="15"/>
        <v>1.0442332464842816</v>
      </c>
      <c r="I981" s="89">
        <v>233.19</v>
      </c>
      <c r="J981" s="126">
        <v>74.755208333333329</v>
      </c>
      <c r="K981" s="34">
        <v>549.96350395339198</v>
      </c>
    </row>
    <row r="982" spans="1:11" x14ac:dyDescent="0.3">
      <c r="A982" s="88" t="s">
        <v>482</v>
      </c>
      <c r="B982" s="24">
        <v>39331</v>
      </c>
      <c r="C982" s="32">
        <v>10.578667703473302</v>
      </c>
      <c r="D982">
        <v>19.8</v>
      </c>
      <c r="E982">
        <v>10.3</v>
      </c>
      <c r="F982" s="126">
        <v>0.495</v>
      </c>
      <c r="G982" s="126"/>
      <c r="H982" s="126">
        <f t="shared" si="15"/>
        <v>1.2532780017936267</v>
      </c>
      <c r="I982" s="89">
        <v>242.28000000000006</v>
      </c>
      <c r="J982" s="126">
        <v>81.402083333333309</v>
      </c>
      <c r="K982" s="34">
        <v>549.27202007528228</v>
      </c>
    </row>
    <row r="983" spans="1:11" x14ac:dyDescent="0.3">
      <c r="A983" s="88" t="s">
        <v>482</v>
      </c>
      <c r="B983" s="24">
        <v>39332</v>
      </c>
      <c r="C983" s="32">
        <v>6.96874459996544</v>
      </c>
      <c r="D983">
        <v>17.5</v>
      </c>
      <c r="E983">
        <v>12.9</v>
      </c>
      <c r="F983" s="126">
        <v>0.03</v>
      </c>
      <c r="G983" s="126"/>
      <c r="H983" s="126">
        <f t="shared" si="15"/>
        <v>1.4884887514247067</v>
      </c>
      <c r="I983" s="89">
        <v>325.79999999999995</v>
      </c>
      <c r="J983" s="126">
        <v>83.777083333333337</v>
      </c>
      <c r="K983" s="34">
        <v>549.00491803278658</v>
      </c>
    </row>
    <row r="984" spans="1:11" x14ac:dyDescent="0.3">
      <c r="A984" s="88" t="s">
        <v>482</v>
      </c>
      <c r="B984" s="24">
        <v>39333</v>
      </c>
      <c r="C984" s="32">
        <v>5.7375367202350098</v>
      </c>
      <c r="D984">
        <v>17.8</v>
      </c>
      <c r="E984">
        <v>13.1</v>
      </c>
      <c r="F984" s="126">
        <v>1.835</v>
      </c>
      <c r="G984" s="126"/>
      <c r="H984" s="126">
        <f t="shared" si="15"/>
        <v>1.5080901913058991</v>
      </c>
      <c r="I984" s="89">
        <v>371.33999999999992</v>
      </c>
      <c r="J984" s="126">
        <v>89.909374999999997</v>
      </c>
      <c r="K984" s="34">
        <v>547.63729957805924</v>
      </c>
    </row>
    <row r="985" spans="1:11" x14ac:dyDescent="0.3">
      <c r="A985" s="88" t="s">
        <v>482</v>
      </c>
      <c r="B985" s="24">
        <v>39334</v>
      </c>
      <c r="C985" s="32">
        <v>11.220371810379588</v>
      </c>
      <c r="D985">
        <v>17</v>
      </c>
      <c r="E985">
        <v>11.8</v>
      </c>
      <c r="F985" s="126">
        <v>0.16</v>
      </c>
      <c r="G985" s="126"/>
      <c r="H985" s="126">
        <f t="shared" si="15"/>
        <v>1.3846270162501679</v>
      </c>
      <c r="I985" s="89">
        <v>390.06000000000017</v>
      </c>
      <c r="J985" s="126">
        <v>81.541666666666643</v>
      </c>
      <c r="K985" s="34">
        <v>548.15682782018678</v>
      </c>
    </row>
    <row r="986" spans="1:11" x14ac:dyDescent="0.3">
      <c r="A986" s="88" t="s">
        <v>482</v>
      </c>
      <c r="B986" s="24">
        <v>39335</v>
      </c>
      <c r="C986" s="32">
        <v>5.2551336328552498</v>
      </c>
      <c r="D986">
        <v>15.3</v>
      </c>
      <c r="E986">
        <v>11.2</v>
      </c>
      <c r="F986" s="126">
        <v>13.164999999999999</v>
      </c>
      <c r="G986" s="126"/>
      <c r="H986" s="126">
        <f t="shared" si="15"/>
        <v>1.3307036698161701</v>
      </c>
      <c r="I986" s="89">
        <v>366.20999999999992</v>
      </c>
      <c r="J986" s="126">
        <v>85.751041666666666</v>
      </c>
      <c r="K986" s="34">
        <v>548.19504908237332</v>
      </c>
    </row>
    <row r="987" spans="1:11" x14ac:dyDescent="0.3">
      <c r="A987" s="88" t="s">
        <v>482</v>
      </c>
      <c r="B987" s="24">
        <v>39336</v>
      </c>
      <c r="C987" s="32">
        <v>12.398479350267841</v>
      </c>
      <c r="D987">
        <v>17.600000000000001</v>
      </c>
      <c r="E987">
        <v>11.2</v>
      </c>
      <c r="F987" s="126">
        <v>1.5049999999999999</v>
      </c>
      <c r="G987" s="126"/>
      <c r="H987" s="126">
        <f t="shared" si="15"/>
        <v>1.3307036698161701</v>
      </c>
      <c r="I987" s="89">
        <v>325.98</v>
      </c>
      <c r="J987" s="126">
        <v>82.163541666666688</v>
      </c>
      <c r="K987" s="34">
        <v>548.9851043985667</v>
      </c>
    </row>
    <row r="988" spans="1:11" x14ac:dyDescent="0.3">
      <c r="A988" s="88" t="s">
        <v>482</v>
      </c>
      <c r="B988" s="24">
        <v>39337</v>
      </c>
      <c r="C988" s="32">
        <v>9.6156615402338588</v>
      </c>
      <c r="D988">
        <v>16.399999999999999</v>
      </c>
      <c r="E988">
        <v>11.6</v>
      </c>
      <c r="F988" s="126">
        <v>0.33</v>
      </c>
      <c r="G988" s="126"/>
      <c r="H988" s="126">
        <f t="shared" si="15"/>
        <v>1.3664431264636057</v>
      </c>
      <c r="I988" s="89">
        <v>282.14999999999998</v>
      </c>
      <c r="J988" s="126">
        <v>82.214583333333323</v>
      </c>
      <c r="K988" s="34">
        <v>548.84713238464849</v>
      </c>
    </row>
    <row r="989" spans="1:11" x14ac:dyDescent="0.3">
      <c r="A989" s="88" t="s">
        <v>482</v>
      </c>
      <c r="B989" s="24">
        <v>39338</v>
      </c>
      <c r="C989" s="32">
        <v>7.2297462703761299</v>
      </c>
      <c r="D989">
        <v>14.7</v>
      </c>
      <c r="E989">
        <v>9.1999999999999993</v>
      </c>
      <c r="F989" s="126">
        <v>0</v>
      </c>
      <c r="G989" s="126"/>
      <c r="H989" s="126">
        <f t="shared" si="15"/>
        <v>1.16404559315309</v>
      </c>
      <c r="I989" s="89">
        <v>164.16</v>
      </c>
      <c r="J989" s="126">
        <v>75.040625000000006</v>
      </c>
      <c r="K989" s="34">
        <v>550.046207195492</v>
      </c>
    </row>
    <row r="990" spans="1:11" x14ac:dyDescent="0.3">
      <c r="A990" s="88" t="s">
        <v>482</v>
      </c>
      <c r="B990" s="24">
        <v>39339</v>
      </c>
      <c r="C990" s="32">
        <v>14.939195610851909</v>
      </c>
      <c r="D990">
        <v>19</v>
      </c>
      <c r="E990">
        <v>6.5</v>
      </c>
      <c r="F990" s="126">
        <v>0.32500000000000001</v>
      </c>
      <c r="G990" s="126"/>
      <c r="H990" s="126">
        <f t="shared" si="15"/>
        <v>0.96829408068935052</v>
      </c>
      <c r="I990" s="89">
        <v>246.78000000000003</v>
      </c>
      <c r="J990" s="126">
        <v>79.105208333333323</v>
      </c>
      <c r="K990" s="34">
        <v>548.66745098039212</v>
      </c>
    </row>
    <row r="991" spans="1:11" x14ac:dyDescent="0.3">
      <c r="A991" s="88" t="s">
        <v>482</v>
      </c>
      <c r="B991" s="24">
        <v>39340</v>
      </c>
      <c r="C991" s="32">
        <v>13.448786072230863</v>
      </c>
      <c r="D991">
        <v>16.100000000000001</v>
      </c>
      <c r="E991">
        <v>8.8000000000000007</v>
      </c>
      <c r="F991" s="126">
        <v>0</v>
      </c>
      <c r="G991" s="126"/>
      <c r="H991" s="126">
        <f t="shared" si="15"/>
        <v>1.1330116523877718</v>
      </c>
      <c r="I991" s="89">
        <v>369.27000000000021</v>
      </c>
      <c r="J991" s="126">
        <v>70.535416666666677</v>
      </c>
      <c r="K991" s="34">
        <v>549.73950941743317</v>
      </c>
    </row>
    <row r="992" spans="1:11" x14ac:dyDescent="0.3">
      <c r="A992" s="88" t="s">
        <v>482</v>
      </c>
      <c r="B992" s="24">
        <v>39341</v>
      </c>
      <c r="C992" s="32">
        <v>16.643806520361728</v>
      </c>
      <c r="D992">
        <v>20.6</v>
      </c>
      <c r="E992">
        <v>8</v>
      </c>
      <c r="F992" s="126">
        <v>0</v>
      </c>
      <c r="G992" s="126"/>
      <c r="H992" s="126">
        <f t="shared" si="15"/>
        <v>1.0731200926872433</v>
      </c>
      <c r="I992" s="89">
        <v>203.31</v>
      </c>
      <c r="J992" s="126">
        <v>69.944791666666717</v>
      </c>
      <c r="K992" s="34">
        <v>550.07089387934855</v>
      </c>
    </row>
    <row r="993" spans="1:11" x14ac:dyDescent="0.3">
      <c r="A993" s="88" t="s">
        <v>482</v>
      </c>
      <c r="B993" s="24">
        <v>39342</v>
      </c>
      <c r="C993" s="32">
        <v>9.5742612752721623</v>
      </c>
      <c r="D993">
        <v>21.6</v>
      </c>
      <c r="E993">
        <v>12</v>
      </c>
      <c r="F993" s="126">
        <v>2.1749999999999998</v>
      </c>
      <c r="G993" s="126"/>
      <c r="H993" s="126">
        <f t="shared" si="15"/>
        <v>1.4030231277532583</v>
      </c>
      <c r="I993" s="89">
        <v>218.07</v>
      </c>
      <c r="J993" s="126">
        <v>75.36041666666668</v>
      </c>
      <c r="K993" s="34">
        <v>549.84080795031105</v>
      </c>
    </row>
    <row r="994" spans="1:11" x14ac:dyDescent="0.3">
      <c r="A994" s="88" t="s">
        <v>482</v>
      </c>
      <c r="B994" s="24">
        <v>39343</v>
      </c>
      <c r="C994" s="32">
        <v>7.0020448130868038</v>
      </c>
      <c r="D994">
        <v>13.7</v>
      </c>
      <c r="E994">
        <v>7.2</v>
      </c>
      <c r="F994" s="126">
        <v>6.3449999999999998</v>
      </c>
      <c r="G994" s="126"/>
      <c r="H994" s="126">
        <f t="shared" si="15"/>
        <v>1.0160332727272676</v>
      </c>
      <c r="I994" s="89">
        <v>300.51</v>
      </c>
      <c r="J994" s="126">
        <v>84.735416666666694</v>
      </c>
      <c r="K994" s="34">
        <v>547.55093457943917</v>
      </c>
    </row>
    <row r="995" spans="1:11" x14ac:dyDescent="0.3">
      <c r="A995" s="88" t="s">
        <v>482</v>
      </c>
      <c r="B995" s="24">
        <v>39344</v>
      </c>
      <c r="C995" s="32">
        <v>12.825982086285352</v>
      </c>
      <c r="D995">
        <v>15</v>
      </c>
      <c r="E995">
        <v>6.3</v>
      </c>
      <c r="F995" s="126">
        <v>0</v>
      </c>
      <c r="G995" s="126"/>
      <c r="H995" s="126">
        <f t="shared" si="15"/>
        <v>0.95502249025252561</v>
      </c>
      <c r="I995" s="89">
        <v>269.45999999999998</v>
      </c>
      <c r="J995" s="126">
        <v>71.596874999999997</v>
      </c>
      <c r="K995" s="34">
        <v>546.83285440613076</v>
      </c>
    </row>
    <row r="996" spans="1:11" x14ac:dyDescent="0.3">
      <c r="A996" s="88" t="s">
        <v>482</v>
      </c>
      <c r="B996" s="24">
        <v>39345</v>
      </c>
      <c r="C996" s="32">
        <v>11.593874200794886</v>
      </c>
      <c r="D996">
        <v>18.5</v>
      </c>
      <c r="E996">
        <v>8.9</v>
      </c>
      <c r="F996" s="126">
        <v>0</v>
      </c>
      <c r="G996" s="126"/>
      <c r="H996" s="126">
        <f t="shared" si="15"/>
        <v>1.1407010860938473</v>
      </c>
      <c r="I996" s="89">
        <v>252.09</v>
      </c>
      <c r="J996" s="126">
        <v>69.161458333333314</v>
      </c>
      <c r="K996" s="34">
        <v>548.74894286999586</v>
      </c>
    </row>
    <row r="997" spans="1:11" x14ac:dyDescent="0.3">
      <c r="A997" s="88" t="s">
        <v>482</v>
      </c>
      <c r="B997" s="24">
        <v>39346</v>
      </c>
      <c r="C997" s="32">
        <v>11.496673578710904</v>
      </c>
      <c r="D997">
        <v>19.100000000000001</v>
      </c>
      <c r="E997">
        <v>12.6</v>
      </c>
      <c r="F997" s="126">
        <v>0</v>
      </c>
      <c r="G997" s="126"/>
      <c r="H997" s="126">
        <f t="shared" si="15"/>
        <v>1.4595059422181114</v>
      </c>
      <c r="I997" s="89">
        <v>168.75</v>
      </c>
      <c r="J997" s="126">
        <v>66.742708333333326</v>
      </c>
      <c r="K997" s="34">
        <v>549.86399819086398</v>
      </c>
    </row>
    <row r="998" spans="1:11" x14ac:dyDescent="0.3">
      <c r="A998" s="88" t="s">
        <v>482</v>
      </c>
      <c r="B998" s="24">
        <v>39347</v>
      </c>
      <c r="C998" s="32">
        <v>13.930289153850584</v>
      </c>
      <c r="D998">
        <v>20.6</v>
      </c>
      <c r="E998">
        <v>10.1</v>
      </c>
      <c r="F998" s="126">
        <v>0</v>
      </c>
      <c r="G998" s="126"/>
      <c r="H998" s="126">
        <f t="shared" si="15"/>
        <v>1.2366203081300822</v>
      </c>
      <c r="I998" s="89">
        <v>151.92000000000004</v>
      </c>
      <c r="J998" s="126">
        <v>74.5</v>
      </c>
      <c r="K998" s="34">
        <v>550.30118235561611</v>
      </c>
    </row>
    <row r="999" spans="1:11" x14ac:dyDescent="0.3">
      <c r="A999" s="88" t="s">
        <v>482</v>
      </c>
      <c r="B999" s="24">
        <v>39348</v>
      </c>
      <c r="C999" s="32">
        <v>14.811394792926675</v>
      </c>
      <c r="D999">
        <v>23.5</v>
      </c>
      <c r="E999">
        <v>7.8</v>
      </c>
      <c r="F999" s="126">
        <v>0</v>
      </c>
      <c r="G999" s="126"/>
      <c r="H999" s="126">
        <f t="shared" si="15"/>
        <v>1.0585899253295545</v>
      </c>
      <c r="I999" s="89">
        <v>79.020000000000039</v>
      </c>
      <c r="J999" s="126">
        <v>76.452083333333334</v>
      </c>
      <c r="K999" s="34">
        <v>549.2344307270231</v>
      </c>
    </row>
    <row r="1000" spans="1:11" x14ac:dyDescent="0.3">
      <c r="A1000" s="88" t="s">
        <v>482</v>
      </c>
      <c r="B1000" s="24">
        <v>39349</v>
      </c>
      <c r="C1000" s="32">
        <v>13.686387592880594</v>
      </c>
      <c r="D1000">
        <v>24.1</v>
      </c>
      <c r="E1000">
        <v>13.2</v>
      </c>
      <c r="F1000" s="126">
        <v>6.5000000000000002E-2</v>
      </c>
      <c r="G1000" s="126"/>
      <c r="H1000" s="126">
        <f t="shared" si="15"/>
        <v>1.5179756049640964</v>
      </c>
      <c r="I1000" s="89">
        <v>219.51</v>
      </c>
      <c r="J1000" s="126">
        <v>67.365624999999994</v>
      </c>
      <c r="K1000" s="34">
        <v>549.18643678160959</v>
      </c>
    </row>
    <row r="1001" spans="1:11" x14ac:dyDescent="0.3">
      <c r="A1001" s="88" t="s">
        <v>482</v>
      </c>
      <c r="B1001" s="24">
        <v>39350</v>
      </c>
      <c r="C1001" s="32">
        <v>9.9036633834456538</v>
      </c>
      <c r="D1001">
        <v>16</v>
      </c>
      <c r="E1001">
        <v>9.6</v>
      </c>
      <c r="F1001" s="126">
        <v>5.125</v>
      </c>
      <c r="G1001" s="126"/>
      <c r="H1001" s="126">
        <f t="shared" si="15"/>
        <v>1.1958248668287446</v>
      </c>
      <c r="I1001" s="89">
        <v>204.39000000000004</v>
      </c>
      <c r="J1001" s="126">
        <v>77.837500000000006</v>
      </c>
      <c r="K1001" s="34">
        <v>549.420110957004</v>
      </c>
    </row>
    <row r="1002" spans="1:11" x14ac:dyDescent="0.3">
      <c r="A1002" s="88" t="s">
        <v>482</v>
      </c>
      <c r="B1002" s="24">
        <v>39351</v>
      </c>
      <c r="C1002" s="32">
        <v>9.1467585392546518</v>
      </c>
      <c r="D1002">
        <v>15.2</v>
      </c>
      <c r="E1002">
        <v>8.3000000000000007</v>
      </c>
      <c r="F1002" s="126">
        <v>0</v>
      </c>
      <c r="G1002" s="126"/>
      <c r="H1002" s="126">
        <f t="shared" si="15"/>
        <v>1.0952445521994474</v>
      </c>
      <c r="I1002" s="89">
        <v>116.01000000000002</v>
      </c>
      <c r="J1002" s="126">
        <v>80.674999999999997</v>
      </c>
      <c r="K1002" s="34">
        <v>549.48833100883314</v>
      </c>
    </row>
    <row r="1003" spans="1:11" x14ac:dyDescent="0.3">
      <c r="A1003" s="88" t="s">
        <v>482</v>
      </c>
      <c r="B1003" s="24">
        <v>39352</v>
      </c>
      <c r="C1003" s="32">
        <v>4.3497278382581648</v>
      </c>
      <c r="D1003">
        <v>14.7</v>
      </c>
      <c r="E1003">
        <v>9.1</v>
      </c>
      <c r="F1003" s="126">
        <v>27.83</v>
      </c>
      <c r="G1003" s="126"/>
      <c r="H1003" s="126">
        <f t="shared" si="15"/>
        <v>1.156217822409108</v>
      </c>
      <c r="I1003" s="89">
        <v>342.18000000000006</v>
      </c>
      <c r="J1003" s="126">
        <v>87.984375</v>
      </c>
      <c r="K1003" s="34">
        <v>547.31893408134636</v>
      </c>
    </row>
    <row r="1004" spans="1:11" x14ac:dyDescent="0.3">
      <c r="A1004" s="88" t="s">
        <v>482</v>
      </c>
      <c r="B1004" s="24">
        <v>39353</v>
      </c>
      <c r="C1004" s="32">
        <v>4.0860261505673634</v>
      </c>
      <c r="D1004">
        <v>15.9</v>
      </c>
      <c r="E1004">
        <v>12.9</v>
      </c>
      <c r="F1004" s="126">
        <v>15.365</v>
      </c>
      <c r="G1004" s="126"/>
      <c r="H1004" s="126">
        <f t="shared" si="15"/>
        <v>1.4884887514247067</v>
      </c>
      <c r="I1004" s="89">
        <v>268.2</v>
      </c>
      <c r="J1004" s="126">
        <v>90.622916666666697</v>
      </c>
      <c r="K1004" s="34">
        <v>549.32463563704744</v>
      </c>
    </row>
    <row r="1005" spans="1:11" x14ac:dyDescent="0.3">
      <c r="A1005" s="88" t="s">
        <v>482</v>
      </c>
      <c r="B1005" s="24">
        <v>39354</v>
      </c>
      <c r="C1005" s="32">
        <v>1.8639119290363459</v>
      </c>
      <c r="D1005">
        <v>12.9</v>
      </c>
      <c r="E1005">
        <v>11.7</v>
      </c>
      <c r="F1005" s="126">
        <v>26.85</v>
      </c>
      <c r="G1005" s="126"/>
      <c r="H1005" s="126">
        <f t="shared" si="15"/>
        <v>1.3755086746426002</v>
      </c>
      <c r="I1005" s="89">
        <v>227.25</v>
      </c>
      <c r="J1005" s="126">
        <v>96.690625000000054</v>
      </c>
      <c r="K1005" s="34">
        <v>548.95484633569754</v>
      </c>
    </row>
    <row r="1006" spans="1:11" x14ac:dyDescent="0.3">
      <c r="A1006" s="88" t="s">
        <v>482</v>
      </c>
      <c r="B1006" s="24">
        <v>39355</v>
      </c>
      <c r="C1006" s="32">
        <v>5.8347373423189905</v>
      </c>
      <c r="D1006">
        <v>14.8</v>
      </c>
      <c r="E1006">
        <v>10.9</v>
      </c>
      <c r="F1006" s="126">
        <v>0.33500000000000002</v>
      </c>
      <c r="G1006" s="126"/>
      <c r="H1006" s="126">
        <f t="shared" si="15"/>
        <v>1.3044407381026226</v>
      </c>
      <c r="I1006" s="89">
        <v>233.01</v>
      </c>
      <c r="J1006" s="126">
        <v>85.506249999999994</v>
      </c>
      <c r="K1006" s="34">
        <v>549.67180218735166</v>
      </c>
    </row>
    <row r="1007" spans="1:11" x14ac:dyDescent="0.3">
      <c r="A1007" s="88" t="s">
        <v>482</v>
      </c>
      <c r="B1007" s="24">
        <v>39356</v>
      </c>
      <c r="C1007" s="32">
        <v>8.5041544265883307</v>
      </c>
      <c r="D1007">
        <v>16.3</v>
      </c>
      <c r="E1007">
        <v>8.6</v>
      </c>
      <c r="F1007" s="126">
        <v>4.5599999999999996</v>
      </c>
      <c r="G1007" s="126"/>
      <c r="H1007" s="126">
        <f t="shared" si="15"/>
        <v>1.117769490765057</v>
      </c>
      <c r="I1007" s="89">
        <v>136.07999999999998</v>
      </c>
      <c r="J1007" s="126">
        <v>89.519791666666677</v>
      </c>
      <c r="K1007" s="34">
        <v>548.9868005738881</v>
      </c>
    </row>
    <row r="1008" spans="1:11" x14ac:dyDescent="0.3">
      <c r="A1008" s="88" t="s">
        <v>482</v>
      </c>
      <c r="B1008" s="24">
        <v>39357</v>
      </c>
      <c r="C1008" s="32">
        <v>2.1519137722481423</v>
      </c>
      <c r="D1008">
        <v>13.9</v>
      </c>
      <c r="E1008">
        <v>11.9</v>
      </c>
      <c r="F1008" s="126">
        <v>3.5000000000000003E-2</v>
      </c>
      <c r="G1008" s="126"/>
      <c r="H1008" s="126">
        <f t="shared" si="15"/>
        <v>1.3937984130245886</v>
      </c>
      <c r="I1008" s="89">
        <v>179.55</v>
      </c>
      <c r="J1008" s="126">
        <v>93.407291666666637</v>
      </c>
      <c r="K1008" s="34">
        <v>548.88696412948389</v>
      </c>
    </row>
    <row r="1009" spans="1:10" x14ac:dyDescent="0.3">
      <c r="A1009" s="88" t="s">
        <v>482</v>
      </c>
      <c r="B1009" s="24">
        <v>39358</v>
      </c>
      <c r="C1009" s="32">
        <v>7.4853479062266004</v>
      </c>
      <c r="D1009">
        <v>15.4</v>
      </c>
      <c r="E1009">
        <v>9.6999999999999993</v>
      </c>
      <c r="F1009" s="126">
        <v>2.52</v>
      </c>
      <c r="G1009" s="126"/>
      <c r="H1009" s="126">
        <f t="shared" si="15"/>
        <v>1.2038879226915637</v>
      </c>
      <c r="I1009" s="89">
        <v>215.45999999999998</v>
      </c>
      <c r="J1009" s="126">
        <v>87.139583333333334</v>
      </c>
    </row>
    <row r="1010" spans="1:10" x14ac:dyDescent="0.3">
      <c r="A1010" s="88" t="s">
        <v>482</v>
      </c>
      <c r="B1010" s="24">
        <v>39359</v>
      </c>
      <c r="C1010" s="32">
        <v>3.6324232475087839</v>
      </c>
      <c r="D1010">
        <v>17.8</v>
      </c>
      <c r="E1010">
        <v>11.7</v>
      </c>
      <c r="F1010" s="126">
        <v>0.26</v>
      </c>
      <c r="G1010" s="126"/>
      <c r="H1010" s="126">
        <f t="shared" si="15"/>
        <v>1.3755086746426002</v>
      </c>
      <c r="I1010" s="89">
        <v>132.92999999999998</v>
      </c>
      <c r="J1010" s="126">
        <v>92.330208333333346</v>
      </c>
    </row>
    <row r="1011" spans="1:10" x14ac:dyDescent="0.3">
      <c r="A1011" s="88" t="s">
        <v>482</v>
      </c>
      <c r="B1011" s="24">
        <v>39360</v>
      </c>
      <c r="C1011" s="32">
        <v>7.6923492310350792</v>
      </c>
      <c r="D1011">
        <v>14.4</v>
      </c>
      <c r="E1011">
        <v>8.9</v>
      </c>
      <c r="F1011" s="126">
        <v>0</v>
      </c>
      <c r="G1011" s="126"/>
      <c r="H1011" s="126">
        <f t="shared" si="15"/>
        <v>1.1407010860938473</v>
      </c>
      <c r="I1011" s="89">
        <v>136.70999999999995</v>
      </c>
      <c r="J1011" s="126">
        <v>90.920833333333363</v>
      </c>
    </row>
    <row r="1012" spans="1:10" x14ac:dyDescent="0.3">
      <c r="A1012" s="88" t="s">
        <v>482</v>
      </c>
      <c r="B1012" s="24">
        <v>39361</v>
      </c>
      <c r="C1012" s="32">
        <v>7.5366482345487018</v>
      </c>
      <c r="D1012">
        <v>14</v>
      </c>
      <c r="E1012">
        <v>5.9</v>
      </c>
      <c r="F1012" s="126">
        <v>0</v>
      </c>
      <c r="G1012" s="126"/>
      <c r="H1012" s="126">
        <f t="shared" si="15"/>
        <v>0.92895926237531279</v>
      </c>
      <c r="I1012" s="89">
        <v>144.09000000000009</v>
      </c>
      <c r="J1012" s="126">
        <v>90.561458333333363</v>
      </c>
    </row>
    <row r="1013" spans="1:10" x14ac:dyDescent="0.3">
      <c r="A1013" s="88" t="s">
        <v>482</v>
      </c>
      <c r="B1013" s="24">
        <v>39362</v>
      </c>
      <c r="C1013" s="32">
        <v>10.906269800126722</v>
      </c>
      <c r="D1013">
        <v>15</v>
      </c>
      <c r="E1013">
        <v>3.7</v>
      </c>
      <c r="F1013" s="126">
        <v>1.4999999999999999E-2</v>
      </c>
      <c r="G1013" s="126"/>
      <c r="H1013" s="126">
        <f t="shared" si="15"/>
        <v>0.79650868879481573</v>
      </c>
      <c r="I1013" s="89">
        <v>58.77000000000001</v>
      </c>
      <c r="J1013" s="126">
        <v>84.831249999999997</v>
      </c>
    </row>
    <row r="1014" spans="1:10" x14ac:dyDescent="0.3">
      <c r="A1014" s="88" t="s">
        <v>482</v>
      </c>
      <c r="B1014" s="24">
        <v>39363</v>
      </c>
      <c r="C1014" s="32">
        <v>7.8822504464028578</v>
      </c>
      <c r="D1014">
        <v>13.5</v>
      </c>
      <c r="E1014">
        <v>5.4</v>
      </c>
      <c r="F1014" s="126">
        <v>5.0000000000000001E-3</v>
      </c>
      <c r="G1014" s="126"/>
      <c r="H1014" s="126">
        <f t="shared" si="15"/>
        <v>0.8972630930441321</v>
      </c>
      <c r="I1014" s="89">
        <v>125.82000000000002</v>
      </c>
      <c r="J1014" s="126">
        <v>87.083333333333357</v>
      </c>
    </row>
    <row r="1015" spans="1:10" x14ac:dyDescent="0.3">
      <c r="A1015" s="88" t="s">
        <v>482</v>
      </c>
      <c r="B1015" s="24">
        <v>39364</v>
      </c>
      <c r="C1015" s="32">
        <v>6.1416393064915615</v>
      </c>
      <c r="D1015">
        <v>12.3</v>
      </c>
      <c r="E1015">
        <v>5.5</v>
      </c>
      <c r="F1015" s="126">
        <v>5.0000000000000001E-3</v>
      </c>
      <c r="G1015" s="126"/>
      <c r="H1015" s="126">
        <f t="shared" si="15"/>
        <v>0.90352494025987484</v>
      </c>
      <c r="I1015" s="89">
        <v>87.659999999999982</v>
      </c>
      <c r="J1015" s="126">
        <v>83.279166666666654</v>
      </c>
    </row>
    <row r="1016" spans="1:10" x14ac:dyDescent="0.3">
      <c r="A1016" s="88" t="s">
        <v>482</v>
      </c>
      <c r="B1016" s="24">
        <v>39365</v>
      </c>
      <c r="C1016" s="32">
        <v>10.071064454812511</v>
      </c>
      <c r="D1016">
        <v>13.7</v>
      </c>
      <c r="E1016">
        <v>3.2</v>
      </c>
      <c r="F1016" s="126">
        <v>0</v>
      </c>
      <c r="G1016" s="126"/>
      <c r="H1016" s="126">
        <f t="shared" si="15"/>
        <v>0.76884154961442475</v>
      </c>
      <c r="I1016" s="89">
        <v>106.47000000000003</v>
      </c>
      <c r="J1016" s="126">
        <v>85.171875</v>
      </c>
    </row>
    <row r="1017" spans="1:10" x14ac:dyDescent="0.3">
      <c r="A1017" s="88" t="s">
        <v>482</v>
      </c>
      <c r="B1017" s="24">
        <v>39366</v>
      </c>
      <c r="C1017" s="32">
        <v>8.395253729623871</v>
      </c>
      <c r="D1017">
        <v>13.1</v>
      </c>
      <c r="E1017">
        <v>5.7</v>
      </c>
      <c r="F1017" s="126">
        <v>0</v>
      </c>
      <c r="G1017" s="126"/>
      <c r="H1017" s="126">
        <f t="shared" si="15"/>
        <v>0.91616430843021424</v>
      </c>
      <c r="I1017" s="89">
        <v>120.50999999999999</v>
      </c>
      <c r="J1017" s="126">
        <v>88.903125000000003</v>
      </c>
    </row>
    <row r="1018" spans="1:10" x14ac:dyDescent="0.3">
      <c r="A1018" s="88" t="s">
        <v>482</v>
      </c>
      <c r="B1018" s="24">
        <v>39367</v>
      </c>
      <c r="C1018" s="32">
        <v>3.9726254248027186</v>
      </c>
      <c r="D1018">
        <v>15.9</v>
      </c>
      <c r="E1018">
        <v>9.4</v>
      </c>
      <c r="F1018" s="126">
        <v>0.28000000000000003</v>
      </c>
      <c r="G1018" s="126"/>
      <c r="H1018" s="126">
        <f t="shared" si="15"/>
        <v>1.1798411174091483</v>
      </c>
      <c r="I1018" s="89">
        <v>354.24</v>
      </c>
      <c r="J1018" s="126">
        <v>86.289583333333283</v>
      </c>
    </row>
    <row r="1019" spans="1:10" x14ac:dyDescent="0.3">
      <c r="A1019" s="88" t="s">
        <v>482</v>
      </c>
      <c r="B1019" s="24">
        <v>39368</v>
      </c>
      <c r="C1019" s="32">
        <v>9.8847632624848796</v>
      </c>
      <c r="D1019">
        <v>12.6</v>
      </c>
      <c r="E1019">
        <v>4.3</v>
      </c>
      <c r="F1019" s="126">
        <v>0</v>
      </c>
      <c r="G1019" s="126"/>
      <c r="H1019" s="126">
        <f t="shared" si="15"/>
        <v>0.83086609768035358</v>
      </c>
      <c r="I1019" s="89">
        <v>130.05000000000001</v>
      </c>
      <c r="J1019" s="126">
        <v>84.215625000000003</v>
      </c>
    </row>
    <row r="1020" spans="1:10" x14ac:dyDescent="0.3">
      <c r="A1020" s="88" t="s">
        <v>482</v>
      </c>
      <c r="B1020" s="24">
        <v>39369</v>
      </c>
      <c r="C1020" s="32">
        <v>10.966570186049191</v>
      </c>
      <c r="D1020">
        <v>14.5</v>
      </c>
      <c r="E1020">
        <v>1.6</v>
      </c>
      <c r="F1020" s="126">
        <v>0</v>
      </c>
      <c r="G1020" s="126"/>
      <c r="H1020" s="126">
        <f t="shared" si="15"/>
        <v>0.68591959793818613</v>
      </c>
      <c r="I1020" s="89">
        <v>136.97999999999999</v>
      </c>
      <c r="J1020" s="126">
        <v>74.113541666666663</v>
      </c>
    </row>
    <row r="1021" spans="1:10" x14ac:dyDescent="0.3">
      <c r="A1021" s="88" t="s">
        <v>482</v>
      </c>
      <c r="B1021" s="24">
        <v>39370</v>
      </c>
      <c r="C1021" s="32">
        <v>10.526467369391163</v>
      </c>
      <c r="D1021">
        <v>16.5</v>
      </c>
      <c r="E1021">
        <v>2.5</v>
      </c>
      <c r="F1021" s="126">
        <v>0</v>
      </c>
      <c r="G1021" s="126"/>
      <c r="H1021" s="126">
        <f t="shared" si="15"/>
        <v>0.73153336467415264</v>
      </c>
      <c r="I1021" s="89">
        <v>160.19999999999987</v>
      </c>
      <c r="J1021" s="126">
        <v>73.570833333333326</v>
      </c>
    </row>
    <row r="1022" spans="1:10" x14ac:dyDescent="0.3">
      <c r="A1022" s="88" t="s">
        <v>482</v>
      </c>
      <c r="B1022" s="24">
        <v>39371</v>
      </c>
      <c r="C1022" s="32">
        <v>6.2190398018547324</v>
      </c>
      <c r="D1022">
        <v>17.100000000000001</v>
      </c>
      <c r="E1022">
        <v>11.4</v>
      </c>
      <c r="F1022" s="126">
        <v>0</v>
      </c>
      <c r="G1022" s="126"/>
      <c r="H1022" s="126">
        <f t="shared" si="15"/>
        <v>1.3484693686655054</v>
      </c>
      <c r="I1022" s="89">
        <v>172.62</v>
      </c>
      <c r="J1022" s="126">
        <v>76.994791666666657</v>
      </c>
    </row>
    <row r="1023" spans="1:10" x14ac:dyDescent="0.3">
      <c r="A1023" s="88" t="s">
        <v>482</v>
      </c>
      <c r="B1023" s="24">
        <v>39372</v>
      </c>
      <c r="C1023" s="32">
        <v>6.1875396002534409</v>
      </c>
      <c r="D1023">
        <v>17.600000000000001</v>
      </c>
      <c r="E1023">
        <v>9.6</v>
      </c>
      <c r="F1023" s="126">
        <v>5.5650000000000004</v>
      </c>
      <c r="G1023" s="126"/>
      <c r="H1023" s="126">
        <f t="shared" si="15"/>
        <v>1.1958248668287446</v>
      </c>
      <c r="I1023" s="89">
        <v>238.8600000000001</v>
      </c>
      <c r="J1023" s="126">
        <v>81.928124999999994</v>
      </c>
    </row>
    <row r="1024" spans="1:10" x14ac:dyDescent="0.3">
      <c r="A1024" s="88" t="s">
        <v>482</v>
      </c>
      <c r="B1024" s="24">
        <v>39373</v>
      </c>
      <c r="C1024" s="32">
        <v>6.8265436898796157</v>
      </c>
      <c r="D1024">
        <v>10.7</v>
      </c>
      <c r="E1024">
        <v>5.9</v>
      </c>
      <c r="F1024" s="126">
        <v>2.83</v>
      </c>
      <c r="G1024" s="126"/>
      <c r="H1024" s="126">
        <f t="shared" si="15"/>
        <v>0.92895926237531279</v>
      </c>
      <c r="I1024" s="89">
        <v>373.86</v>
      </c>
      <c r="J1024" s="126">
        <v>85.697916666666671</v>
      </c>
    </row>
    <row r="1025" spans="1:10" x14ac:dyDescent="0.3">
      <c r="A1025" s="88" t="s">
        <v>482</v>
      </c>
      <c r="B1025" s="24">
        <v>39374</v>
      </c>
      <c r="C1025" s="32">
        <v>7.9650509763262489</v>
      </c>
      <c r="D1025">
        <v>9.8000000000000007</v>
      </c>
      <c r="E1025">
        <v>1.9</v>
      </c>
      <c r="F1025" s="126">
        <v>0</v>
      </c>
      <c r="G1025" s="126"/>
      <c r="H1025" s="126">
        <f t="shared" si="15"/>
        <v>0.70083680221327738</v>
      </c>
      <c r="I1025" s="89">
        <v>267.38999999999993</v>
      </c>
      <c r="J1025" s="126">
        <v>79.007291666666703</v>
      </c>
    </row>
    <row r="1026" spans="1:10" x14ac:dyDescent="0.3">
      <c r="A1026" s="88" t="s">
        <v>482</v>
      </c>
      <c r="B1026" s="24">
        <v>39375</v>
      </c>
      <c r="C1026" s="32">
        <v>7.4601477449455675</v>
      </c>
      <c r="D1026">
        <v>8.3000000000000007</v>
      </c>
      <c r="E1026">
        <v>-0.6</v>
      </c>
      <c r="F1026" s="126">
        <v>0</v>
      </c>
      <c r="G1026" s="126"/>
      <c r="H1026" s="126">
        <f t="shared" si="15"/>
        <v>0.58482930968803559</v>
      </c>
      <c r="I1026" s="89">
        <v>132.75</v>
      </c>
      <c r="J1026" s="126">
        <v>82.441666666666706</v>
      </c>
    </row>
    <row r="1027" spans="1:10" x14ac:dyDescent="0.3">
      <c r="A1027" s="88" t="s">
        <v>482</v>
      </c>
      <c r="B1027" s="24">
        <v>39376</v>
      </c>
      <c r="C1027" s="32">
        <v>4.6278296181095557</v>
      </c>
      <c r="D1027">
        <v>9.3000000000000007</v>
      </c>
      <c r="E1027">
        <v>1.3</v>
      </c>
      <c r="F1027" s="126">
        <v>2.6850000000000001</v>
      </c>
      <c r="G1027" s="126"/>
      <c r="H1027" s="126">
        <f t="shared" si="15"/>
        <v>0.67128358518521281</v>
      </c>
      <c r="I1027" s="89">
        <v>222.93000000000006</v>
      </c>
      <c r="J1027" s="126">
        <v>86.030208333333348</v>
      </c>
    </row>
    <row r="1028" spans="1:10" x14ac:dyDescent="0.3">
      <c r="A1028" s="88" t="s">
        <v>482</v>
      </c>
      <c r="B1028" s="24">
        <v>39377</v>
      </c>
      <c r="C1028" s="32">
        <v>8.4024537757041653</v>
      </c>
      <c r="D1028">
        <v>7.2</v>
      </c>
      <c r="E1028">
        <v>-0.8</v>
      </c>
      <c r="F1028" s="126">
        <v>0</v>
      </c>
      <c r="G1028" s="126"/>
      <c r="H1028" s="126">
        <f t="shared" ref="H1028:H1091" si="16">0.611*EXP((17.27*E1028)/(E1028+237.3))</f>
        <v>0.57632881345991693</v>
      </c>
      <c r="I1028" s="89">
        <v>240.48000000000002</v>
      </c>
      <c r="J1028" s="126">
        <v>81.394791666666677</v>
      </c>
    </row>
    <row r="1029" spans="1:10" x14ac:dyDescent="0.3">
      <c r="A1029" s="88" t="s">
        <v>482</v>
      </c>
      <c r="B1029" s="24">
        <v>39378</v>
      </c>
      <c r="C1029" s="32">
        <v>6.0363386325672481</v>
      </c>
      <c r="D1029">
        <v>7.9</v>
      </c>
      <c r="E1029">
        <v>0.6</v>
      </c>
      <c r="F1029" s="126">
        <v>0</v>
      </c>
      <c r="G1029" s="126"/>
      <c r="H1029" s="126">
        <f t="shared" si="16"/>
        <v>0.63820086880942895</v>
      </c>
      <c r="I1029" s="89">
        <v>245.43</v>
      </c>
      <c r="J1029" s="126">
        <v>81.491666666666674</v>
      </c>
    </row>
    <row r="1030" spans="1:10" x14ac:dyDescent="0.3">
      <c r="A1030" s="88" t="s">
        <v>482</v>
      </c>
      <c r="B1030" s="24">
        <v>39379</v>
      </c>
      <c r="C1030" s="32">
        <v>1.3824088474166234</v>
      </c>
      <c r="D1030">
        <v>7.2</v>
      </c>
      <c r="E1030">
        <v>5.6</v>
      </c>
      <c r="F1030" s="126">
        <v>0</v>
      </c>
      <c r="G1030" s="126"/>
      <c r="H1030" s="126">
        <f t="shared" si="16"/>
        <v>0.9098252778997602</v>
      </c>
      <c r="I1030" s="89">
        <v>307.88999999999993</v>
      </c>
      <c r="J1030" s="126">
        <v>84.433333333333351</v>
      </c>
    </row>
    <row r="1031" spans="1:10" x14ac:dyDescent="0.3">
      <c r="A1031" s="88" t="s">
        <v>482</v>
      </c>
      <c r="B1031" s="24">
        <v>39380</v>
      </c>
      <c r="C1031" s="32">
        <v>0.84330539715454178</v>
      </c>
      <c r="D1031">
        <v>7.5</v>
      </c>
      <c r="E1031">
        <v>6.7</v>
      </c>
      <c r="F1031" s="126">
        <v>1.4999999999999999E-2</v>
      </c>
      <c r="G1031" s="126"/>
      <c r="H1031" s="126">
        <f t="shared" si="16"/>
        <v>0.98172789008858663</v>
      </c>
      <c r="I1031" s="89">
        <v>230.94000000000011</v>
      </c>
      <c r="J1031" s="126">
        <v>89.852083333333326</v>
      </c>
    </row>
    <row r="1032" spans="1:10" x14ac:dyDescent="0.3">
      <c r="A1032" s="88" t="s">
        <v>482</v>
      </c>
      <c r="B1032" s="24">
        <v>39381</v>
      </c>
      <c r="C1032" s="32">
        <v>0.46170295489891133</v>
      </c>
      <c r="D1032">
        <v>7.6</v>
      </c>
      <c r="E1032">
        <v>6</v>
      </c>
      <c r="F1032" s="126">
        <v>0.83499999999999996</v>
      </c>
      <c r="G1032" s="126"/>
      <c r="H1032" s="126">
        <f t="shared" si="16"/>
        <v>0.93541559507788385</v>
      </c>
      <c r="I1032" s="89">
        <v>201.51</v>
      </c>
      <c r="J1032" s="126">
        <v>93.288541666666674</v>
      </c>
    </row>
    <row r="1033" spans="1:10" x14ac:dyDescent="0.3">
      <c r="A1033" s="88" t="s">
        <v>482</v>
      </c>
      <c r="B1033" s="24">
        <v>39382</v>
      </c>
      <c r="C1033" s="32">
        <v>1.6056102759057658</v>
      </c>
      <c r="D1033">
        <v>8.6</v>
      </c>
      <c r="E1033">
        <v>2.9</v>
      </c>
      <c r="F1033" s="126">
        <v>0.05</v>
      </c>
      <c r="G1033" s="126"/>
      <c r="H1033" s="126">
        <f t="shared" si="16"/>
        <v>0.75265154972421666</v>
      </c>
      <c r="I1033" s="89">
        <v>133.01999999999998</v>
      </c>
      <c r="J1033" s="126">
        <v>93.138541666666654</v>
      </c>
    </row>
    <row r="1034" spans="1:10" x14ac:dyDescent="0.3">
      <c r="A1034" s="88" t="s">
        <v>482</v>
      </c>
      <c r="B1034" s="24">
        <v>39383</v>
      </c>
      <c r="C1034" s="32">
        <v>7.6239487932722767</v>
      </c>
      <c r="D1034">
        <v>10.3</v>
      </c>
      <c r="E1034">
        <v>2</v>
      </c>
      <c r="F1034" s="126">
        <v>0.01</v>
      </c>
      <c r="G1034" s="126"/>
      <c r="H1034" s="126">
        <f t="shared" si="16"/>
        <v>0.70587248896856769</v>
      </c>
      <c r="I1034" s="89">
        <v>164.52</v>
      </c>
      <c r="J1034" s="126">
        <v>83.418750000000003</v>
      </c>
    </row>
    <row r="1035" spans="1:10" x14ac:dyDescent="0.3">
      <c r="A1035" s="88" t="s">
        <v>482</v>
      </c>
      <c r="B1035" s="24">
        <v>39384</v>
      </c>
      <c r="C1035" s="32">
        <v>2.8836184551581132</v>
      </c>
      <c r="D1035">
        <v>10.5</v>
      </c>
      <c r="E1035">
        <v>7.6</v>
      </c>
      <c r="F1035" s="126">
        <v>5.44</v>
      </c>
      <c r="G1035" s="126"/>
      <c r="H1035" s="126">
        <f t="shared" si="16"/>
        <v>1.0442332464842816</v>
      </c>
      <c r="I1035" s="89">
        <v>140.67000000000002</v>
      </c>
      <c r="J1035" s="126">
        <v>81.232291666666654</v>
      </c>
    </row>
    <row r="1036" spans="1:10" x14ac:dyDescent="0.3">
      <c r="A1036" s="88" t="s">
        <v>482</v>
      </c>
      <c r="B1036" s="24">
        <v>39385</v>
      </c>
      <c r="C1036" s="32">
        <v>2.7900178561142788</v>
      </c>
      <c r="D1036">
        <v>10.6</v>
      </c>
      <c r="E1036">
        <v>5.5</v>
      </c>
      <c r="F1036" s="126">
        <v>5</v>
      </c>
      <c r="G1036" s="126"/>
      <c r="H1036" s="126">
        <f t="shared" si="16"/>
        <v>0.90352494025987484</v>
      </c>
      <c r="I1036" s="89">
        <v>181.71</v>
      </c>
      <c r="J1036" s="126">
        <v>92.131249999999994</v>
      </c>
    </row>
    <row r="1037" spans="1:10" x14ac:dyDescent="0.3">
      <c r="A1037" s="88" t="s">
        <v>482</v>
      </c>
      <c r="B1037" s="24">
        <v>39386</v>
      </c>
      <c r="C1037" s="32">
        <v>7.2495463970969416</v>
      </c>
      <c r="D1037">
        <v>10.8</v>
      </c>
      <c r="E1037">
        <v>4.0999999999999996</v>
      </c>
      <c r="F1037" s="126">
        <v>0</v>
      </c>
      <c r="G1037" s="126"/>
      <c r="H1037" s="126">
        <f t="shared" si="16"/>
        <v>0.81927114982761395</v>
      </c>
      <c r="I1037" s="89">
        <v>229.1399999999999</v>
      </c>
      <c r="J1037" s="126">
        <v>85.178124999999994</v>
      </c>
    </row>
    <row r="1038" spans="1:10" x14ac:dyDescent="0.3">
      <c r="A1038" s="88" t="s">
        <v>482</v>
      </c>
      <c r="B1038" s="24">
        <v>39387</v>
      </c>
      <c r="C1038" s="32">
        <v>1.2402079373307988</v>
      </c>
      <c r="D1038">
        <v>9.9</v>
      </c>
      <c r="E1038">
        <v>0</v>
      </c>
      <c r="F1038" s="126">
        <v>0</v>
      </c>
      <c r="G1038" s="126"/>
      <c r="H1038" s="126">
        <f t="shared" si="16"/>
        <v>0.61099999999999999</v>
      </c>
      <c r="I1038" s="89">
        <v>236.96999999999997</v>
      </c>
      <c r="J1038" s="126">
        <v>83.041666666666643</v>
      </c>
    </row>
    <row r="1039" spans="1:10" x14ac:dyDescent="0.3">
      <c r="A1039" s="88" t="s">
        <v>482</v>
      </c>
      <c r="B1039" s="24">
        <v>39388</v>
      </c>
      <c r="C1039" s="32">
        <v>1.1088070963654169</v>
      </c>
      <c r="D1039">
        <v>2.6</v>
      </c>
      <c r="E1039">
        <v>0.7</v>
      </c>
      <c r="F1039" s="126">
        <v>2.0449999999999999</v>
      </c>
      <c r="G1039" s="126"/>
      <c r="H1039" s="126">
        <f t="shared" si="16"/>
        <v>0.64283692539220627</v>
      </c>
      <c r="I1039" s="89">
        <v>193.14000000000007</v>
      </c>
      <c r="J1039" s="126">
        <v>97.427083333333357</v>
      </c>
    </row>
    <row r="1040" spans="1:10" x14ac:dyDescent="0.3">
      <c r="A1040" s="88" t="s">
        <v>482</v>
      </c>
      <c r="B1040" s="24">
        <v>39389</v>
      </c>
      <c r="C1040" s="32">
        <v>2.6568170036288232</v>
      </c>
      <c r="D1040">
        <v>9.9</v>
      </c>
      <c r="E1040">
        <v>0</v>
      </c>
      <c r="F1040" s="126">
        <v>0.85499999999999998</v>
      </c>
      <c r="G1040" s="126"/>
      <c r="H1040" s="126">
        <f t="shared" si="16"/>
        <v>0.61099999999999999</v>
      </c>
      <c r="I1040" s="89">
        <v>293.03999999999996</v>
      </c>
      <c r="J1040" s="126">
        <v>91.95729166666672</v>
      </c>
    </row>
    <row r="1041" spans="1:10" x14ac:dyDescent="0.3">
      <c r="A1041" s="88" t="s">
        <v>482</v>
      </c>
      <c r="B1041" s="24">
        <v>39390</v>
      </c>
      <c r="C1041" s="32">
        <v>4.9059313979609467</v>
      </c>
      <c r="D1041">
        <v>9.9</v>
      </c>
      <c r="E1041">
        <v>0</v>
      </c>
      <c r="F1041" s="126">
        <v>0.05</v>
      </c>
      <c r="G1041" s="126"/>
      <c r="H1041" s="126">
        <f t="shared" si="16"/>
        <v>0.61099999999999999</v>
      </c>
      <c r="I1041" s="89">
        <v>267.38999999999993</v>
      </c>
      <c r="J1041" s="126">
        <v>80.87916666666662</v>
      </c>
    </row>
    <row r="1042" spans="1:10" x14ac:dyDescent="0.3">
      <c r="A1042" s="88" t="s">
        <v>482</v>
      </c>
      <c r="B1042" s="24">
        <v>39391</v>
      </c>
      <c r="C1042" s="32">
        <v>5.8176372328782904</v>
      </c>
      <c r="D1042">
        <v>9.9</v>
      </c>
      <c r="E1042">
        <v>0</v>
      </c>
      <c r="F1042" s="126">
        <v>1.52</v>
      </c>
      <c r="G1042" s="126"/>
      <c r="H1042" s="126">
        <f t="shared" si="16"/>
        <v>0.61099999999999999</v>
      </c>
      <c r="I1042" s="89">
        <v>144</v>
      </c>
      <c r="J1042" s="126">
        <v>81.856250000000003</v>
      </c>
    </row>
    <row r="1043" spans="1:10" x14ac:dyDescent="0.3">
      <c r="A1043" s="88" t="s">
        <v>482</v>
      </c>
      <c r="B1043" s="24">
        <v>39392</v>
      </c>
      <c r="C1043" s="32">
        <v>3.3597215022176141</v>
      </c>
      <c r="D1043">
        <v>8</v>
      </c>
      <c r="E1043">
        <v>4.3</v>
      </c>
      <c r="F1043" s="126">
        <v>8.0299999999999994</v>
      </c>
      <c r="G1043" s="126"/>
      <c r="H1043" s="126">
        <f t="shared" si="16"/>
        <v>0.83086609768035358</v>
      </c>
      <c r="I1043" s="89">
        <v>436.14</v>
      </c>
      <c r="J1043" s="126">
        <v>86.201041666666697</v>
      </c>
    </row>
    <row r="1044" spans="1:10" x14ac:dyDescent="0.3">
      <c r="A1044" s="88" t="s">
        <v>482</v>
      </c>
      <c r="B1044" s="24">
        <v>39393</v>
      </c>
      <c r="C1044" s="32">
        <v>0.66780427394735331</v>
      </c>
      <c r="D1044">
        <v>9.5</v>
      </c>
      <c r="E1044">
        <v>5.4</v>
      </c>
      <c r="F1044" s="126">
        <v>5.97</v>
      </c>
      <c r="G1044" s="126"/>
      <c r="H1044" s="126">
        <f t="shared" si="16"/>
        <v>0.8972630930441321</v>
      </c>
      <c r="I1044" s="89">
        <v>539.82000000000016</v>
      </c>
      <c r="J1044" s="126">
        <v>87.441666666666706</v>
      </c>
    </row>
    <row r="1045" spans="1:10" x14ac:dyDescent="0.3">
      <c r="A1045" s="88" t="s">
        <v>482</v>
      </c>
      <c r="B1045" s="24">
        <v>39394</v>
      </c>
      <c r="C1045" s="32">
        <v>3.0834197338862968</v>
      </c>
      <c r="D1045">
        <v>9.9</v>
      </c>
      <c r="E1045">
        <v>0</v>
      </c>
      <c r="F1045" s="126">
        <v>3.4849999999999999</v>
      </c>
      <c r="G1045" s="126"/>
      <c r="H1045" s="126">
        <f t="shared" si="16"/>
        <v>0.61099999999999999</v>
      </c>
      <c r="I1045" s="89">
        <v>388.35000000000014</v>
      </c>
      <c r="J1045" s="126">
        <v>83.491666666666688</v>
      </c>
    </row>
    <row r="1046" spans="1:10" x14ac:dyDescent="0.3">
      <c r="A1046" s="88" t="s">
        <v>482</v>
      </c>
      <c r="B1046" s="24">
        <v>39395</v>
      </c>
      <c r="C1046" s="32">
        <v>2.91601866251944</v>
      </c>
      <c r="D1046">
        <v>6.9</v>
      </c>
      <c r="E1046">
        <v>1.3</v>
      </c>
      <c r="F1046" s="126">
        <v>5.09</v>
      </c>
      <c r="G1046" s="126"/>
      <c r="H1046" s="126">
        <f t="shared" si="16"/>
        <v>0.67128358518521281</v>
      </c>
      <c r="I1046" s="89">
        <v>585.09</v>
      </c>
      <c r="J1046" s="126">
        <v>84.984375</v>
      </c>
    </row>
    <row r="1047" spans="1:10" x14ac:dyDescent="0.3">
      <c r="A1047" s="88" t="s">
        <v>482</v>
      </c>
      <c r="B1047" s="24">
        <v>39396</v>
      </c>
      <c r="C1047" s="32">
        <v>2.492115949542077</v>
      </c>
      <c r="D1047">
        <v>5.0999999999999996</v>
      </c>
      <c r="E1047">
        <v>2.2000000000000002</v>
      </c>
      <c r="F1047" s="126">
        <v>6.3049999999999997</v>
      </c>
      <c r="G1047" s="126"/>
      <c r="H1047" s="126">
        <f t="shared" si="16"/>
        <v>0.71603982725344328</v>
      </c>
      <c r="I1047" s="89">
        <v>343.35</v>
      </c>
      <c r="J1047" s="126">
        <v>89.006249999999994</v>
      </c>
    </row>
    <row r="1048" spans="1:10" x14ac:dyDescent="0.3">
      <c r="A1048" s="88" t="s">
        <v>482</v>
      </c>
      <c r="B1048" s="24">
        <v>39397</v>
      </c>
      <c r="C1048" s="32">
        <v>1.30590835781349</v>
      </c>
      <c r="D1048">
        <v>8.6</v>
      </c>
      <c r="E1048">
        <v>2</v>
      </c>
      <c r="F1048" s="126">
        <v>7.5</v>
      </c>
      <c r="G1048" s="126"/>
      <c r="H1048" s="126">
        <f t="shared" si="16"/>
        <v>0.70587248896856769</v>
      </c>
      <c r="I1048" s="89">
        <v>394.20000000000005</v>
      </c>
      <c r="J1048" s="126">
        <v>88.651041666666671</v>
      </c>
    </row>
    <row r="1049" spans="1:10" x14ac:dyDescent="0.3">
      <c r="A1049" s="88" t="s">
        <v>482</v>
      </c>
      <c r="B1049" s="24">
        <v>39398</v>
      </c>
      <c r="C1049" s="32">
        <v>2.3364149530556997</v>
      </c>
      <c r="D1049">
        <v>6.5</v>
      </c>
      <c r="E1049">
        <v>1.8</v>
      </c>
      <c r="F1049" s="126">
        <v>5.6150000000000002</v>
      </c>
      <c r="G1049" s="126"/>
      <c r="H1049" s="126">
        <f t="shared" si="16"/>
        <v>0.69583287280742301</v>
      </c>
      <c r="I1049" s="89">
        <v>451.43999999999994</v>
      </c>
      <c r="J1049" s="126">
        <v>85.47708333333334</v>
      </c>
    </row>
    <row r="1050" spans="1:10" x14ac:dyDescent="0.3">
      <c r="A1050" s="88" t="s">
        <v>482</v>
      </c>
      <c r="B1050" s="24">
        <v>39399</v>
      </c>
      <c r="C1050" s="32">
        <v>0.51840331778123383</v>
      </c>
      <c r="D1050">
        <v>5</v>
      </c>
      <c r="E1050">
        <v>2</v>
      </c>
      <c r="F1050" s="126">
        <v>6.2249999999999996</v>
      </c>
      <c r="G1050" s="126"/>
      <c r="H1050" s="126">
        <f t="shared" si="16"/>
        <v>0.70587248896856769</v>
      </c>
      <c r="I1050" s="89">
        <v>300.60000000000025</v>
      </c>
      <c r="J1050" s="126">
        <v>88.889583333333306</v>
      </c>
    </row>
    <row r="1051" spans="1:10" x14ac:dyDescent="0.3">
      <c r="A1051" s="88" t="s">
        <v>482</v>
      </c>
      <c r="B1051" s="24">
        <v>39400</v>
      </c>
      <c r="C1051" s="32">
        <v>2.558716375784805</v>
      </c>
      <c r="D1051">
        <v>2.6</v>
      </c>
      <c r="E1051">
        <v>0.4</v>
      </c>
      <c r="F1051" s="126">
        <v>0.19500000000000001</v>
      </c>
      <c r="G1051" s="126"/>
      <c r="H1051" s="126">
        <f t="shared" si="16"/>
        <v>0.62901732612537431</v>
      </c>
      <c r="I1051" s="89">
        <v>329.75999999999982</v>
      </c>
      <c r="J1051" s="126">
        <v>87.676041666666663</v>
      </c>
    </row>
    <row r="1052" spans="1:10" x14ac:dyDescent="0.3">
      <c r="A1052" s="88" t="s">
        <v>482</v>
      </c>
      <c r="B1052" s="24">
        <v>39401</v>
      </c>
      <c r="C1052" s="32">
        <v>2.799017913714648</v>
      </c>
      <c r="D1052">
        <v>3.8</v>
      </c>
      <c r="E1052">
        <v>0.5</v>
      </c>
      <c r="F1052" s="126">
        <v>0</v>
      </c>
      <c r="G1052" s="126"/>
      <c r="H1052" s="126">
        <f t="shared" si="16"/>
        <v>0.63359438986733596</v>
      </c>
      <c r="I1052" s="89">
        <v>234</v>
      </c>
      <c r="J1052" s="126">
        <v>85.626041666666652</v>
      </c>
    </row>
    <row r="1053" spans="1:10" x14ac:dyDescent="0.3">
      <c r="A1053" s="88" t="s">
        <v>482</v>
      </c>
      <c r="B1053" s="24">
        <v>39402</v>
      </c>
      <c r="C1053" s="32">
        <v>1.0962070157249006</v>
      </c>
      <c r="D1053">
        <v>4.0999999999999996</v>
      </c>
      <c r="E1053">
        <v>0</v>
      </c>
      <c r="F1053" s="126">
        <v>1.22</v>
      </c>
      <c r="G1053" s="126"/>
      <c r="H1053" s="126">
        <f t="shared" si="16"/>
        <v>0.61099999999999999</v>
      </c>
      <c r="I1053" s="89">
        <v>236.88000000000002</v>
      </c>
      <c r="J1053" s="126">
        <v>87.641666666666666</v>
      </c>
    </row>
    <row r="1054" spans="1:10" x14ac:dyDescent="0.3">
      <c r="A1054" s="88" t="s">
        <v>482</v>
      </c>
      <c r="B1054" s="24">
        <v>39403</v>
      </c>
      <c r="C1054" s="32">
        <v>1.1943076435689188</v>
      </c>
      <c r="D1054">
        <v>6.2</v>
      </c>
      <c r="E1054">
        <v>4.0999999999999996</v>
      </c>
      <c r="F1054" s="126">
        <v>0.90500000000000003</v>
      </c>
      <c r="G1054" s="126"/>
      <c r="H1054" s="126">
        <f t="shared" si="16"/>
        <v>0.81927114982761395</v>
      </c>
      <c r="I1054" s="89">
        <v>228.60000000000008</v>
      </c>
      <c r="J1054" s="126">
        <v>91.75</v>
      </c>
    </row>
    <row r="1055" spans="1:10" x14ac:dyDescent="0.3">
      <c r="A1055" s="88" t="s">
        <v>482</v>
      </c>
      <c r="B1055" s="24">
        <v>39404</v>
      </c>
      <c r="C1055" s="32">
        <v>0.83340533379413639</v>
      </c>
      <c r="D1055">
        <v>6.3</v>
      </c>
      <c r="E1055">
        <v>3.6</v>
      </c>
      <c r="F1055" s="126">
        <v>0.57499999999999996</v>
      </c>
      <c r="G1055" s="126"/>
      <c r="H1055" s="126">
        <f t="shared" si="16"/>
        <v>0.79090602148237243</v>
      </c>
      <c r="I1055" s="89">
        <v>168.84</v>
      </c>
      <c r="J1055" s="126">
        <v>91.014583333333306</v>
      </c>
    </row>
    <row r="1056" spans="1:10" x14ac:dyDescent="0.3">
      <c r="A1056" s="88" t="s">
        <v>482</v>
      </c>
      <c r="B1056" s="24">
        <v>39405</v>
      </c>
      <c r="C1056" s="32">
        <v>1.7595112608720695</v>
      </c>
      <c r="D1056">
        <v>3.5</v>
      </c>
      <c r="E1056">
        <v>0.5</v>
      </c>
      <c r="F1056" s="126">
        <v>0.19500000000000001</v>
      </c>
      <c r="G1056" s="126"/>
      <c r="H1056" s="126">
        <f t="shared" si="16"/>
        <v>0.63359438986733596</v>
      </c>
      <c r="I1056" s="89">
        <v>299.60999999999996</v>
      </c>
      <c r="J1056" s="126">
        <v>85.45</v>
      </c>
    </row>
    <row r="1057" spans="1:10" x14ac:dyDescent="0.3">
      <c r="A1057" s="88" t="s">
        <v>482</v>
      </c>
      <c r="B1057" s="24">
        <v>39406</v>
      </c>
      <c r="C1057" s="32">
        <v>2.1978140660100225</v>
      </c>
      <c r="D1057">
        <v>5.6</v>
      </c>
      <c r="E1057">
        <v>0.7</v>
      </c>
      <c r="F1057" s="126">
        <v>0</v>
      </c>
      <c r="G1057" s="126"/>
      <c r="H1057" s="126">
        <f t="shared" si="16"/>
        <v>0.64283692539220627</v>
      </c>
      <c r="I1057" s="89">
        <v>116.37</v>
      </c>
      <c r="J1057" s="126">
        <v>88.009375000000006</v>
      </c>
    </row>
    <row r="1058" spans="1:10" x14ac:dyDescent="0.3">
      <c r="A1058" s="88" t="s">
        <v>482</v>
      </c>
      <c r="B1058" s="24">
        <v>39407</v>
      </c>
      <c r="C1058" s="32">
        <v>1.4418092275790566</v>
      </c>
      <c r="D1058">
        <v>7.8</v>
      </c>
      <c r="E1058">
        <v>0.1</v>
      </c>
      <c r="F1058" s="126">
        <v>0</v>
      </c>
      <c r="G1058" s="126"/>
      <c r="H1058" s="126">
        <f t="shared" si="16"/>
        <v>0.61546101269605991</v>
      </c>
      <c r="I1058" s="89">
        <v>147.06</v>
      </c>
      <c r="J1058" s="126">
        <v>85.783333333333303</v>
      </c>
    </row>
    <row r="1059" spans="1:10" x14ac:dyDescent="0.3">
      <c r="A1059" s="88" t="s">
        <v>482</v>
      </c>
      <c r="B1059" s="24">
        <v>39408</v>
      </c>
      <c r="C1059" s="32">
        <v>0.97380623235988717</v>
      </c>
      <c r="D1059">
        <v>9.6</v>
      </c>
      <c r="E1059">
        <v>4.2</v>
      </c>
      <c r="F1059" s="126">
        <v>0</v>
      </c>
      <c r="G1059" s="126"/>
      <c r="H1059" s="126">
        <f t="shared" si="16"/>
        <v>0.82505065566727931</v>
      </c>
      <c r="I1059" s="89">
        <v>103.05000000000003</v>
      </c>
      <c r="J1059" s="126">
        <v>85.840625000000003</v>
      </c>
    </row>
    <row r="1060" spans="1:10" x14ac:dyDescent="0.3">
      <c r="A1060" s="88" t="s">
        <v>482</v>
      </c>
      <c r="B1060" s="24">
        <v>39409</v>
      </c>
      <c r="C1060" s="32">
        <v>1.072806865963942</v>
      </c>
      <c r="D1060">
        <v>9</v>
      </c>
      <c r="E1060">
        <v>3.8</v>
      </c>
      <c r="F1060" s="126">
        <v>0.28999999999999998</v>
      </c>
      <c r="G1060" s="126"/>
      <c r="H1060" s="126">
        <f t="shared" si="16"/>
        <v>0.80214634758046521</v>
      </c>
      <c r="I1060" s="89">
        <v>206.55</v>
      </c>
      <c r="J1060" s="126">
        <v>88.568749999999994</v>
      </c>
    </row>
    <row r="1061" spans="1:10" x14ac:dyDescent="0.3">
      <c r="A1061" s="88" t="s">
        <v>482</v>
      </c>
      <c r="B1061" s="24">
        <v>39410</v>
      </c>
      <c r="C1061" s="32">
        <v>4.6719299003513619</v>
      </c>
      <c r="D1061">
        <v>4.8</v>
      </c>
      <c r="E1061">
        <v>0.1</v>
      </c>
      <c r="F1061" s="126">
        <v>0</v>
      </c>
      <c r="G1061" s="126"/>
      <c r="H1061" s="126">
        <f t="shared" si="16"/>
        <v>0.61546101269605991</v>
      </c>
      <c r="I1061" s="89">
        <v>260.82</v>
      </c>
      <c r="J1061" s="126">
        <v>74.807291666666686</v>
      </c>
    </row>
    <row r="1062" spans="1:10" x14ac:dyDescent="0.3">
      <c r="A1062" s="88" t="s">
        <v>482</v>
      </c>
      <c r="B1062" s="24">
        <v>39411</v>
      </c>
      <c r="C1062" s="32">
        <v>1.9287123437590001</v>
      </c>
      <c r="D1062">
        <v>8.1</v>
      </c>
      <c r="E1062">
        <v>1.6</v>
      </c>
      <c r="F1062" s="126">
        <v>3.8050000000000002</v>
      </c>
      <c r="G1062" s="126"/>
      <c r="H1062" s="126">
        <f t="shared" si="16"/>
        <v>0.68591959793818613</v>
      </c>
      <c r="I1062" s="89">
        <v>439.92000000000013</v>
      </c>
      <c r="J1062" s="126">
        <v>84.10833333333332</v>
      </c>
    </row>
    <row r="1063" spans="1:10" x14ac:dyDescent="0.3">
      <c r="A1063" s="88" t="s">
        <v>482</v>
      </c>
      <c r="B1063" s="24">
        <v>39412</v>
      </c>
      <c r="C1063" s="32">
        <v>1.7982115085536547</v>
      </c>
      <c r="D1063">
        <v>2.8</v>
      </c>
      <c r="E1063">
        <v>0.7</v>
      </c>
      <c r="F1063" s="126">
        <v>1.21</v>
      </c>
      <c r="G1063" s="126"/>
      <c r="H1063" s="126">
        <f t="shared" si="16"/>
        <v>0.64283692539220627</v>
      </c>
      <c r="I1063" s="89">
        <v>517.50000000000045</v>
      </c>
      <c r="J1063" s="126">
        <v>86.579166666666637</v>
      </c>
    </row>
    <row r="1064" spans="1:10" x14ac:dyDescent="0.3">
      <c r="A1064" s="88" t="s">
        <v>482</v>
      </c>
      <c r="B1064" s="24">
        <v>39413</v>
      </c>
      <c r="C1064" s="32">
        <v>3.9960255745636775</v>
      </c>
      <c r="D1064">
        <v>4.8</v>
      </c>
      <c r="E1064">
        <v>0.1</v>
      </c>
      <c r="F1064" s="126">
        <v>0</v>
      </c>
      <c r="G1064" s="126"/>
      <c r="H1064" s="126">
        <f t="shared" si="16"/>
        <v>0.61546101269605991</v>
      </c>
      <c r="I1064" s="89">
        <v>270.71999999999991</v>
      </c>
      <c r="J1064" s="126">
        <v>86.316666666666677</v>
      </c>
    </row>
    <row r="1065" spans="1:10" x14ac:dyDescent="0.3">
      <c r="A1065" s="88" t="s">
        <v>482</v>
      </c>
      <c r="B1065" s="24">
        <v>39414</v>
      </c>
      <c r="C1065" s="32">
        <v>2.2032141005702437</v>
      </c>
      <c r="D1065">
        <v>5.0999999999999996</v>
      </c>
      <c r="E1065">
        <v>0.4</v>
      </c>
      <c r="F1065" s="126">
        <v>0</v>
      </c>
      <c r="G1065" s="126"/>
      <c r="H1065" s="126">
        <f t="shared" si="16"/>
        <v>0.62901732612537431</v>
      </c>
      <c r="I1065" s="89">
        <v>171.27</v>
      </c>
      <c r="J1065" s="126">
        <v>84.182291666666643</v>
      </c>
    </row>
    <row r="1066" spans="1:10" x14ac:dyDescent="0.3">
      <c r="A1066" s="88" t="s">
        <v>482</v>
      </c>
      <c r="B1066" s="24">
        <v>39415</v>
      </c>
      <c r="C1066" s="32">
        <v>1.1628074419676286</v>
      </c>
      <c r="D1066">
        <v>4.5999999999999996</v>
      </c>
      <c r="E1066">
        <v>0.6</v>
      </c>
      <c r="F1066" s="126">
        <v>0.13</v>
      </c>
      <c r="G1066" s="126"/>
      <c r="H1066" s="126">
        <f t="shared" si="16"/>
        <v>0.63820086880942895</v>
      </c>
      <c r="I1066" s="89">
        <v>288.99000000000007</v>
      </c>
      <c r="J1066" s="126">
        <v>78.193749999999994</v>
      </c>
    </row>
    <row r="1067" spans="1:10" x14ac:dyDescent="0.3">
      <c r="A1067" s="88" t="s">
        <v>482</v>
      </c>
      <c r="B1067" s="24">
        <v>39416</v>
      </c>
      <c r="C1067" s="32">
        <v>1.9476124647197743</v>
      </c>
      <c r="D1067">
        <v>7.6</v>
      </c>
      <c r="E1067">
        <v>3.8</v>
      </c>
      <c r="F1067" s="126">
        <v>3.9950000000000001</v>
      </c>
      <c r="G1067" s="126"/>
      <c r="H1067" s="126">
        <f t="shared" si="16"/>
        <v>0.80214634758046521</v>
      </c>
      <c r="I1067" s="89">
        <v>387.63000000000011</v>
      </c>
      <c r="J1067" s="126">
        <v>86.36145833333336</v>
      </c>
    </row>
    <row r="1068" spans="1:10" x14ac:dyDescent="0.3">
      <c r="A1068" s="88" t="s">
        <v>482</v>
      </c>
      <c r="B1068" s="24">
        <v>39417</v>
      </c>
      <c r="C1068" s="32">
        <v>2.1654138586486953</v>
      </c>
      <c r="D1068">
        <v>9.9</v>
      </c>
      <c r="E1068">
        <v>0</v>
      </c>
      <c r="F1068" s="126">
        <v>1.355</v>
      </c>
      <c r="G1068" s="126"/>
      <c r="H1068" s="126">
        <f t="shared" si="16"/>
        <v>0.61099999999999999</v>
      </c>
      <c r="I1068" s="89">
        <v>363.24000000000018</v>
      </c>
      <c r="J1068" s="126">
        <v>77.541666666666643</v>
      </c>
    </row>
    <row r="1069" spans="1:10" x14ac:dyDescent="0.3">
      <c r="A1069" s="88" t="s">
        <v>482</v>
      </c>
      <c r="B1069" s="24">
        <v>39418</v>
      </c>
      <c r="C1069" s="32">
        <v>0.60300385922469912</v>
      </c>
      <c r="D1069">
        <v>9.9</v>
      </c>
      <c r="E1069">
        <v>6</v>
      </c>
      <c r="F1069" s="126">
        <v>3.8149999999999999</v>
      </c>
      <c r="G1069" s="126"/>
      <c r="H1069" s="126">
        <f t="shared" si="16"/>
        <v>0.93541559507788385</v>
      </c>
      <c r="I1069" s="89">
        <v>388.17000000000007</v>
      </c>
      <c r="J1069" s="126">
        <v>79.706249999999997</v>
      </c>
    </row>
    <row r="1070" spans="1:10" x14ac:dyDescent="0.3">
      <c r="A1070" s="88" t="s">
        <v>482</v>
      </c>
      <c r="B1070" s="24">
        <v>39419</v>
      </c>
      <c r="C1070" s="32">
        <v>1.0822806108064356</v>
      </c>
      <c r="D1070">
        <v>8.4</v>
      </c>
      <c r="E1070">
        <v>3.8</v>
      </c>
      <c r="F1070" s="126">
        <v>6.17</v>
      </c>
      <c r="G1070" s="126"/>
      <c r="H1070" s="126">
        <f t="shared" si="16"/>
        <v>0.80214634758046521</v>
      </c>
      <c r="I1070" s="89">
        <v>617.89642105263147</v>
      </c>
      <c r="J1070" s="126">
        <v>82.214736842105282</v>
      </c>
    </row>
    <row r="1071" spans="1:10" x14ac:dyDescent="0.3">
      <c r="A1071" s="88" t="s">
        <v>482</v>
      </c>
      <c r="B1071" s="24">
        <v>39420</v>
      </c>
      <c r="C1071" s="32">
        <v>2.4192154829790913</v>
      </c>
      <c r="D1071">
        <v>7.1</v>
      </c>
      <c r="E1071">
        <v>4.3</v>
      </c>
      <c r="F1071" s="126">
        <v>0.51500000000000001</v>
      </c>
      <c r="G1071" s="126"/>
      <c r="H1071" s="126">
        <f t="shared" si="16"/>
        <v>0.83086609768035358</v>
      </c>
      <c r="I1071" s="89">
        <v>394.20000000000005</v>
      </c>
      <c r="J1071" s="126">
        <v>81.279166666666669</v>
      </c>
    </row>
    <row r="1072" spans="1:10" x14ac:dyDescent="0.3">
      <c r="A1072" s="88" t="s">
        <v>482</v>
      </c>
      <c r="B1072" s="24">
        <v>39421</v>
      </c>
      <c r="C1072" s="32">
        <v>0.78300501123207189</v>
      </c>
      <c r="D1072">
        <v>9.9</v>
      </c>
      <c r="E1072">
        <v>0</v>
      </c>
      <c r="F1072" s="126">
        <v>0.34</v>
      </c>
      <c r="G1072" s="126"/>
      <c r="H1072" s="126">
        <f t="shared" si="16"/>
        <v>0.61099999999999999</v>
      </c>
      <c r="I1072" s="89">
        <v>341.1</v>
      </c>
      <c r="J1072" s="126">
        <v>80.816666666666691</v>
      </c>
    </row>
    <row r="1073" spans="1:10" x14ac:dyDescent="0.3">
      <c r="A1073" s="88" t="s">
        <v>482</v>
      </c>
      <c r="B1073" s="24">
        <v>39422</v>
      </c>
      <c r="C1073" s="32">
        <v>1.5642100109440702</v>
      </c>
      <c r="D1073">
        <v>9.9</v>
      </c>
      <c r="E1073">
        <v>0</v>
      </c>
      <c r="F1073" s="126">
        <v>5.085</v>
      </c>
      <c r="G1073" s="126"/>
      <c r="H1073" s="126">
        <f t="shared" si="16"/>
        <v>0.61099999999999999</v>
      </c>
      <c r="I1073" s="89">
        <v>332.00999999999993</v>
      </c>
      <c r="J1073" s="126">
        <v>83.05</v>
      </c>
    </row>
    <row r="1074" spans="1:10" x14ac:dyDescent="0.3">
      <c r="A1074" s="88" t="s">
        <v>482</v>
      </c>
      <c r="B1074" s="24">
        <v>39423</v>
      </c>
      <c r="C1074" s="32">
        <v>1.3509086458153332</v>
      </c>
      <c r="D1074">
        <v>9.8000000000000007</v>
      </c>
      <c r="E1074">
        <v>0</v>
      </c>
      <c r="F1074" s="126">
        <v>8.1349999999999998</v>
      </c>
      <c r="G1074" s="126"/>
      <c r="H1074" s="126">
        <f t="shared" si="16"/>
        <v>0.61099999999999999</v>
      </c>
      <c r="I1074" s="89">
        <v>563.94000000000017</v>
      </c>
      <c r="J1074" s="126">
        <v>81.379166666666677</v>
      </c>
    </row>
    <row r="1075" spans="1:10" x14ac:dyDescent="0.3">
      <c r="A1075" s="88" t="s">
        <v>482</v>
      </c>
      <c r="B1075" s="24">
        <v>39424</v>
      </c>
      <c r="C1075" s="32">
        <v>1.4472092621392778</v>
      </c>
      <c r="D1075">
        <v>7</v>
      </c>
      <c r="E1075">
        <v>4.3</v>
      </c>
      <c r="F1075" s="126">
        <v>0.185</v>
      </c>
      <c r="G1075" s="126"/>
      <c r="H1075" s="126">
        <f t="shared" si="16"/>
        <v>0.83086609768035358</v>
      </c>
      <c r="I1075" s="89">
        <v>393.75</v>
      </c>
      <c r="J1075" s="126">
        <v>74.263541666666711</v>
      </c>
    </row>
    <row r="1076" spans="1:10" x14ac:dyDescent="0.3">
      <c r="A1076" s="88" t="s">
        <v>482</v>
      </c>
      <c r="B1076" s="24">
        <v>39425</v>
      </c>
      <c r="C1076" s="32">
        <v>2.1267136109671103</v>
      </c>
      <c r="D1076">
        <v>9.1999999999999993</v>
      </c>
      <c r="E1076">
        <v>4.0999999999999996</v>
      </c>
      <c r="F1076" s="126">
        <v>2.2250000000000001</v>
      </c>
      <c r="G1076" s="126"/>
      <c r="H1076" s="126">
        <f t="shared" si="16"/>
        <v>0.81927114982761395</v>
      </c>
      <c r="I1076" s="89">
        <v>247.86</v>
      </c>
      <c r="J1076" s="126">
        <v>79.135416666666686</v>
      </c>
    </row>
    <row r="1077" spans="1:10" x14ac:dyDescent="0.3">
      <c r="A1077" s="88" t="s">
        <v>482</v>
      </c>
      <c r="B1077" s="24">
        <v>39426</v>
      </c>
      <c r="C1077" s="32">
        <v>0.73530470595011799</v>
      </c>
      <c r="D1077">
        <v>5.9</v>
      </c>
      <c r="E1077">
        <v>4.3</v>
      </c>
      <c r="F1077" s="126">
        <v>1.24</v>
      </c>
      <c r="G1077" s="126"/>
      <c r="H1077" s="126">
        <f t="shared" si="16"/>
        <v>0.83086609768035358</v>
      </c>
      <c r="I1077" s="89">
        <v>163.89000000000001</v>
      </c>
      <c r="J1077" s="126">
        <v>87.397916666666674</v>
      </c>
    </row>
    <row r="1078" spans="1:10" x14ac:dyDescent="0.3">
      <c r="A1078" s="88" t="s">
        <v>482</v>
      </c>
      <c r="B1078" s="24">
        <v>39427</v>
      </c>
      <c r="C1078" s="32">
        <v>0.16380104832670928</v>
      </c>
      <c r="D1078">
        <v>5</v>
      </c>
      <c r="E1078">
        <v>3.6</v>
      </c>
      <c r="F1078" s="126">
        <v>3.415</v>
      </c>
      <c r="G1078" s="126"/>
      <c r="H1078" s="126">
        <f t="shared" si="16"/>
        <v>0.79090602148237243</v>
      </c>
      <c r="I1078" s="89">
        <v>282.78000000000009</v>
      </c>
      <c r="J1078" s="126">
        <v>94.272916666666632</v>
      </c>
    </row>
    <row r="1079" spans="1:10" x14ac:dyDescent="0.3">
      <c r="A1079" s="88" t="s">
        <v>482</v>
      </c>
      <c r="B1079" s="24">
        <v>39428</v>
      </c>
      <c r="C1079" s="32">
        <v>0.27450175681124361</v>
      </c>
      <c r="D1079">
        <v>4.5999999999999996</v>
      </c>
      <c r="E1079">
        <v>3.7</v>
      </c>
      <c r="F1079" s="126">
        <v>0.23499999999999999</v>
      </c>
      <c r="G1079" s="126"/>
      <c r="H1079" s="126">
        <f t="shared" si="16"/>
        <v>0.79650868879481573</v>
      </c>
      <c r="I1079" s="89">
        <v>275.31000000000017</v>
      </c>
      <c r="J1079" s="126">
        <v>89.775000000000006</v>
      </c>
    </row>
    <row r="1080" spans="1:10" x14ac:dyDescent="0.3">
      <c r="A1080" s="88" t="s">
        <v>482</v>
      </c>
      <c r="B1080" s="24">
        <v>39429</v>
      </c>
      <c r="C1080" s="32">
        <v>0.98280628996025576</v>
      </c>
      <c r="D1080">
        <v>4</v>
      </c>
      <c r="E1080">
        <v>2.2000000000000002</v>
      </c>
      <c r="F1080" s="126">
        <v>0</v>
      </c>
      <c r="G1080" s="126"/>
      <c r="H1080" s="126">
        <f t="shared" si="16"/>
        <v>0.71603982725344328</v>
      </c>
      <c r="I1080" s="89">
        <v>130.58999999999997</v>
      </c>
      <c r="J1080" s="126">
        <v>85.198958333333323</v>
      </c>
    </row>
    <row r="1081" spans="1:10" x14ac:dyDescent="0.3">
      <c r="A1081" s="88" t="s">
        <v>482</v>
      </c>
      <c r="B1081" s="24">
        <v>39430</v>
      </c>
      <c r="C1081" s="32">
        <v>0.24660157825010079</v>
      </c>
      <c r="D1081">
        <v>2.2999999999999998</v>
      </c>
      <c r="E1081">
        <v>1.4</v>
      </c>
      <c r="F1081" s="126">
        <v>0.01</v>
      </c>
      <c r="G1081" s="126"/>
      <c r="H1081" s="126">
        <f t="shared" si="16"/>
        <v>0.67613129580825593</v>
      </c>
      <c r="I1081" s="89">
        <v>98.550000000000011</v>
      </c>
      <c r="J1081" s="126">
        <v>81.890625</v>
      </c>
    </row>
    <row r="1082" spans="1:10" x14ac:dyDescent="0.3">
      <c r="A1082" s="88" t="s">
        <v>482</v>
      </c>
      <c r="B1082" s="24">
        <v>39431</v>
      </c>
      <c r="C1082" s="32">
        <v>2.7909178618743162</v>
      </c>
      <c r="D1082">
        <v>3</v>
      </c>
      <c r="E1082">
        <v>0</v>
      </c>
      <c r="F1082" s="126">
        <v>0</v>
      </c>
      <c r="G1082" s="126"/>
      <c r="H1082" s="126">
        <f t="shared" si="16"/>
        <v>0.61099999999999999</v>
      </c>
      <c r="I1082" s="89">
        <v>221.03999999999996</v>
      </c>
      <c r="J1082" s="126">
        <v>82.481250000000003</v>
      </c>
    </row>
    <row r="1083" spans="1:10" x14ac:dyDescent="0.3">
      <c r="A1083" s="88" t="s">
        <v>482</v>
      </c>
      <c r="B1083" s="24">
        <v>39432</v>
      </c>
      <c r="C1083" s="32">
        <v>0.55980358274292963</v>
      </c>
      <c r="D1083">
        <v>4.4000000000000004</v>
      </c>
      <c r="E1083">
        <v>1.1000000000000001</v>
      </c>
      <c r="F1083" s="126">
        <v>0</v>
      </c>
      <c r="G1083" s="126"/>
      <c r="H1083" s="126">
        <f t="shared" si="16"/>
        <v>0.66168020278676021</v>
      </c>
      <c r="I1083" s="89">
        <v>181.61999999999995</v>
      </c>
      <c r="J1083" s="126">
        <v>91.106250000000003</v>
      </c>
    </row>
    <row r="1084" spans="1:10" x14ac:dyDescent="0.3">
      <c r="A1084" s="88" t="s">
        <v>482</v>
      </c>
      <c r="B1084" s="24">
        <v>39433</v>
      </c>
      <c r="C1084" s="32">
        <v>1.7964114970335812</v>
      </c>
      <c r="D1084">
        <v>1.4</v>
      </c>
      <c r="E1084">
        <v>0</v>
      </c>
      <c r="F1084" s="126">
        <v>0</v>
      </c>
      <c r="G1084" s="126"/>
      <c r="H1084" s="126">
        <f t="shared" si="16"/>
        <v>0.61099999999999999</v>
      </c>
      <c r="I1084" s="89">
        <v>301.76999999999987</v>
      </c>
      <c r="J1084" s="126">
        <v>84.293750000000003</v>
      </c>
    </row>
    <row r="1085" spans="1:10" x14ac:dyDescent="0.3">
      <c r="A1085" s="88" t="s">
        <v>482</v>
      </c>
      <c r="B1085" s="24">
        <v>39434</v>
      </c>
      <c r="C1085" s="32">
        <v>1.1349072634064858</v>
      </c>
      <c r="D1085">
        <v>2.4</v>
      </c>
      <c r="E1085">
        <v>0.3</v>
      </c>
      <c r="F1085" s="126">
        <v>0</v>
      </c>
      <c r="G1085" s="126"/>
      <c r="H1085" s="126">
        <f t="shared" si="16"/>
        <v>0.62446951587741306</v>
      </c>
      <c r="I1085" s="89">
        <v>271.17</v>
      </c>
      <c r="J1085" s="126">
        <v>88.55520833333334</v>
      </c>
    </row>
    <row r="1086" spans="1:10" x14ac:dyDescent="0.3">
      <c r="A1086" s="88" t="s">
        <v>482</v>
      </c>
      <c r="B1086" s="24">
        <v>39435</v>
      </c>
      <c r="C1086" s="32">
        <v>0.38610247105581474</v>
      </c>
      <c r="D1086">
        <v>3.5</v>
      </c>
      <c r="E1086">
        <v>2.4</v>
      </c>
      <c r="F1086" s="126">
        <v>0</v>
      </c>
      <c r="G1086" s="126"/>
      <c r="H1086" s="126">
        <f t="shared" si="16"/>
        <v>0.7263362808555901</v>
      </c>
      <c r="I1086" s="89">
        <v>118.17000000000002</v>
      </c>
      <c r="J1086" s="126">
        <v>94.529166666666654</v>
      </c>
    </row>
    <row r="1087" spans="1:10" x14ac:dyDescent="0.3">
      <c r="A1087" s="88" t="s">
        <v>482</v>
      </c>
      <c r="B1087" s="24">
        <v>39436</v>
      </c>
      <c r="C1087" s="32">
        <v>0.85320546051494728</v>
      </c>
      <c r="D1087">
        <v>4.5</v>
      </c>
      <c r="E1087">
        <v>3.3</v>
      </c>
      <c r="F1087" s="126">
        <v>0</v>
      </c>
      <c r="G1087" s="126"/>
      <c r="H1087" s="126">
        <f t="shared" si="16"/>
        <v>0.77430610767805441</v>
      </c>
      <c r="I1087" s="89">
        <v>89.460000000000008</v>
      </c>
      <c r="J1087" s="126">
        <v>96.25833333333334</v>
      </c>
    </row>
    <row r="1088" spans="1:10" x14ac:dyDescent="0.3">
      <c r="A1088" s="88" t="s">
        <v>482</v>
      </c>
      <c r="B1088" s="24">
        <v>39437</v>
      </c>
      <c r="C1088" s="32">
        <v>1.2411079430908358</v>
      </c>
      <c r="D1088">
        <v>5.2</v>
      </c>
      <c r="E1088">
        <v>3.8</v>
      </c>
      <c r="F1088" s="126">
        <v>0</v>
      </c>
      <c r="G1088" s="126"/>
      <c r="H1088" s="126">
        <f t="shared" si="16"/>
        <v>0.80214634758046521</v>
      </c>
      <c r="I1088" s="89">
        <v>143.73000000000005</v>
      </c>
      <c r="J1088" s="126">
        <v>98.844791666666694</v>
      </c>
    </row>
    <row r="1089" spans="1:10" x14ac:dyDescent="0.3">
      <c r="A1089" s="88" t="s">
        <v>482</v>
      </c>
      <c r="B1089" s="24">
        <v>39438</v>
      </c>
      <c r="C1089" s="32">
        <v>2.2473143828120503</v>
      </c>
      <c r="D1089">
        <v>6.6</v>
      </c>
      <c r="E1089">
        <v>2.7</v>
      </c>
      <c r="F1089" s="126">
        <v>0</v>
      </c>
      <c r="G1089" s="126"/>
      <c r="H1089" s="126">
        <f t="shared" si="16"/>
        <v>0.74202613073523482</v>
      </c>
      <c r="I1089" s="89">
        <v>60.480000000000004</v>
      </c>
      <c r="J1089" s="126">
        <v>98.269791666666677</v>
      </c>
    </row>
    <row r="1090" spans="1:10" x14ac:dyDescent="0.3">
      <c r="A1090" s="88" t="s">
        <v>482</v>
      </c>
      <c r="B1090" s="24">
        <v>39439</v>
      </c>
      <c r="C1090" s="32">
        <v>0.86220551811531587</v>
      </c>
      <c r="D1090">
        <v>5.2</v>
      </c>
      <c r="E1090">
        <v>0</v>
      </c>
      <c r="F1090" s="126">
        <v>0.18</v>
      </c>
      <c r="G1090" s="126"/>
      <c r="H1090" s="126">
        <f t="shared" si="16"/>
        <v>0.61099999999999999</v>
      </c>
      <c r="I1090" s="89">
        <v>174.51000000000002</v>
      </c>
      <c r="J1090" s="126">
        <v>94.275000000000006</v>
      </c>
    </row>
    <row r="1091" spans="1:10" x14ac:dyDescent="0.3">
      <c r="A1091" s="88" t="s">
        <v>482</v>
      </c>
      <c r="B1091" s="24">
        <v>39440</v>
      </c>
      <c r="C1091" s="32">
        <v>0.85680548355509467</v>
      </c>
      <c r="D1091">
        <v>1.3</v>
      </c>
      <c r="E1091">
        <v>0</v>
      </c>
      <c r="F1091" s="126">
        <v>0</v>
      </c>
      <c r="G1091" s="126"/>
      <c r="H1091" s="126">
        <f t="shared" si="16"/>
        <v>0.61099999999999999</v>
      </c>
      <c r="I1091" s="89">
        <v>94.23</v>
      </c>
      <c r="J1091" s="126">
        <v>97.38229166666666</v>
      </c>
    </row>
    <row r="1092" spans="1:10" x14ac:dyDescent="0.3">
      <c r="A1092" s="88" t="s">
        <v>482</v>
      </c>
      <c r="B1092" s="24">
        <v>39441</v>
      </c>
      <c r="C1092" s="32">
        <v>3.0078192500432004</v>
      </c>
      <c r="D1092">
        <v>3.1</v>
      </c>
      <c r="E1092">
        <v>0.1</v>
      </c>
      <c r="F1092" s="126">
        <v>0</v>
      </c>
      <c r="G1092" s="126"/>
      <c r="H1092" s="126">
        <f t="shared" ref="H1092:H1155" si="17">0.611*EXP((17.27*E1092)/(E1092+237.3))</f>
        <v>0.61546101269605991</v>
      </c>
      <c r="I1092" s="89">
        <v>163.98</v>
      </c>
      <c r="J1092" s="126">
        <v>77.314583333333317</v>
      </c>
    </row>
    <row r="1093" spans="1:10" x14ac:dyDescent="0.3">
      <c r="A1093" s="88" t="s">
        <v>482</v>
      </c>
      <c r="B1093" s="24">
        <v>39442</v>
      </c>
      <c r="C1093" s="32">
        <v>0.80010512067277229</v>
      </c>
      <c r="D1093">
        <v>2.2000000000000002</v>
      </c>
      <c r="E1093">
        <v>0</v>
      </c>
      <c r="F1093" s="126">
        <v>0</v>
      </c>
      <c r="G1093" s="126"/>
      <c r="H1093" s="126">
        <f t="shared" si="17"/>
        <v>0.61099999999999999</v>
      </c>
      <c r="I1093" s="89">
        <v>234.63000000000002</v>
      </c>
      <c r="J1093" s="126">
        <v>75.290625000000006</v>
      </c>
    </row>
    <row r="1094" spans="1:10" x14ac:dyDescent="0.3">
      <c r="A1094" s="88" t="s">
        <v>482</v>
      </c>
      <c r="B1094" s="24">
        <v>39443</v>
      </c>
      <c r="C1094" s="32">
        <v>2.2833146132135247</v>
      </c>
      <c r="D1094">
        <v>3.9</v>
      </c>
      <c r="E1094">
        <v>0.1</v>
      </c>
      <c r="F1094" s="126">
        <v>0</v>
      </c>
      <c r="G1094" s="126"/>
      <c r="H1094" s="126">
        <f t="shared" si="17"/>
        <v>0.61546101269605991</v>
      </c>
      <c r="I1094" s="89">
        <v>250.74000000000004</v>
      </c>
      <c r="J1094" s="126">
        <v>82.422916666666637</v>
      </c>
    </row>
    <row r="1095" spans="1:10" x14ac:dyDescent="0.3">
      <c r="A1095" s="88" t="s">
        <v>482</v>
      </c>
      <c r="B1095" s="24">
        <v>39444</v>
      </c>
      <c r="C1095" s="32">
        <v>1.570510051264328</v>
      </c>
      <c r="D1095">
        <v>6</v>
      </c>
      <c r="E1095">
        <v>3.8</v>
      </c>
      <c r="F1095" s="126">
        <v>0</v>
      </c>
      <c r="G1095" s="126"/>
      <c r="H1095" s="126">
        <f t="shared" si="17"/>
        <v>0.80214634758046521</v>
      </c>
      <c r="I1095" s="89">
        <v>328.95</v>
      </c>
      <c r="J1095" s="126">
        <v>80.294791666666683</v>
      </c>
    </row>
    <row r="1096" spans="1:10" x14ac:dyDescent="0.3">
      <c r="A1096" s="88" t="s">
        <v>482</v>
      </c>
      <c r="B1096" s="24">
        <v>39445</v>
      </c>
      <c r="C1096" s="32">
        <v>0.82260526467369399</v>
      </c>
      <c r="D1096">
        <v>5</v>
      </c>
      <c r="E1096">
        <v>2.5</v>
      </c>
      <c r="F1096" s="126">
        <v>0</v>
      </c>
      <c r="G1096" s="126"/>
      <c r="H1096" s="126">
        <f t="shared" si="17"/>
        <v>0.73153336467415264</v>
      </c>
      <c r="I1096" s="89">
        <v>329.31000000000006</v>
      </c>
      <c r="J1096" s="126">
        <v>72.228125000000006</v>
      </c>
    </row>
    <row r="1097" spans="1:10" x14ac:dyDescent="0.3">
      <c r="A1097" s="88" t="s">
        <v>482</v>
      </c>
      <c r="B1097" s="24">
        <v>39446</v>
      </c>
      <c r="C1097" s="32">
        <v>0.6741043142676113</v>
      </c>
      <c r="D1097">
        <v>4.9000000000000004</v>
      </c>
      <c r="E1097">
        <v>2.7</v>
      </c>
      <c r="F1097" s="126">
        <v>0.52500000000000002</v>
      </c>
      <c r="G1097" s="126"/>
      <c r="H1097" s="126">
        <f t="shared" si="17"/>
        <v>0.74202613073523482</v>
      </c>
      <c r="I1097" s="89">
        <v>246.15000000000003</v>
      </c>
      <c r="J1097" s="126">
        <v>84.98333333333332</v>
      </c>
    </row>
    <row r="1098" spans="1:10" x14ac:dyDescent="0.3">
      <c r="A1098" s="88" t="s">
        <v>482</v>
      </c>
      <c r="B1098" s="24">
        <v>39447</v>
      </c>
      <c r="C1098" s="32">
        <v>1.9368123955993319</v>
      </c>
      <c r="D1098">
        <v>4</v>
      </c>
      <c r="E1098">
        <v>1.1000000000000001</v>
      </c>
      <c r="F1098" s="126">
        <v>0</v>
      </c>
      <c r="G1098" s="126"/>
      <c r="H1098" s="126">
        <f t="shared" si="17"/>
        <v>0.66168020278676021</v>
      </c>
      <c r="I1098" s="89">
        <v>256.41000000000003</v>
      </c>
      <c r="J1098" s="126">
        <v>90.83645833333334</v>
      </c>
    </row>
    <row r="1099" spans="1:10" x14ac:dyDescent="0.3">
      <c r="A1099" s="88" t="s">
        <v>482</v>
      </c>
      <c r="B1099" s="24">
        <v>39448</v>
      </c>
      <c r="C1099" s="32">
        <v>0.84240539139450499</v>
      </c>
      <c r="D1099" s="125">
        <v>1.1000000000000001</v>
      </c>
      <c r="E1099" s="125">
        <v>-1</v>
      </c>
      <c r="F1099" s="126">
        <v>1.4650000000000001</v>
      </c>
      <c r="G1099" s="126"/>
      <c r="H1099" s="126">
        <f t="shared" si="17"/>
        <v>0.5679377955282604</v>
      </c>
      <c r="I1099" s="89">
        <v>141.84000000000003</v>
      </c>
      <c r="J1099" s="125">
        <v>95.430208333333326</v>
      </c>
    </row>
    <row r="1100" spans="1:10" x14ac:dyDescent="0.3">
      <c r="A1100" s="88" t="s">
        <v>482</v>
      </c>
      <c r="B1100" s="24">
        <v>39449</v>
      </c>
      <c r="C1100" s="32">
        <v>1.30590835781349</v>
      </c>
      <c r="D1100" s="125">
        <v>0</v>
      </c>
      <c r="E1100" s="125">
        <v>-1.2</v>
      </c>
      <c r="F1100" s="126">
        <v>0.48</v>
      </c>
      <c r="G1100" s="126"/>
      <c r="H1100" s="126">
        <f t="shared" si="17"/>
        <v>0.55965503960920326</v>
      </c>
      <c r="I1100" s="89">
        <v>209.97000000000008</v>
      </c>
      <c r="J1100" s="125">
        <v>92.261458333333351</v>
      </c>
    </row>
    <row r="1101" spans="1:10" x14ac:dyDescent="0.3">
      <c r="A1101" s="88" t="s">
        <v>482</v>
      </c>
      <c r="B1101" s="24">
        <v>39450</v>
      </c>
      <c r="C1101" s="32">
        <v>0.85680548355509467</v>
      </c>
      <c r="D1101" s="125">
        <v>-1.1000000000000001</v>
      </c>
      <c r="E1101" s="125">
        <v>-3.6</v>
      </c>
      <c r="F1101" s="126">
        <v>0</v>
      </c>
      <c r="G1101" s="126"/>
      <c r="H1101" s="126">
        <f t="shared" si="17"/>
        <v>0.46827867731545425</v>
      </c>
      <c r="I1101" s="89">
        <v>589.95000000000005</v>
      </c>
      <c r="J1101" s="125">
        <v>89.7708333333333</v>
      </c>
    </row>
    <row r="1102" spans="1:10" x14ac:dyDescent="0.3">
      <c r="A1102" s="88" t="s">
        <v>482</v>
      </c>
      <c r="B1102" s="24">
        <v>39451</v>
      </c>
      <c r="C1102" s="32">
        <v>2.6073166868267954</v>
      </c>
      <c r="D1102" s="125">
        <v>-3.1</v>
      </c>
      <c r="E1102" s="125">
        <v>-5.5</v>
      </c>
      <c r="F1102" s="126">
        <v>0</v>
      </c>
      <c r="G1102" s="126"/>
      <c r="H1102" s="126">
        <f t="shared" si="17"/>
        <v>0.40558302691933429</v>
      </c>
      <c r="I1102" s="89">
        <v>428.4</v>
      </c>
      <c r="J1102" s="125">
        <v>92.546875</v>
      </c>
    </row>
    <row r="1103" spans="1:10" x14ac:dyDescent="0.3">
      <c r="A1103" s="88" t="s">
        <v>482</v>
      </c>
      <c r="B1103" s="24">
        <v>39452</v>
      </c>
      <c r="C1103" s="32">
        <v>0.58500374402396171</v>
      </c>
      <c r="D1103" s="125">
        <v>7.4</v>
      </c>
      <c r="E1103" s="125">
        <v>-3.2</v>
      </c>
      <c r="F1103" s="126">
        <v>0</v>
      </c>
      <c r="G1103" s="126"/>
      <c r="H1103" s="126">
        <f t="shared" si="17"/>
        <v>0.48252218724041501</v>
      </c>
      <c r="I1103" s="89">
        <v>248.39999999999998</v>
      </c>
      <c r="J1103" s="125">
        <v>83.01770833333336</v>
      </c>
    </row>
    <row r="1104" spans="1:10" x14ac:dyDescent="0.3">
      <c r="A1104" s="88" t="s">
        <v>482</v>
      </c>
      <c r="B1104" s="24">
        <v>39453</v>
      </c>
      <c r="C1104" s="32">
        <v>0.53820344450204483</v>
      </c>
      <c r="D1104" s="125">
        <v>5.2</v>
      </c>
      <c r="E1104" s="125">
        <v>1.5</v>
      </c>
      <c r="F1104" s="126">
        <v>5.3650000000000002</v>
      </c>
      <c r="G1104" s="126"/>
      <c r="H1104" s="126">
        <f t="shared" si="17"/>
        <v>0.68100991033793745</v>
      </c>
      <c r="I1104" s="89">
        <v>175.86</v>
      </c>
      <c r="J1104" s="125">
        <v>91.404166666666626</v>
      </c>
    </row>
    <row r="1105" spans="1:10" x14ac:dyDescent="0.3">
      <c r="A1105" s="88" t="s">
        <v>482</v>
      </c>
      <c r="B1105" s="24">
        <v>39454</v>
      </c>
      <c r="C1105" s="32">
        <v>1.7334110938310006</v>
      </c>
      <c r="D1105" s="125">
        <v>8</v>
      </c>
      <c r="E1105" s="125">
        <v>0.6</v>
      </c>
      <c r="F1105" s="126">
        <v>10.875</v>
      </c>
      <c r="G1105" s="126"/>
      <c r="H1105" s="126">
        <f t="shared" si="17"/>
        <v>0.63820086880942895</v>
      </c>
      <c r="I1105" s="89">
        <v>303.65999999999997</v>
      </c>
      <c r="J1105" s="125">
        <v>80.059375000000003</v>
      </c>
    </row>
    <row r="1106" spans="1:10" x14ac:dyDescent="0.3">
      <c r="A1106" s="88" t="s">
        <v>482</v>
      </c>
      <c r="B1106" s="24">
        <v>39455</v>
      </c>
      <c r="C1106" s="32">
        <v>2.691917228270261</v>
      </c>
      <c r="D1106" s="125">
        <v>7.2</v>
      </c>
      <c r="E1106" s="125">
        <v>2.9</v>
      </c>
      <c r="F1106" s="126">
        <v>2.37</v>
      </c>
      <c r="G1106" s="126"/>
      <c r="H1106" s="126">
        <f t="shared" si="17"/>
        <v>0.75265154972421666</v>
      </c>
      <c r="I1106" s="89">
        <v>323.90999999999997</v>
      </c>
      <c r="J1106" s="125">
        <v>79.465625000000003</v>
      </c>
    </row>
    <row r="1107" spans="1:10" x14ac:dyDescent="0.3">
      <c r="A1107" s="88" t="s">
        <v>482</v>
      </c>
      <c r="B1107" s="24">
        <v>39456</v>
      </c>
      <c r="C1107" s="32">
        <v>2.0889133690455619</v>
      </c>
      <c r="D1107" s="125">
        <v>6.8</v>
      </c>
      <c r="E1107" s="125">
        <v>1.5</v>
      </c>
      <c r="F1107" s="126">
        <v>0.245</v>
      </c>
      <c r="G1107" s="126"/>
      <c r="H1107" s="126">
        <f t="shared" si="17"/>
        <v>0.68100991033793745</v>
      </c>
      <c r="I1107" s="89">
        <v>204.20999999999992</v>
      </c>
      <c r="J1107" s="125">
        <v>79.347916666666663</v>
      </c>
    </row>
    <row r="1108" spans="1:10" x14ac:dyDescent="0.3">
      <c r="A1108" s="88" t="s">
        <v>482</v>
      </c>
      <c r="B1108" s="24">
        <v>39457</v>
      </c>
      <c r="C1108" s="32">
        <v>2.4471156615402339</v>
      </c>
      <c r="D1108" s="125">
        <v>8.6</v>
      </c>
      <c r="E1108" s="125">
        <v>2.7</v>
      </c>
      <c r="F1108" s="126">
        <v>0</v>
      </c>
      <c r="G1108" s="126"/>
      <c r="H1108" s="126">
        <f t="shared" si="17"/>
        <v>0.74202613073523482</v>
      </c>
      <c r="I1108" s="89">
        <v>297.27</v>
      </c>
      <c r="J1108" s="125">
        <v>74.86770833333334</v>
      </c>
    </row>
    <row r="1109" spans="1:10" x14ac:dyDescent="0.3">
      <c r="A1109" s="88" t="s">
        <v>482</v>
      </c>
      <c r="B1109" s="24">
        <v>39458</v>
      </c>
      <c r="C1109" s="32">
        <v>2.9574189274811356</v>
      </c>
      <c r="D1109" s="125">
        <v>12.3</v>
      </c>
      <c r="E1109" s="125">
        <v>8.3000000000000007</v>
      </c>
      <c r="F1109" s="126">
        <v>0</v>
      </c>
      <c r="G1109" s="126"/>
      <c r="H1109" s="126">
        <f t="shared" si="17"/>
        <v>1.0952445521994474</v>
      </c>
      <c r="I1109" s="89">
        <v>263.70000000000005</v>
      </c>
      <c r="J1109" s="125">
        <v>67.873958333333363</v>
      </c>
    </row>
    <row r="1110" spans="1:10" x14ac:dyDescent="0.3">
      <c r="A1110" s="88" t="s">
        <v>482</v>
      </c>
      <c r="B1110" s="24">
        <v>39459</v>
      </c>
      <c r="C1110" s="32">
        <v>1.8639119290363459</v>
      </c>
      <c r="D1110" s="125">
        <v>11.5</v>
      </c>
      <c r="E1110" s="125">
        <v>4</v>
      </c>
      <c r="F1110" s="126">
        <v>0</v>
      </c>
      <c r="G1110" s="126"/>
      <c r="H1110" s="126">
        <f t="shared" si="17"/>
        <v>0.81352738957079329</v>
      </c>
      <c r="I1110" s="89">
        <v>349.74000000000018</v>
      </c>
      <c r="J1110" s="125">
        <v>64.84375</v>
      </c>
    </row>
    <row r="1111" spans="1:10" x14ac:dyDescent="0.3">
      <c r="A1111" s="88" t="s">
        <v>482</v>
      </c>
      <c r="B1111" s="24">
        <v>39460</v>
      </c>
      <c r="C1111" s="32">
        <v>3.783624215194977</v>
      </c>
      <c r="D1111" s="125">
        <v>6.8</v>
      </c>
      <c r="E1111" s="125">
        <v>0.5</v>
      </c>
      <c r="F1111" s="126">
        <v>0</v>
      </c>
      <c r="G1111" s="126"/>
      <c r="H1111" s="126">
        <f t="shared" si="17"/>
        <v>0.63359438986733596</v>
      </c>
      <c r="I1111" s="89">
        <v>158.49</v>
      </c>
      <c r="J1111" s="125">
        <v>73.597916666666677</v>
      </c>
    </row>
    <row r="1112" spans="1:10" x14ac:dyDescent="0.3">
      <c r="A1112" s="88" t="s">
        <v>482</v>
      </c>
      <c r="B1112" s="24">
        <v>39461</v>
      </c>
      <c r="C1112" s="32">
        <v>1.8954121306376361</v>
      </c>
      <c r="D1112" s="125">
        <v>7.1</v>
      </c>
      <c r="E1112" s="125">
        <v>-1.1000000000000001</v>
      </c>
      <c r="F1112" s="126">
        <v>0</v>
      </c>
      <c r="G1112" s="126"/>
      <c r="H1112" s="126">
        <f t="shared" si="17"/>
        <v>0.56378296039812681</v>
      </c>
      <c r="I1112" s="89">
        <v>220.05</v>
      </c>
      <c r="J1112" s="125">
        <v>72.89895833333334</v>
      </c>
    </row>
    <row r="1113" spans="1:10" x14ac:dyDescent="0.3">
      <c r="A1113" s="88" t="s">
        <v>482</v>
      </c>
      <c r="B1113" s="24">
        <v>39462</v>
      </c>
      <c r="C1113" s="32">
        <v>1.7658113011923278</v>
      </c>
      <c r="D1113" s="125">
        <v>10.1</v>
      </c>
      <c r="E1113" s="125">
        <v>6</v>
      </c>
      <c r="F1113" s="126">
        <v>1.4999999999999999E-2</v>
      </c>
      <c r="G1113" s="126"/>
      <c r="H1113" s="126">
        <f t="shared" si="17"/>
        <v>0.93541559507788385</v>
      </c>
      <c r="I1113" s="89">
        <v>301.68000000000006</v>
      </c>
      <c r="J1113" s="125">
        <v>65.488541666666663</v>
      </c>
    </row>
    <row r="1114" spans="1:10" x14ac:dyDescent="0.3">
      <c r="A1114" s="88" t="s">
        <v>482</v>
      </c>
      <c r="B1114" s="24">
        <v>39463</v>
      </c>
      <c r="C1114" s="32">
        <v>0.86490553539542647</v>
      </c>
      <c r="D1114" s="125">
        <v>10.4</v>
      </c>
      <c r="E1114" s="125">
        <v>3.7</v>
      </c>
      <c r="F1114" s="126">
        <v>0.25</v>
      </c>
      <c r="G1114" s="126"/>
      <c r="H1114" s="126">
        <f t="shared" si="17"/>
        <v>0.79650868879481573</v>
      </c>
      <c r="I1114" s="89">
        <v>244.80000000000013</v>
      </c>
      <c r="J1114" s="125">
        <v>71.362499999999997</v>
      </c>
    </row>
    <row r="1115" spans="1:10" x14ac:dyDescent="0.3">
      <c r="A1115" s="88" t="s">
        <v>482</v>
      </c>
      <c r="B1115" s="24">
        <v>39464</v>
      </c>
      <c r="C1115" s="32">
        <v>2.6496169575485284</v>
      </c>
      <c r="D1115" s="125">
        <v>8.8000000000000007</v>
      </c>
      <c r="E1115" s="125">
        <v>3.5</v>
      </c>
      <c r="F1115" s="126">
        <v>2.63</v>
      </c>
      <c r="G1115" s="126"/>
      <c r="H1115" s="126">
        <f t="shared" si="17"/>
        <v>0.78533815916549388</v>
      </c>
      <c r="I1115" s="89">
        <v>175.76999999999998</v>
      </c>
      <c r="J1115" s="125">
        <v>78.018749999999997</v>
      </c>
    </row>
    <row r="1116" spans="1:10" x14ac:dyDescent="0.3">
      <c r="A1116" s="88" t="s">
        <v>482</v>
      </c>
      <c r="B1116" s="24">
        <v>39465</v>
      </c>
      <c r="C1116" s="32">
        <v>2.1159135418466679</v>
      </c>
      <c r="D1116" s="125">
        <v>9.8000000000000007</v>
      </c>
      <c r="E1116" s="125">
        <v>5.3</v>
      </c>
      <c r="F1116" s="126">
        <v>7</v>
      </c>
      <c r="G1116" s="126"/>
      <c r="H1116" s="126">
        <f t="shared" si="17"/>
        <v>0.89103953465215091</v>
      </c>
      <c r="I1116" s="89">
        <v>327.78000000000003</v>
      </c>
      <c r="J1116" s="125">
        <v>82.441666666666677</v>
      </c>
    </row>
    <row r="1117" spans="1:10" x14ac:dyDescent="0.3">
      <c r="A1117" s="88" t="s">
        <v>482</v>
      </c>
      <c r="B1117" s="24">
        <v>39466</v>
      </c>
      <c r="C1117" s="32">
        <v>0.49140314498012788</v>
      </c>
      <c r="D1117" s="125">
        <v>12.6</v>
      </c>
      <c r="E1117" s="125">
        <v>8.1999999999999993</v>
      </c>
      <c r="F1117" s="126">
        <v>12.14</v>
      </c>
      <c r="G1117" s="126"/>
      <c r="H1117" s="126">
        <f t="shared" si="17"/>
        <v>1.0878255375495476</v>
      </c>
      <c r="I1117" s="89">
        <v>424.25999999999988</v>
      </c>
      <c r="J1117" s="125">
        <v>92.212500000000006</v>
      </c>
    </row>
    <row r="1118" spans="1:10" x14ac:dyDescent="0.3">
      <c r="A1118" s="88" t="s">
        <v>482</v>
      </c>
      <c r="B1118" s="24">
        <v>39467</v>
      </c>
      <c r="C1118" s="32">
        <v>0.43830280513795289</v>
      </c>
      <c r="D1118" s="125">
        <v>11.8</v>
      </c>
      <c r="E1118" s="125">
        <v>7.9</v>
      </c>
      <c r="F1118" s="126">
        <v>19.074999999999999</v>
      </c>
      <c r="G1118" s="126"/>
      <c r="H1118" s="126">
        <f t="shared" si="17"/>
        <v>1.0658332114824252</v>
      </c>
      <c r="I1118" s="89">
        <v>377.73</v>
      </c>
      <c r="J1118" s="125">
        <v>94.283333333333317</v>
      </c>
    </row>
    <row r="1119" spans="1:10" x14ac:dyDescent="0.3">
      <c r="A1119" s="88" t="s">
        <v>482</v>
      </c>
      <c r="B1119" s="24">
        <v>39468</v>
      </c>
      <c r="C1119" s="32">
        <v>0.19440124416796267</v>
      </c>
      <c r="D1119" s="125">
        <v>10.7</v>
      </c>
      <c r="E1119" s="125">
        <v>7.2</v>
      </c>
      <c r="F1119" s="126">
        <v>6.7549999999999999</v>
      </c>
      <c r="G1119" s="126"/>
      <c r="H1119" s="126">
        <f t="shared" si="17"/>
        <v>1.0160332727272676</v>
      </c>
      <c r="I1119" s="89">
        <v>556.01999999999987</v>
      </c>
      <c r="J1119" s="125">
        <v>90.035416666666706</v>
      </c>
    </row>
    <row r="1120" spans="1:10" x14ac:dyDescent="0.3">
      <c r="A1120" s="88" t="s">
        <v>482</v>
      </c>
      <c r="B1120" s="24">
        <v>39469</v>
      </c>
      <c r="C1120" s="32">
        <v>4.007725649444156</v>
      </c>
      <c r="D1120" s="125">
        <v>8.8000000000000007</v>
      </c>
      <c r="E1120" s="125">
        <v>2.4</v>
      </c>
      <c r="F1120" s="126">
        <v>2.7949999999999999</v>
      </c>
      <c r="G1120" s="126"/>
      <c r="H1120" s="126">
        <f t="shared" si="17"/>
        <v>0.7263362808555901</v>
      </c>
      <c r="I1120" s="89">
        <v>461.79</v>
      </c>
      <c r="J1120" s="125">
        <v>79.666666666666657</v>
      </c>
    </row>
    <row r="1121" spans="1:10" x14ac:dyDescent="0.3">
      <c r="A1121" s="88" t="s">
        <v>482</v>
      </c>
      <c r="B1121" s="24">
        <v>39470</v>
      </c>
      <c r="C1121" s="32">
        <v>2.7594176602730256</v>
      </c>
      <c r="D1121" s="125">
        <v>6.1</v>
      </c>
      <c r="E1121" s="125">
        <v>0.3</v>
      </c>
      <c r="F1121" s="126">
        <v>0</v>
      </c>
      <c r="G1121" s="126"/>
      <c r="H1121" s="126">
        <f t="shared" si="17"/>
        <v>0.62446951587741306</v>
      </c>
      <c r="I1121" s="89">
        <v>282.06000000000006</v>
      </c>
      <c r="J1121" s="125">
        <v>78.181250000000006</v>
      </c>
    </row>
    <row r="1122" spans="1:10" x14ac:dyDescent="0.3">
      <c r="A1122" s="88" t="s">
        <v>482</v>
      </c>
      <c r="B1122" s="24">
        <v>39471</v>
      </c>
      <c r="C1122" s="32">
        <v>0.49500316802027539</v>
      </c>
      <c r="D1122" s="125">
        <v>8.1</v>
      </c>
      <c r="E1122" s="125">
        <v>5.2</v>
      </c>
      <c r="F1122" s="126">
        <v>3.5449999999999999</v>
      </c>
      <c r="G1122" s="126"/>
      <c r="H1122" s="126">
        <f t="shared" si="17"/>
        <v>0.88485406434684233</v>
      </c>
      <c r="I1122" s="89">
        <v>310.95000000000005</v>
      </c>
      <c r="J1122" s="125">
        <v>80.417708333333337</v>
      </c>
    </row>
    <row r="1123" spans="1:10" x14ac:dyDescent="0.3">
      <c r="A1123" s="88" t="s">
        <v>482</v>
      </c>
      <c r="B1123" s="24">
        <v>39472</v>
      </c>
      <c r="C1123" s="32">
        <v>4.6188295605091874</v>
      </c>
      <c r="D1123" s="125">
        <v>7.9</v>
      </c>
      <c r="E1123" s="125">
        <v>2.1</v>
      </c>
      <c r="F1123" s="126">
        <v>0</v>
      </c>
      <c r="G1123" s="126"/>
      <c r="H1123" s="126">
        <f t="shared" si="17"/>
        <v>0.7109401060616396</v>
      </c>
      <c r="I1123" s="89">
        <v>504.80999999999983</v>
      </c>
      <c r="J1123" s="125">
        <v>69.198958333333323</v>
      </c>
    </row>
    <row r="1124" spans="1:10" x14ac:dyDescent="0.3">
      <c r="A1124" s="88" t="s">
        <v>482</v>
      </c>
      <c r="B1124" s="24">
        <v>39473</v>
      </c>
      <c r="C1124" s="32">
        <v>3.2805209953343701</v>
      </c>
      <c r="D1124" s="125">
        <v>9.6</v>
      </c>
      <c r="E1124" s="125">
        <v>6.9</v>
      </c>
      <c r="F1124" s="126">
        <v>0.17</v>
      </c>
      <c r="G1124" s="126"/>
      <c r="H1124" s="126">
        <f t="shared" si="17"/>
        <v>0.99532561227749294</v>
      </c>
      <c r="I1124" s="89">
        <v>671.13000000000011</v>
      </c>
      <c r="J1124" s="125">
        <v>75.230208333333337</v>
      </c>
    </row>
    <row r="1125" spans="1:10" x14ac:dyDescent="0.3">
      <c r="A1125" s="88" t="s">
        <v>482</v>
      </c>
      <c r="B1125" s="24">
        <v>39474</v>
      </c>
      <c r="C1125" s="32">
        <v>0.49050313922009098</v>
      </c>
      <c r="D1125" s="125">
        <v>8.1</v>
      </c>
      <c r="E1125" s="125">
        <v>6.4</v>
      </c>
      <c r="F1125" s="126">
        <v>12.925000000000001</v>
      </c>
      <c r="G1125" s="126"/>
      <c r="H1125" s="126">
        <f t="shared" si="17"/>
        <v>0.96163811340513428</v>
      </c>
      <c r="I1125" s="89">
        <v>577.79999999999995</v>
      </c>
      <c r="J1125" s="125">
        <v>95.278125000000003</v>
      </c>
    </row>
    <row r="1126" spans="1:10" x14ac:dyDescent="0.3">
      <c r="A1126" s="88" t="s">
        <v>482</v>
      </c>
      <c r="B1126" s="24">
        <v>39475</v>
      </c>
      <c r="C1126" s="32">
        <v>0.91620586371752777</v>
      </c>
      <c r="D1126" s="125">
        <v>8</v>
      </c>
      <c r="E1126" s="125">
        <v>6.7</v>
      </c>
      <c r="F1126" s="126">
        <v>0.16</v>
      </c>
      <c r="G1126" s="126"/>
      <c r="H1126" s="126">
        <f t="shared" si="17"/>
        <v>0.98172789008858663</v>
      </c>
      <c r="I1126" s="89">
        <v>256.85999999999996</v>
      </c>
      <c r="J1126" s="125">
        <v>92.686458333333306</v>
      </c>
    </row>
    <row r="1127" spans="1:10" x14ac:dyDescent="0.3">
      <c r="A1127" s="88" t="s">
        <v>482</v>
      </c>
      <c r="B1127" s="24">
        <v>39476</v>
      </c>
      <c r="C1127" s="32">
        <v>1.3005083232532688</v>
      </c>
      <c r="D1127" s="125">
        <v>7.1</v>
      </c>
      <c r="E1127" s="125">
        <v>4.9000000000000004</v>
      </c>
      <c r="F1127" s="126">
        <v>0</v>
      </c>
      <c r="G1127" s="126"/>
      <c r="H1127" s="126">
        <f t="shared" si="17"/>
        <v>0.86652418747176108</v>
      </c>
      <c r="I1127" s="89">
        <v>147.69</v>
      </c>
      <c r="J1127" s="125">
        <v>74.192708333333357</v>
      </c>
    </row>
    <row r="1128" spans="1:10" x14ac:dyDescent="0.3">
      <c r="A1128" s="88" t="s">
        <v>482</v>
      </c>
      <c r="B1128" s="24">
        <v>39477</v>
      </c>
      <c r="C1128" s="32">
        <v>0.7389047289902656</v>
      </c>
      <c r="D1128" s="125">
        <v>5</v>
      </c>
      <c r="E1128" s="125">
        <v>2.2000000000000002</v>
      </c>
      <c r="F1128" s="126">
        <v>2.1549999999999998</v>
      </c>
      <c r="G1128" s="126"/>
      <c r="H1128" s="126">
        <f t="shared" si="17"/>
        <v>0.71603982725344328</v>
      </c>
      <c r="I1128" s="89">
        <v>256.04999999999995</v>
      </c>
      <c r="J1128" s="125">
        <v>83.066666666666649</v>
      </c>
    </row>
    <row r="1129" spans="1:10" x14ac:dyDescent="0.3">
      <c r="A1129" s="88" t="s">
        <v>482</v>
      </c>
      <c r="B1129" s="24">
        <v>39478</v>
      </c>
      <c r="C1129" s="32">
        <v>2.0043128276020967</v>
      </c>
      <c r="D1129" s="125">
        <v>3.8</v>
      </c>
      <c r="E1129" s="125">
        <v>1</v>
      </c>
      <c r="F1129" s="126">
        <v>0</v>
      </c>
      <c r="G1129" s="126"/>
      <c r="H1129" s="126">
        <f t="shared" si="17"/>
        <v>0.65692419645928013</v>
      </c>
      <c r="I1129" s="89">
        <v>366.84000000000003</v>
      </c>
      <c r="J1129" s="125">
        <v>73.9375</v>
      </c>
    </row>
    <row r="1130" spans="1:10" x14ac:dyDescent="0.3">
      <c r="A1130" s="88" t="s">
        <v>482</v>
      </c>
      <c r="B1130" s="24">
        <v>39479</v>
      </c>
      <c r="C1130" s="32">
        <v>2.9358187892402512</v>
      </c>
      <c r="D1130" s="125">
        <v>6.9</v>
      </c>
      <c r="E1130" s="125">
        <v>3.3</v>
      </c>
      <c r="F1130" s="126">
        <v>0.76</v>
      </c>
      <c r="G1130" s="126"/>
      <c r="H1130" s="126">
        <f t="shared" si="17"/>
        <v>0.77430610767805441</v>
      </c>
      <c r="I1130" s="89">
        <v>490.9500000000001</v>
      </c>
      <c r="J1130" s="125">
        <v>71.586458333333383</v>
      </c>
    </row>
    <row r="1131" spans="1:10" x14ac:dyDescent="0.3">
      <c r="A1131" s="88" t="s">
        <v>482</v>
      </c>
      <c r="B1131" s="24">
        <v>39480</v>
      </c>
      <c r="C1131" s="32">
        <v>5.0526323368469557</v>
      </c>
      <c r="D1131" s="125">
        <v>6.2</v>
      </c>
      <c r="E1131" s="125">
        <v>0.3</v>
      </c>
      <c r="F1131" s="126">
        <v>1.2749999999999999</v>
      </c>
      <c r="G1131" s="126"/>
      <c r="H1131" s="126">
        <f t="shared" si="17"/>
        <v>0.62446951587741306</v>
      </c>
      <c r="I1131" s="89">
        <v>392.31000000000006</v>
      </c>
      <c r="J1131" s="125">
        <v>76.467708333333348</v>
      </c>
    </row>
    <row r="1132" spans="1:10" x14ac:dyDescent="0.3">
      <c r="A1132" s="88" t="s">
        <v>482</v>
      </c>
      <c r="B1132" s="24">
        <v>39481</v>
      </c>
      <c r="C1132" s="32">
        <v>5.4531349000633611</v>
      </c>
      <c r="D1132" s="125">
        <v>4.8</v>
      </c>
      <c r="E1132" s="125">
        <v>0.4</v>
      </c>
      <c r="F1132" s="126">
        <v>5.0000000000000001E-3</v>
      </c>
      <c r="G1132" s="126"/>
      <c r="H1132" s="126">
        <f t="shared" si="17"/>
        <v>0.62901732612537431</v>
      </c>
      <c r="I1132" s="89">
        <v>221.39999999999998</v>
      </c>
      <c r="J1132" s="125">
        <v>66.2083333333333</v>
      </c>
    </row>
    <row r="1133" spans="1:10" x14ac:dyDescent="0.3">
      <c r="A1133" s="88" t="s">
        <v>482</v>
      </c>
      <c r="B1133" s="24">
        <v>39482</v>
      </c>
      <c r="C1133" s="32">
        <v>2.3787152237774323</v>
      </c>
      <c r="D1133" s="125">
        <v>7.8</v>
      </c>
      <c r="E1133" s="125">
        <v>0.1</v>
      </c>
      <c r="F1133" s="126">
        <v>2.5000000000000001E-2</v>
      </c>
      <c r="G1133" s="126"/>
      <c r="H1133" s="126">
        <f t="shared" si="17"/>
        <v>0.61546101269605991</v>
      </c>
      <c r="I1133" s="89">
        <v>195.83999999999997</v>
      </c>
      <c r="J1133" s="125">
        <v>67.93020833333334</v>
      </c>
    </row>
    <row r="1134" spans="1:10" x14ac:dyDescent="0.3">
      <c r="A1134" s="88" t="s">
        <v>482</v>
      </c>
      <c r="B1134" s="24">
        <v>39483</v>
      </c>
      <c r="C1134" s="32">
        <v>1.1673074707678128</v>
      </c>
      <c r="D1134" s="125">
        <v>7.6</v>
      </c>
      <c r="E1134" s="125">
        <v>2.5</v>
      </c>
      <c r="F1134" s="126">
        <v>5.5E-2</v>
      </c>
      <c r="G1134" s="126"/>
      <c r="H1134" s="126">
        <f t="shared" si="17"/>
        <v>0.73153336467415264</v>
      </c>
      <c r="I1134" s="89">
        <v>275.22000000000008</v>
      </c>
      <c r="J1134" s="125">
        <v>75.441666666666663</v>
      </c>
    </row>
    <row r="1135" spans="1:10" x14ac:dyDescent="0.3">
      <c r="A1135" s="88" t="s">
        <v>482</v>
      </c>
      <c r="B1135" s="24">
        <v>39484</v>
      </c>
      <c r="C1135" s="32">
        <v>1.8891120903173779</v>
      </c>
      <c r="D1135" s="125">
        <v>9.5</v>
      </c>
      <c r="E1135" s="125">
        <v>4.5</v>
      </c>
      <c r="F1135" s="126">
        <v>10.029999999999999</v>
      </c>
      <c r="G1135" s="126"/>
      <c r="H1135" s="126">
        <f t="shared" si="17"/>
        <v>0.84260555674484927</v>
      </c>
      <c r="I1135" s="89">
        <v>396.36</v>
      </c>
      <c r="J1135" s="125">
        <v>86.836458333333326</v>
      </c>
    </row>
    <row r="1136" spans="1:10" x14ac:dyDescent="0.3">
      <c r="A1136" s="88" t="s">
        <v>482</v>
      </c>
      <c r="B1136" s="24">
        <v>39485</v>
      </c>
      <c r="C1136" s="32">
        <v>5.9409380220033414</v>
      </c>
      <c r="D1136" s="125">
        <v>7.2</v>
      </c>
      <c r="E1136" s="125">
        <v>3.3</v>
      </c>
      <c r="F1136" s="126">
        <v>0</v>
      </c>
      <c r="G1136" s="126"/>
      <c r="H1136" s="126">
        <f t="shared" si="17"/>
        <v>0.77430610767805441</v>
      </c>
      <c r="I1136" s="89">
        <v>342.18000000000006</v>
      </c>
      <c r="J1136" s="125">
        <v>79.191666666666691</v>
      </c>
    </row>
    <row r="1137" spans="1:10" x14ac:dyDescent="0.3">
      <c r="A1137" s="88" t="s">
        <v>482</v>
      </c>
      <c r="B1137" s="24">
        <v>39486</v>
      </c>
      <c r="C1137" s="32">
        <v>6.5340418178676343</v>
      </c>
      <c r="D1137" s="125">
        <v>11.1</v>
      </c>
      <c r="E1137" s="125">
        <v>3.3</v>
      </c>
      <c r="F1137" s="126">
        <v>0</v>
      </c>
      <c r="G1137" s="126"/>
      <c r="H1137" s="126">
        <f t="shared" si="17"/>
        <v>0.77430610767805441</v>
      </c>
      <c r="I1137" s="89">
        <v>149.67000000000002</v>
      </c>
      <c r="J1137" s="125">
        <v>65.585416666666688</v>
      </c>
    </row>
    <row r="1138" spans="1:10" x14ac:dyDescent="0.3">
      <c r="A1138" s="88" t="s">
        <v>482</v>
      </c>
      <c r="B1138" s="24">
        <v>39487</v>
      </c>
      <c r="C1138" s="32">
        <v>7.1730459074938073</v>
      </c>
      <c r="D1138" s="125">
        <v>11.1</v>
      </c>
      <c r="E1138" s="125">
        <v>0.9</v>
      </c>
      <c r="F1138" s="126">
        <v>2.5000000000000001E-2</v>
      </c>
      <c r="G1138" s="126"/>
      <c r="H1138" s="126">
        <f t="shared" si="17"/>
        <v>0.65219842492921176</v>
      </c>
      <c r="I1138" s="89">
        <v>71.910000000000011</v>
      </c>
      <c r="J1138" s="125">
        <v>76.946875000000006</v>
      </c>
    </row>
    <row r="1139" spans="1:10" x14ac:dyDescent="0.3">
      <c r="A1139" s="88" t="s">
        <v>482</v>
      </c>
      <c r="B1139" s="24">
        <v>39488</v>
      </c>
      <c r="C1139" s="32">
        <v>6.9399444156442609</v>
      </c>
      <c r="D1139" s="125">
        <v>12.1</v>
      </c>
      <c r="E1139" s="125">
        <v>1.4</v>
      </c>
      <c r="F1139" s="126">
        <v>0</v>
      </c>
      <c r="G1139" s="126"/>
      <c r="H1139" s="126">
        <f t="shared" si="17"/>
        <v>0.67613129580825593</v>
      </c>
      <c r="I1139" s="89">
        <v>82.08</v>
      </c>
      <c r="J1139" s="125">
        <v>80.159374999999997</v>
      </c>
    </row>
    <row r="1140" spans="1:10" x14ac:dyDescent="0.3">
      <c r="A1140" s="88" t="s">
        <v>482</v>
      </c>
      <c r="B1140" s="24">
        <v>39489</v>
      </c>
      <c r="C1140" s="32">
        <v>7.4511476873451983</v>
      </c>
      <c r="D1140" s="125">
        <v>11.6</v>
      </c>
      <c r="E1140" s="125">
        <v>0.1</v>
      </c>
      <c r="F1140" s="126">
        <v>0</v>
      </c>
      <c r="G1140" s="126"/>
      <c r="H1140" s="126">
        <f t="shared" si="17"/>
        <v>0.61546101269605991</v>
      </c>
      <c r="I1140" s="89">
        <v>75.87</v>
      </c>
      <c r="J1140" s="125">
        <v>82</v>
      </c>
    </row>
    <row r="1141" spans="1:10" x14ac:dyDescent="0.3">
      <c r="A1141" s="88" t="s">
        <v>482</v>
      </c>
      <c r="B1141" s="24">
        <v>39490</v>
      </c>
      <c r="C1141" s="32">
        <v>1.1745075168481078</v>
      </c>
      <c r="D1141" s="125">
        <v>5.5</v>
      </c>
      <c r="E1141" s="125">
        <v>1.7</v>
      </c>
      <c r="F1141" s="126">
        <v>9.5000000000000001E-2</v>
      </c>
      <c r="G1141" s="126"/>
      <c r="H1141" s="126">
        <f t="shared" si="17"/>
        <v>0.69086052853268343</v>
      </c>
      <c r="I1141" s="89">
        <v>132.12</v>
      </c>
      <c r="J1141" s="125">
        <v>91.746875000000003</v>
      </c>
    </row>
    <row r="1142" spans="1:10" x14ac:dyDescent="0.3">
      <c r="A1142" s="88" t="s">
        <v>482</v>
      </c>
      <c r="B1142" s="24">
        <v>39491</v>
      </c>
      <c r="C1142" s="32">
        <v>5.6763363285525035</v>
      </c>
      <c r="D1142" s="125">
        <v>5.3</v>
      </c>
      <c r="E1142" s="125">
        <v>0.3</v>
      </c>
      <c r="F1142" s="126">
        <v>0</v>
      </c>
      <c r="G1142" s="126"/>
      <c r="H1142" s="126">
        <f t="shared" si="17"/>
        <v>0.62446951587741306</v>
      </c>
      <c r="I1142" s="89">
        <v>106.10999999999999</v>
      </c>
      <c r="J1142" s="125">
        <v>75.506249999999994</v>
      </c>
    </row>
    <row r="1143" spans="1:10" x14ac:dyDescent="0.3">
      <c r="A1143" s="88" t="s">
        <v>482</v>
      </c>
      <c r="B1143" s="24">
        <v>39492</v>
      </c>
      <c r="C1143" s="32">
        <v>0.7470047808305974</v>
      </c>
      <c r="D1143" s="125">
        <v>2.7</v>
      </c>
      <c r="E1143" s="125">
        <v>1.1000000000000001</v>
      </c>
      <c r="F1143" s="126">
        <v>0</v>
      </c>
      <c r="G1143" s="126"/>
      <c r="H1143" s="126">
        <f t="shared" si="17"/>
        <v>0.66168020278676021</v>
      </c>
      <c r="I1143" s="89">
        <v>91.170000000000016</v>
      </c>
      <c r="J1143" s="125">
        <v>91.102083333333326</v>
      </c>
    </row>
    <row r="1144" spans="1:10" x14ac:dyDescent="0.3">
      <c r="A1144" s="88" t="s">
        <v>482</v>
      </c>
      <c r="B1144" s="24">
        <v>39493</v>
      </c>
      <c r="C1144" s="32">
        <v>9.6201615690340425</v>
      </c>
      <c r="D1144" s="125">
        <v>4</v>
      </c>
      <c r="E1144" s="125">
        <v>0</v>
      </c>
      <c r="F1144" s="126">
        <v>0</v>
      </c>
      <c r="G1144" s="126"/>
      <c r="H1144" s="126">
        <f t="shared" si="17"/>
        <v>0.61099999999999999</v>
      </c>
      <c r="I1144" s="89">
        <v>188.73000000000002</v>
      </c>
      <c r="J1144" s="125">
        <v>78.13333333333334</v>
      </c>
    </row>
    <row r="1145" spans="1:10" x14ac:dyDescent="0.3">
      <c r="A1145" s="88" t="s">
        <v>482</v>
      </c>
      <c r="B1145" s="24">
        <v>39494</v>
      </c>
      <c r="C1145" s="32">
        <v>9.7650624963999775</v>
      </c>
      <c r="D1145" s="125">
        <v>6.2</v>
      </c>
      <c r="E1145" s="125">
        <v>0</v>
      </c>
      <c r="F1145" s="126">
        <v>0</v>
      </c>
      <c r="G1145" s="126"/>
      <c r="H1145" s="126">
        <f t="shared" si="17"/>
        <v>0.61099999999999999</v>
      </c>
      <c r="I1145" s="89">
        <v>75.149999999999977</v>
      </c>
      <c r="J1145" s="125">
        <v>90.405208333333334</v>
      </c>
    </row>
    <row r="1146" spans="1:10" x14ac:dyDescent="0.3">
      <c r="A1146" s="88" t="s">
        <v>482</v>
      </c>
      <c r="B1146" s="24">
        <v>39495</v>
      </c>
      <c r="C1146" s="32">
        <v>8.0235513507286438</v>
      </c>
      <c r="D1146" s="125">
        <v>5.0999999999999996</v>
      </c>
      <c r="E1146" s="125">
        <v>0.1</v>
      </c>
      <c r="F1146" s="126">
        <v>0</v>
      </c>
      <c r="G1146" s="126"/>
      <c r="H1146" s="126">
        <f t="shared" si="17"/>
        <v>0.61546101269605991</v>
      </c>
      <c r="I1146" s="89">
        <v>272.79000000000008</v>
      </c>
      <c r="J1146" s="125">
        <v>71.652083333333351</v>
      </c>
    </row>
    <row r="1147" spans="1:10" x14ac:dyDescent="0.3">
      <c r="A1147" s="88" t="s">
        <v>482</v>
      </c>
      <c r="B1147" s="24">
        <v>39496</v>
      </c>
      <c r="C1147" s="32">
        <v>0.80550515523299349</v>
      </c>
      <c r="D1147" s="125">
        <v>3.9</v>
      </c>
      <c r="E1147" s="125">
        <v>0.8</v>
      </c>
      <c r="F1147" s="126">
        <v>0</v>
      </c>
      <c r="G1147" s="126"/>
      <c r="H1147" s="126">
        <f t="shared" si="17"/>
        <v>0.64750272279315535</v>
      </c>
      <c r="I1147" s="89">
        <v>415.71000000000004</v>
      </c>
      <c r="J1147" s="125">
        <v>88.866666666666674</v>
      </c>
    </row>
    <row r="1148" spans="1:10" x14ac:dyDescent="0.3">
      <c r="A1148" s="88" t="s">
        <v>482</v>
      </c>
      <c r="B1148" s="24">
        <v>39497</v>
      </c>
      <c r="C1148" s="32">
        <v>3.4047217902194573</v>
      </c>
      <c r="D1148" s="125">
        <v>6.2</v>
      </c>
      <c r="E1148" s="125">
        <v>0.4</v>
      </c>
      <c r="F1148" s="126">
        <v>0</v>
      </c>
      <c r="G1148" s="126"/>
      <c r="H1148" s="126">
        <f t="shared" si="17"/>
        <v>0.62901732612537431</v>
      </c>
      <c r="I1148" s="89">
        <v>211.41</v>
      </c>
      <c r="J1148" s="125">
        <v>85.503124999999997</v>
      </c>
    </row>
    <row r="1149" spans="1:10" x14ac:dyDescent="0.3">
      <c r="A1149" s="88" t="s">
        <v>482</v>
      </c>
      <c r="B1149" s="24">
        <v>39498</v>
      </c>
      <c r="C1149" s="32">
        <v>4.2939274811358787</v>
      </c>
      <c r="D1149" s="125">
        <v>6.7</v>
      </c>
      <c r="E1149" s="125">
        <v>0.1</v>
      </c>
      <c r="F1149" s="126">
        <v>0</v>
      </c>
      <c r="G1149" s="126"/>
      <c r="H1149" s="126">
        <f t="shared" si="17"/>
        <v>0.61546101269605991</v>
      </c>
      <c r="I1149" s="89">
        <v>138.95999999999992</v>
      </c>
      <c r="J1149" s="125">
        <v>81.130208333333357</v>
      </c>
    </row>
    <row r="1150" spans="1:10" x14ac:dyDescent="0.3">
      <c r="A1150" s="88" t="s">
        <v>482</v>
      </c>
      <c r="B1150" s="24">
        <v>39499</v>
      </c>
      <c r="C1150" s="32">
        <v>4.420828293301077</v>
      </c>
      <c r="D1150" s="125">
        <v>9.1</v>
      </c>
      <c r="E1150" s="125">
        <v>2.1</v>
      </c>
      <c r="F1150" s="126">
        <v>0</v>
      </c>
      <c r="G1150" s="126"/>
      <c r="H1150" s="126">
        <f t="shared" si="17"/>
        <v>0.7109401060616396</v>
      </c>
      <c r="I1150" s="89">
        <v>304.10999999999996</v>
      </c>
      <c r="J1150" s="125">
        <v>80.115624999999994</v>
      </c>
    </row>
    <row r="1151" spans="1:10" x14ac:dyDescent="0.3">
      <c r="A1151" s="88" t="s">
        <v>482</v>
      </c>
      <c r="B1151" s="24">
        <v>39500</v>
      </c>
      <c r="C1151" s="32">
        <v>0.7236046310696389</v>
      </c>
      <c r="D1151" s="125">
        <v>10.4</v>
      </c>
      <c r="E1151" s="125">
        <v>8.9</v>
      </c>
      <c r="F1151" s="126">
        <v>0.36</v>
      </c>
      <c r="G1151" s="126"/>
      <c r="H1151" s="126">
        <f t="shared" si="17"/>
        <v>1.1407010860938473</v>
      </c>
      <c r="I1151" s="89">
        <v>628.29</v>
      </c>
      <c r="J1151" s="125">
        <v>80.77395833333334</v>
      </c>
    </row>
    <row r="1152" spans="1:10" x14ac:dyDescent="0.3">
      <c r="A1152" s="88" t="s">
        <v>482</v>
      </c>
      <c r="B1152" s="24">
        <v>39501</v>
      </c>
      <c r="C1152" s="32">
        <v>7.3593470998214388</v>
      </c>
      <c r="D1152" s="125">
        <v>10.5</v>
      </c>
      <c r="E1152" s="125">
        <v>5.8</v>
      </c>
      <c r="F1152" s="126">
        <v>0.7</v>
      </c>
      <c r="G1152" s="126"/>
      <c r="H1152" s="126">
        <f t="shared" si="17"/>
        <v>0.92254223518646628</v>
      </c>
      <c r="I1152" s="89">
        <v>459.89999999999986</v>
      </c>
      <c r="J1152" s="125">
        <v>66.754166666666663</v>
      </c>
    </row>
    <row r="1153" spans="1:10" x14ac:dyDescent="0.3">
      <c r="A1153" s="88" t="s">
        <v>482</v>
      </c>
      <c r="B1153" s="24">
        <v>39502</v>
      </c>
      <c r="C1153" s="32">
        <v>2.651416969068602</v>
      </c>
      <c r="D1153" s="125">
        <v>9.5</v>
      </c>
      <c r="E1153" s="125">
        <v>7</v>
      </c>
      <c r="F1153" s="126">
        <v>0</v>
      </c>
      <c r="G1153" s="126"/>
      <c r="H1153" s="126">
        <f t="shared" si="17"/>
        <v>1.0021864739217894</v>
      </c>
      <c r="I1153" s="89">
        <v>265.50000000000011</v>
      </c>
      <c r="J1153" s="125">
        <v>76.366666666666703</v>
      </c>
    </row>
    <row r="1154" spans="1:10" x14ac:dyDescent="0.3">
      <c r="A1154" s="88" t="s">
        <v>482</v>
      </c>
      <c r="B1154" s="24">
        <v>39503</v>
      </c>
      <c r="C1154" s="32">
        <v>8.8236564714014172</v>
      </c>
      <c r="D1154" s="125">
        <v>9.6</v>
      </c>
      <c r="E1154" s="125">
        <v>3.8</v>
      </c>
      <c r="F1154" s="126">
        <v>2.2749999999999999</v>
      </c>
      <c r="G1154" s="126"/>
      <c r="H1154" s="126">
        <f t="shared" si="17"/>
        <v>0.80214634758046521</v>
      </c>
      <c r="I1154" s="89">
        <v>276.48</v>
      </c>
      <c r="J1154" s="125">
        <v>73.801041666666706</v>
      </c>
    </row>
    <row r="1155" spans="1:10" x14ac:dyDescent="0.3">
      <c r="A1155" s="88" t="s">
        <v>482</v>
      </c>
      <c r="B1155" s="24">
        <v>39504</v>
      </c>
      <c r="C1155" s="32">
        <v>2.3976153447382065</v>
      </c>
      <c r="D1155" s="125">
        <v>13.1</v>
      </c>
      <c r="E1155" s="125">
        <v>2.9</v>
      </c>
      <c r="F1155" s="126">
        <v>1.675</v>
      </c>
      <c r="G1155" s="126"/>
      <c r="H1155" s="126">
        <f t="shared" si="17"/>
        <v>0.75265154972421666</v>
      </c>
      <c r="I1155" s="89">
        <v>350.6400000000001</v>
      </c>
      <c r="J1155" s="125">
        <v>76.696875000000006</v>
      </c>
    </row>
    <row r="1156" spans="1:10" x14ac:dyDescent="0.3">
      <c r="A1156" s="88" t="s">
        <v>482</v>
      </c>
      <c r="B1156" s="24">
        <v>39505</v>
      </c>
      <c r="C1156" s="32">
        <v>5.4153346581418127</v>
      </c>
      <c r="D1156" s="125">
        <v>9.5</v>
      </c>
      <c r="E1156" s="125">
        <v>4.2</v>
      </c>
      <c r="F1156" s="126">
        <v>0</v>
      </c>
      <c r="G1156" s="126"/>
      <c r="H1156" s="126">
        <f t="shared" ref="H1156:H1219" si="18">0.611*EXP((17.27*E1156)/(E1156+237.3))</f>
        <v>0.82505065566727931</v>
      </c>
      <c r="I1156" s="89">
        <v>536.39999999999964</v>
      </c>
      <c r="J1156" s="125">
        <v>67.446875000000006</v>
      </c>
    </row>
    <row r="1157" spans="1:10" x14ac:dyDescent="0.3">
      <c r="A1157" s="88" t="s">
        <v>482</v>
      </c>
      <c r="B1157" s="24">
        <v>39506</v>
      </c>
      <c r="C1157" s="32">
        <v>6.3324405276193776</v>
      </c>
      <c r="D1157" s="125">
        <v>9.3000000000000007</v>
      </c>
      <c r="E1157" s="125">
        <v>3.4</v>
      </c>
      <c r="F1157" s="126">
        <v>0</v>
      </c>
      <c r="G1157" s="126"/>
      <c r="H1157" s="126">
        <f t="shared" si="18"/>
        <v>0.77980491618110859</v>
      </c>
      <c r="I1157" s="89">
        <v>247.41000000000008</v>
      </c>
      <c r="J1157" s="125">
        <v>71.170833333333363</v>
      </c>
    </row>
    <row r="1158" spans="1:10" x14ac:dyDescent="0.3">
      <c r="A1158" s="88" t="s">
        <v>482</v>
      </c>
      <c r="B1158" s="24">
        <v>39507</v>
      </c>
      <c r="C1158" s="32">
        <v>5.5728356661482632</v>
      </c>
      <c r="D1158" s="125">
        <v>9.8000000000000007</v>
      </c>
      <c r="E1158" s="125">
        <v>3.3</v>
      </c>
      <c r="F1158" s="126">
        <v>3.57</v>
      </c>
      <c r="G1158" s="126"/>
      <c r="H1158" s="126">
        <f t="shared" si="18"/>
        <v>0.77430610767805441</v>
      </c>
      <c r="I1158" s="89">
        <v>215.91000000000003</v>
      </c>
      <c r="J1158" s="125">
        <v>74.789583333333326</v>
      </c>
    </row>
    <row r="1159" spans="1:10" x14ac:dyDescent="0.3">
      <c r="A1159" s="88" t="s">
        <v>482</v>
      </c>
      <c r="B1159" s="24">
        <v>39508</v>
      </c>
      <c r="C1159" s="32">
        <v>2.7009172858706298</v>
      </c>
      <c r="D1159" s="125">
        <v>9.1</v>
      </c>
      <c r="E1159" s="125">
        <v>2.1</v>
      </c>
      <c r="F1159" s="126">
        <v>12.815</v>
      </c>
      <c r="G1159" s="126"/>
      <c r="H1159" s="126">
        <f t="shared" si="18"/>
        <v>0.7109401060616396</v>
      </c>
      <c r="I1159" s="89">
        <v>776.16000000000031</v>
      </c>
      <c r="J1159" s="125">
        <v>83.407291666666694</v>
      </c>
    </row>
    <row r="1160" spans="1:10" x14ac:dyDescent="0.3">
      <c r="A1160" s="88" t="s">
        <v>482</v>
      </c>
      <c r="B1160" s="24">
        <v>39509</v>
      </c>
      <c r="C1160" s="32">
        <v>5.0922325902885781</v>
      </c>
      <c r="D1160" s="125">
        <v>10</v>
      </c>
      <c r="E1160" s="125">
        <v>3.9</v>
      </c>
      <c r="F1160" s="126">
        <v>4.16</v>
      </c>
      <c r="G1160" s="126"/>
      <c r="H1160" s="126">
        <f t="shared" si="18"/>
        <v>0.80781918513419737</v>
      </c>
      <c r="I1160" s="89">
        <v>700.74000000000035</v>
      </c>
      <c r="J1160" s="125">
        <v>75.793750000000003</v>
      </c>
    </row>
    <row r="1161" spans="1:10" x14ac:dyDescent="0.3">
      <c r="A1161" s="88" t="s">
        <v>482</v>
      </c>
      <c r="B1161" s="24">
        <v>39510</v>
      </c>
      <c r="C1161" s="32">
        <v>6.3486406313000412</v>
      </c>
      <c r="D1161" s="125">
        <v>8.6999999999999993</v>
      </c>
      <c r="E1161" s="125">
        <v>1.1000000000000001</v>
      </c>
      <c r="F1161" s="126">
        <v>0.57499999999999996</v>
      </c>
      <c r="G1161" s="126"/>
      <c r="H1161" s="126">
        <f t="shared" si="18"/>
        <v>0.66168020278676021</v>
      </c>
      <c r="I1161" s="89">
        <v>459.44999999999982</v>
      </c>
      <c r="J1161" s="125">
        <v>72.411458333333329</v>
      </c>
    </row>
    <row r="1162" spans="1:10" x14ac:dyDescent="0.3">
      <c r="A1162" s="88" t="s">
        <v>482</v>
      </c>
      <c r="B1162" s="24">
        <v>39511</v>
      </c>
      <c r="C1162" s="32">
        <v>8.381753643223318</v>
      </c>
      <c r="D1162" s="125">
        <v>6.7</v>
      </c>
      <c r="E1162" s="125">
        <v>0.1</v>
      </c>
      <c r="F1162" s="126">
        <v>0</v>
      </c>
      <c r="G1162" s="126"/>
      <c r="H1162" s="126">
        <f t="shared" si="18"/>
        <v>0.61546101269605991</v>
      </c>
      <c r="I1162" s="89">
        <v>429.93000000000018</v>
      </c>
      <c r="J1162" s="125">
        <v>70.205208333333331</v>
      </c>
    </row>
    <row r="1163" spans="1:10" x14ac:dyDescent="0.3">
      <c r="A1163" s="88" t="s">
        <v>482</v>
      </c>
      <c r="B1163" s="24">
        <v>39512</v>
      </c>
      <c r="C1163" s="32">
        <v>12.923182708369334</v>
      </c>
      <c r="D1163" s="125">
        <v>4.8</v>
      </c>
      <c r="E1163" s="125">
        <v>0.1</v>
      </c>
      <c r="F1163" s="126">
        <v>0</v>
      </c>
      <c r="G1163" s="126"/>
      <c r="H1163" s="126">
        <f t="shared" si="18"/>
        <v>0.61546101269605991</v>
      </c>
      <c r="I1163" s="89">
        <v>324.4500000000001</v>
      </c>
      <c r="J1163" s="125">
        <v>63.315624999999997</v>
      </c>
    </row>
    <row r="1164" spans="1:10" x14ac:dyDescent="0.3">
      <c r="A1164" s="88" t="s">
        <v>482</v>
      </c>
      <c r="B1164" s="24">
        <v>39513</v>
      </c>
      <c r="C1164" s="32">
        <v>2.5011160071424459</v>
      </c>
      <c r="D1164" s="125">
        <v>6.2</v>
      </c>
      <c r="E1164" s="125">
        <v>0.8</v>
      </c>
      <c r="F1164" s="126">
        <v>0.42</v>
      </c>
      <c r="G1164" s="126"/>
      <c r="H1164" s="126">
        <f t="shared" si="18"/>
        <v>0.64750272279315535</v>
      </c>
      <c r="I1164" s="89">
        <v>407.43</v>
      </c>
      <c r="J1164" s="125">
        <v>73.8489583333333</v>
      </c>
    </row>
    <row r="1165" spans="1:10" x14ac:dyDescent="0.3">
      <c r="A1165" s="88" t="s">
        <v>482</v>
      </c>
      <c r="B1165" s="24">
        <v>39514</v>
      </c>
      <c r="C1165" s="32">
        <v>2.7639176890732098</v>
      </c>
      <c r="D1165" s="125">
        <v>8.6</v>
      </c>
      <c r="E1165" s="125">
        <v>5.8</v>
      </c>
      <c r="F1165" s="126">
        <v>1.45</v>
      </c>
      <c r="G1165" s="126"/>
      <c r="H1165" s="126">
        <f t="shared" si="18"/>
        <v>0.92254223518646628</v>
      </c>
      <c r="I1165" s="89">
        <v>190.70999999999992</v>
      </c>
      <c r="J1165" s="125">
        <v>87.746875000000003</v>
      </c>
    </row>
    <row r="1166" spans="1:10" x14ac:dyDescent="0.3">
      <c r="A1166" s="88" t="s">
        <v>482</v>
      </c>
      <c r="B1166" s="24">
        <v>39515</v>
      </c>
      <c r="C1166" s="32">
        <v>9.7992627152813778</v>
      </c>
      <c r="D1166" s="125">
        <v>10.6</v>
      </c>
      <c r="E1166" s="125">
        <v>5.4</v>
      </c>
      <c r="F1166" s="126">
        <v>0.12</v>
      </c>
      <c r="G1166" s="126"/>
      <c r="H1166" s="126">
        <f t="shared" si="18"/>
        <v>0.8972630930441321</v>
      </c>
      <c r="I1166" s="89">
        <v>155.79000000000002</v>
      </c>
      <c r="J1166" s="125">
        <v>74.701041666666669</v>
      </c>
    </row>
    <row r="1167" spans="1:10" x14ac:dyDescent="0.3">
      <c r="A1167" s="88" t="s">
        <v>482</v>
      </c>
      <c r="B1167" s="24">
        <v>39516</v>
      </c>
      <c r="C1167" s="32">
        <v>6.781543401877772</v>
      </c>
      <c r="D1167" s="125">
        <v>12</v>
      </c>
      <c r="E1167" s="125">
        <v>4.8</v>
      </c>
      <c r="F1167" s="126">
        <v>0</v>
      </c>
      <c r="G1167" s="126"/>
      <c r="H1167" s="126">
        <f t="shared" si="18"/>
        <v>0.86048907931200158</v>
      </c>
      <c r="I1167" s="89">
        <v>247.68</v>
      </c>
      <c r="J1167" s="125">
        <v>62.44166666666667</v>
      </c>
    </row>
    <row r="1168" spans="1:10" x14ac:dyDescent="0.3">
      <c r="A1168" s="88" t="s">
        <v>482</v>
      </c>
      <c r="B1168" s="24">
        <v>39517</v>
      </c>
      <c r="C1168" s="32">
        <v>10.206965324578078</v>
      </c>
      <c r="D1168" s="125">
        <v>13.4</v>
      </c>
      <c r="E1168" s="125">
        <v>6</v>
      </c>
      <c r="F1168" s="126">
        <v>4.4999999999999998E-2</v>
      </c>
      <c r="G1168" s="126"/>
      <c r="H1168" s="126">
        <f t="shared" si="18"/>
        <v>0.93541559507788385</v>
      </c>
      <c r="I1168" s="89">
        <v>250.46999999999994</v>
      </c>
      <c r="J1168" s="125">
        <v>57.521875000000001</v>
      </c>
    </row>
    <row r="1169" spans="1:10" x14ac:dyDescent="0.3">
      <c r="A1169" s="88" t="s">
        <v>482</v>
      </c>
      <c r="B1169" s="24">
        <v>39518</v>
      </c>
      <c r="C1169" s="32">
        <v>7.088445366050343</v>
      </c>
      <c r="D1169" s="125">
        <v>11</v>
      </c>
      <c r="E1169" s="125">
        <v>6.4</v>
      </c>
      <c r="F1169" s="126">
        <v>1.615</v>
      </c>
      <c r="G1169" s="126"/>
      <c r="H1169" s="126">
        <f t="shared" si="18"/>
        <v>0.96163811340513428</v>
      </c>
      <c r="I1169" s="89">
        <v>343.53000000000009</v>
      </c>
      <c r="J1169" s="125">
        <v>63.59375</v>
      </c>
    </row>
    <row r="1170" spans="1:10" x14ac:dyDescent="0.3">
      <c r="A1170" s="88" t="s">
        <v>482</v>
      </c>
      <c r="B1170" s="24">
        <v>39519</v>
      </c>
      <c r="C1170" s="32">
        <v>7.3386469673405914</v>
      </c>
      <c r="D1170" s="125">
        <v>9.9</v>
      </c>
      <c r="E1170" s="125">
        <v>1.1000000000000001</v>
      </c>
      <c r="F1170" s="126">
        <v>7.31</v>
      </c>
      <c r="G1170" s="126"/>
      <c r="H1170" s="126">
        <f t="shared" si="18"/>
        <v>0.66168020278676021</v>
      </c>
      <c r="I1170" s="89">
        <v>665.99999999999966</v>
      </c>
      <c r="J1170" s="125">
        <v>74.915625000000006</v>
      </c>
    </row>
    <row r="1171" spans="1:10" x14ac:dyDescent="0.3">
      <c r="A1171" s="88" t="s">
        <v>482</v>
      </c>
      <c r="B1171" s="24">
        <v>39520</v>
      </c>
      <c r="C1171" s="32">
        <v>7.4430476355048674</v>
      </c>
      <c r="D1171" s="125">
        <v>9.6</v>
      </c>
      <c r="E1171" s="125">
        <v>2.4</v>
      </c>
      <c r="F1171" s="126">
        <v>2.0750000000000002</v>
      </c>
      <c r="G1171" s="126"/>
      <c r="H1171" s="126">
        <f t="shared" si="18"/>
        <v>0.7263362808555901</v>
      </c>
      <c r="I1171" s="89">
        <v>619.73999999999967</v>
      </c>
      <c r="J1171" s="125">
        <v>69.563541666666666</v>
      </c>
    </row>
    <row r="1172" spans="1:10" x14ac:dyDescent="0.3">
      <c r="A1172" s="88" t="s">
        <v>482</v>
      </c>
      <c r="B1172" s="24">
        <v>39521</v>
      </c>
      <c r="C1172" s="32">
        <v>6.4440412418639479</v>
      </c>
      <c r="D1172" s="125">
        <v>10</v>
      </c>
      <c r="E1172" s="125">
        <v>2.4</v>
      </c>
      <c r="F1172" s="126">
        <v>2.0249999999999999</v>
      </c>
      <c r="G1172" s="126"/>
      <c r="H1172" s="126">
        <f t="shared" si="18"/>
        <v>0.7263362808555901</v>
      </c>
      <c r="I1172" s="89">
        <v>314.63999999999993</v>
      </c>
      <c r="J1172" s="125">
        <v>75.316666666666663</v>
      </c>
    </row>
    <row r="1173" spans="1:10" x14ac:dyDescent="0.3">
      <c r="A1173" s="88" t="s">
        <v>482</v>
      </c>
      <c r="B1173" s="24">
        <v>39522</v>
      </c>
      <c r="C1173" s="32">
        <v>11.989876735211107</v>
      </c>
      <c r="D1173" s="125">
        <v>12.3</v>
      </c>
      <c r="E1173" s="125">
        <v>0.8</v>
      </c>
      <c r="F1173" s="126">
        <v>0</v>
      </c>
      <c r="G1173" s="126"/>
      <c r="H1173" s="126">
        <f t="shared" si="18"/>
        <v>0.64750272279315535</v>
      </c>
      <c r="I1173" s="89">
        <v>156.51</v>
      </c>
      <c r="J1173" s="125">
        <v>67.84270833333332</v>
      </c>
    </row>
    <row r="1174" spans="1:10" x14ac:dyDescent="0.3">
      <c r="A1174" s="88" t="s">
        <v>482</v>
      </c>
      <c r="B1174" s="24">
        <v>39523</v>
      </c>
      <c r="C1174" s="32">
        <v>2.2518144116122345</v>
      </c>
      <c r="D1174" s="125">
        <v>6.5</v>
      </c>
      <c r="E1174" s="125">
        <v>3.5</v>
      </c>
      <c r="F1174" s="126">
        <v>11.975</v>
      </c>
      <c r="G1174" s="126"/>
      <c r="H1174" s="126">
        <f t="shared" si="18"/>
        <v>0.78533815916549388</v>
      </c>
      <c r="I1174" s="89">
        <v>181.89000000000007</v>
      </c>
      <c r="J1174" s="125">
        <v>90.364583333333329</v>
      </c>
    </row>
    <row r="1175" spans="1:10" x14ac:dyDescent="0.3">
      <c r="A1175" s="88" t="s">
        <v>482</v>
      </c>
      <c r="B1175" s="24">
        <v>39524</v>
      </c>
      <c r="C1175" s="32">
        <v>9.4509604861471121</v>
      </c>
      <c r="D1175" s="125">
        <v>6.3</v>
      </c>
      <c r="E1175" s="125">
        <v>0.5</v>
      </c>
      <c r="F1175" s="126">
        <v>0.39</v>
      </c>
      <c r="G1175" s="126"/>
      <c r="H1175" s="126">
        <f t="shared" si="18"/>
        <v>0.63359438986733596</v>
      </c>
      <c r="I1175" s="89">
        <v>489.5999999999998</v>
      </c>
      <c r="J1175" s="125">
        <v>74.732291666666683</v>
      </c>
    </row>
    <row r="1176" spans="1:10" x14ac:dyDescent="0.3">
      <c r="A1176" s="88" t="s">
        <v>482</v>
      </c>
      <c r="B1176" s="24">
        <v>39525</v>
      </c>
      <c r="C1176" s="32">
        <v>7.0065448418869885</v>
      </c>
      <c r="D1176" s="125">
        <v>5.4</v>
      </c>
      <c r="E1176" s="125">
        <v>0</v>
      </c>
      <c r="F1176" s="126">
        <v>3.0950000000000002</v>
      </c>
      <c r="G1176" s="126"/>
      <c r="H1176" s="126">
        <f t="shared" si="18"/>
        <v>0.61099999999999999</v>
      </c>
      <c r="I1176" s="89">
        <v>410.93999999999994</v>
      </c>
      <c r="J1176" s="125">
        <v>79.091666666666669</v>
      </c>
    </row>
    <row r="1177" spans="1:10" x14ac:dyDescent="0.3">
      <c r="A1177" s="88" t="s">
        <v>482</v>
      </c>
      <c r="B1177" s="24">
        <v>39526</v>
      </c>
      <c r="C1177" s="32">
        <v>11.292372271182535</v>
      </c>
      <c r="D1177" s="125">
        <v>6.9</v>
      </c>
      <c r="E1177" s="125">
        <v>0.7</v>
      </c>
      <c r="F1177" s="126">
        <v>1.375</v>
      </c>
      <c r="G1177" s="126"/>
      <c r="H1177" s="126">
        <f t="shared" si="18"/>
        <v>0.64283692539220627</v>
      </c>
      <c r="I1177" s="89">
        <v>351</v>
      </c>
      <c r="J1177" s="125">
        <v>76.373958333333348</v>
      </c>
    </row>
    <row r="1178" spans="1:10" x14ac:dyDescent="0.3">
      <c r="A1178" s="88" t="s">
        <v>482</v>
      </c>
      <c r="B1178" s="24">
        <v>39527</v>
      </c>
      <c r="C1178" s="32">
        <v>6.9444444444444446</v>
      </c>
      <c r="D1178" s="125">
        <v>5.8</v>
      </c>
      <c r="E1178" s="125">
        <v>0</v>
      </c>
      <c r="F1178" s="126">
        <v>0.52</v>
      </c>
      <c r="G1178" s="126"/>
      <c r="H1178" s="126">
        <f t="shared" si="18"/>
        <v>0.61099999999999999</v>
      </c>
      <c r="I1178" s="89">
        <v>351.45000000000016</v>
      </c>
      <c r="J1178" s="125">
        <v>82.566666666666677</v>
      </c>
    </row>
    <row r="1179" spans="1:10" x14ac:dyDescent="0.3">
      <c r="A1179" s="88" t="s">
        <v>482</v>
      </c>
      <c r="B1179" s="24">
        <v>39528</v>
      </c>
      <c r="C1179" s="32">
        <v>6.619542365071136</v>
      </c>
      <c r="D1179" s="125">
        <v>6.4</v>
      </c>
      <c r="E1179" s="125">
        <v>1.3</v>
      </c>
      <c r="F1179" s="126">
        <v>10.1</v>
      </c>
      <c r="G1179" s="126"/>
      <c r="H1179" s="126">
        <f t="shared" si="18"/>
        <v>0.67128358518521281</v>
      </c>
      <c r="I1179" s="89">
        <v>349.56000000000006</v>
      </c>
      <c r="J1179" s="125">
        <v>88.1822916666667</v>
      </c>
    </row>
    <row r="1180" spans="1:10" x14ac:dyDescent="0.3">
      <c r="A1180" s="88" t="s">
        <v>482</v>
      </c>
      <c r="B1180" s="24">
        <v>39529</v>
      </c>
      <c r="C1180" s="32">
        <v>2.718917401071367</v>
      </c>
      <c r="D1180" s="125">
        <v>3.7</v>
      </c>
      <c r="E1180" s="125">
        <v>0</v>
      </c>
      <c r="F1180" s="126">
        <v>6.779999999999994</v>
      </c>
      <c r="G1180" s="126"/>
      <c r="H1180" s="126">
        <f t="shared" si="18"/>
        <v>0.61099999999999999</v>
      </c>
      <c r="I1180" s="89">
        <v>401.03999999999974</v>
      </c>
      <c r="J1180" s="125">
        <v>94.978125000000006</v>
      </c>
    </row>
    <row r="1181" spans="1:10" x14ac:dyDescent="0.3">
      <c r="A1181" s="88" t="s">
        <v>482</v>
      </c>
      <c r="B1181" s="24">
        <v>39530</v>
      </c>
      <c r="C1181" s="32">
        <v>13.740387938482806</v>
      </c>
      <c r="D1181" s="125">
        <v>3.7</v>
      </c>
      <c r="E1181" s="125">
        <v>0.1</v>
      </c>
      <c r="F1181" s="126">
        <v>6.5000000000000002E-2</v>
      </c>
      <c r="G1181" s="126"/>
      <c r="H1181" s="126">
        <f t="shared" si="18"/>
        <v>0.61546101269605991</v>
      </c>
      <c r="I1181" s="89">
        <v>194.76</v>
      </c>
      <c r="J1181" s="125">
        <v>82.745833333333323</v>
      </c>
    </row>
    <row r="1182" spans="1:10" x14ac:dyDescent="0.3">
      <c r="A1182" s="88" t="s">
        <v>482</v>
      </c>
      <c r="B1182" s="24">
        <v>39531</v>
      </c>
      <c r="C1182" s="32">
        <v>10.543567478831864</v>
      </c>
      <c r="D1182" s="125">
        <v>4.5999999999999996</v>
      </c>
      <c r="E1182" s="125">
        <v>0</v>
      </c>
      <c r="F1182" s="126">
        <v>0.15</v>
      </c>
      <c r="G1182" s="126"/>
      <c r="H1182" s="126">
        <f t="shared" si="18"/>
        <v>0.61099999999999999</v>
      </c>
      <c r="I1182" s="89">
        <v>210.60000000000002</v>
      </c>
      <c r="J1182" s="125">
        <v>82.084374999999994</v>
      </c>
    </row>
    <row r="1183" spans="1:10" x14ac:dyDescent="0.3">
      <c r="A1183" s="88" t="s">
        <v>482</v>
      </c>
      <c r="B1183" s="24">
        <v>39532</v>
      </c>
      <c r="C1183" s="32">
        <v>8.5626548009907264</v>
      </c>
      <c r="D1183" s="125">
        <v>4.4000000000000004</v>
      </c>
      <c r="E1183" s="125">
        <v>0</v>
      </c>
      <c r="F1183" s="126">
        <v>0.38</v>
      </c>
      <c r="G1183" s="126"/>
      <c r="H1183" s="126">
        <f t="shared" si="18"/>
        <v>0.61099999999999999</v>
      </c>
      <c r="I1183" s="89">
        <v>423.27</v>
      </c>
      <c r="J1183" s="125">
        <v>80.86041666666668</v>
      </c>
    </row>
    <row r="1184" spans="1:10" x14ac:dyDescent="0.3">
      <c r="A1184" s="88" t="s">
        <v>482</v>
      </c>
      <c r="B1184" s="24">
        <v>39533</v>
      </c>
      <c r="C1184" s="32">
        <v>7.5051480329474103</v>
      </c>
      <c r="D1184" s="125">
        <v>5.5</v>
      </c>
      <c r="E1184" s="125">
        <v>0</v>
      </c>
      <c r="F1184" s="126">
        <v>2.6</v>
      </c>
      <c r="G1184" s="126"/>
      <c r="H1184" s="126">
        <f t="shared" si="18"/>
        <v>0.61099999999999999</v>
      </c>
      <c r="I1184" s="89">
        <v>343.44</v>
      </c>
      <c r="J1184" s="125">
        <v>84.707291666666663</v>
      </c>
    </row>
    <row r="1185" spans="1:10" x14ac:dyDescent="0.3">
      <c r="A1185" s="88" t="s">
        <v>482</v>
      </c>
      <c r="B1185" s="24">
        <v>39534</v>
      </c>
      <c r="C1185" s="32">
        <v>12.325578883704855</v>
      </c>
      <c r="D1185" s="125">
        <v>7.7</v>
      </c>
      <c r="E1185" s="125">
        <v>0.1</v>
      </c>
      <c r="F1185" s="126">
        <v>0</v>
      </c>
      <c r="G1185" s="126"/>
      <c r="H1185" s="126">
        <f t="shared" si="18"/>
        <v>0.61546101269605991</v>
      </c>
      <c r="I1185" s="89">
        <v>189.63000000000008</v>
      </c>
      <c r="J1185" s="125">
        <v>74.95416666666668</v>
      </c>
    </row>
    <row r="1186" spans="1:10" x14ac:dyDescent="0.3">
      <c r="A1186" s="88" t="s">
        <v>482</v>
      </c>
      <c r="B1186" s="24">
        <v>39535</v>
      </c>
      <c r="C1186" s="32">
        <v>10.841469385404068</v>
      </c>
      <c r="D1186" s="125">
        <v>10.7</v>
      </c>
      <c r="E1186" s="125">
        <v>0</v>
      </c>
      <c r="F1186" s="126">
        <v>0.105</v>
      </c>
      <c r="G1186" s="126"/>
      <c r="H1186" s="126">
        <f t="shared" si="18"/>
        <v>0.61099999999999999</v>
      </c>
      <c r="I1186" s="89">
        <v>197.82</v>
      </c>
      <c r="J1186" s="125">
        <v>66.851041666666646</v>
      </c>
    </row>
    <row r="1187" spans="1:10" x14ac:dyDescent="0.3">
      <c r="A1187" s="88" t="s">
        <v>482</v>
      </c>
      <c r="B1187" s="24">
        <v>39536</v>
      </c>
      <c r="C1187" s="32">
        <v>11.40942038871154</v>
      </c>
      <c r="D1187" s="125">
        <v>11.9</v>
      </c>
      <c r="E1187" s="125">
        <v>5.5</v>
      </c>
      <c r="F1187" s="126">
        <v>1.1299999999999999</v>
      </c>
      <c r="G1187" s="126"/>
      <c r="H1187" s="126">
        <f t="shared" si="18"/>
        <v>0.90352494025987484</v>
      </c>
      <c r="I1187" s="89">
        <v>410.71831578947365</v>
      </c>
      <c r="J1187" s="125">
        <v>62.613684210526287</v>
      </c>
    </row>
    <row r="1188" spans="1:10" x14ac:dyDescent="0.3">
      <c r="A1188" s="88" t="s">
        <v>482</v>
      </c>
      <c r="B1188" s="24">
        <v>39537</v>
      </c>
      <c r="C1188" s="32">
        <v>16.138003283221014</v>
      </c>
      <c r="D1188" s="125">
        <v>19.8</v>
      </c>
      <c r="E1188" s="125">
        <v>4.5999999999999996</v>
      </c>
      <c r="F1188" s="126">
        <v>5.0000000000000001E-3</v>
      </c>
      <c r="G1188" s="126"/>
      <c r="H1188" s="126">
        <f t="shared" si="18"/>
        <v>0.84852995914135099</v>
      </c>
      <c r="I1188" s="89">
        <v>272.25</v>
      </c>
      <c r="J1188" s="125">
        <v>43.648958333333347</v>
      </c>
    </row>
    <row r="1189" spans="1:10" x14ac:dyDescent="0.3">
      <c r="A1189" s="88" t="s">
        <v>482</v>
      </c>
      <c r="B1189" s="24">
        <v>39538</v>
      </c>
      <c r="C1189" s="32">
        <v>9.6237615920741906</v>
      </c>
      <c r="D1189" s="125">
        <v>14.1</v>
      </c>
      <c r="E1189" s="125">
        <v>6.6</v>
      </c>
      <c r="F1189" s="126">
        <v>0</v>
      </c>
      <c r="G1189" s="126"/>
      <c r="H1189" s="126">
        <f t="shared" si="18"/>
        <v>0.97499060249070812</v>
      </c>
      <c r="I1189" s="89">
        <v>178.82999999999998</v>
      </c>
      <c r="J1189" s="125">
        <v>66.91354166666666</v>
      </c>
    </row>
    <row r="1190" spans="1:10" x14ac:dyDescent="0.3">
      <c r="A1190" s="88" t="s">
        <v>482</v>
      </c>
      <c r="B1190" s="24">
        <v>39539</v>
      </c>
      <c r="C1190" s="32">
        <v>15.342398191348424</v>
      </c>
      <c r="D1190" s="125">
        <v>16.600000000000001</v>
      </c>
      <c r="E1190" s="125">
        <v>3.1</v>
      </c>
      <c r="F1190" s="126">
        <v>0.85</v>
      </c>
      <c r="G1190" s="126"/>
      <c r="H1190" s="126">
        <f t="shared" si="18"/>
        <v>0.76341105875491733</v>
      </c>
      <c r="I1190" s="89">
        <v>215.90999999999997</v>
      </c>
      <c r="J1190" s="125">
        <v>73.177083333333329</v>
      </c>
    </row>
    <row r="1191" spans="1:10" x14ac:dyDescent="0.3">
      <c r="A1191" s="88" t="s">
        <v>482</v>
      </c>
      <c r="B1191" s="24">
        <v>39540</v>
      </c>
      <c r="C1191" s="32">
        <v>5.3055339554173147</v>
      </c>
      <c r="D1191" s="125">
        <v>10.1</v>
      </c>
      <c r="E1191" s="125">
        <v>6.1</v>
      </c>
      <c r="F1191" s="126">
        <v>4.24</v>
      </c>
      <c r="G1191" s="126"/>
      <c r="H1191" s="126">
        <f t="shared" si="18"/>
        <v>0.94191143925241705</v>
      </c>
      <c r="I1191" s="89">
        <v>389.07</v>
      </c>
      <c r="J1191" s="125">
        <v>80.914583333333312</v>
      </c>
    </row>
    <row r="1192" spans="1:10" x14ac:dyDescent="0.3">
      <c r="A1192" s="88" t="s">
        <v>482</v>
      </c>
      <c r="B1192" s="24">
        <v>39541</v>
      </c>
      <c r="C1192" s="32">
        <v>8.0334514140890505</v>
      </c>
      <c r="D1192" s="125">
        <v>9.9</v>
      </c>
      <c r="E1192" s="125">
        <v>5.3</v>
      </c>
      <c r="F1192" s="126">
        <v>2.0150000000000001</v>
      </c>
      <c r="G1192" s="126"/>
      <c r="H1192" s="126">
        <f t="shared" si="18"/>
        <v>0.89103953465215091</v>
      </c>
      <c r="I1192" s="89">
        <v>389.1600000000002</v>
      </c>
      <c r="J1192" s="125">
        <v>86.461458333333383</v>
      </c>
    </row>
    <row r="1193" spans="1:10" x14ac:dyDescent="0.3">
      <c r="A1193" s="88" t="s">
        <v>482</v>
      </c>
      <c r="B1193" s="24">
        <v>39542</v>
      </c>
      <c r="C1193" s="32">
        <v>7.0542451471689418</v>
      </c>
      <c r="D1193" s="125">
        <v>9.6</v>
      </c>
      <c r="E1193" s="125">
        <v>5</v>
      </c>
      <c r="F1193" s="126">
        <v>7.4999999999999997E-2</v>
      </c>
      <c r="G1193" s="126"/>
      <c r="H1193" s="126">
        <f t="shared" si="18"/>
        <v>0.87259658934786222</v>
      </c>
      <c r="I1193" s="89">
        <v>219.69</v>
      </c>
      <c r="J1193" s="125">
        <v>82.756249999999994</v>
      </c>
    </row>
    <row r="1194" spans="1:10" x14ac:dyDescent="0.3">
      <c r="A1194" s="88" t="s">
        <v>482</v>
      </c>
      <c r="B1194" s="24">
        <v>39543</v>
      </c>
      <c r="C1194" s="32">
        <v>2.7162173837912564</v>
      </c>
      <c r="D1194" s="125">
        <v>7.8</v>
      </c>
      <c r="E1194" s="125">
        <v>3.3</v>
      </c>
      <c r="F1194" s="126">
        <v>14.62</v>
      </c>
      <c r="G1194" s="126"/>
      <c r="H1194" s="126">
        <f t="shared" si="18"/>
        <v>0.77430610767805441</v>
      </c>
      <c r="I1194" s="89">
        <v>207.89999999999998</v>
      </c>
      <c r="J1194" s="125">
        <v>90.783333333333317</v>
      </c>
    </row>
    <row r="1195" spans="1:10" x14ac:dyDescent="0.3">
      <c r="A1195" s="88" t="s">
        <v>482</v>
      </c>
      <c r="B1195" s="24">
        <v>39544</v>
      </c>
      <c r="C1195" s="32">
        <v>12.614480732676689</v>
      </c>
      <c r="D1195" s="125">
        <v>8.1999999999999993</v>
      </c>
      <c r="E1195" s="125">
        <v>2.2999999999999998</v>
      </c>
      <c r="F1195" s="126">
        <v>3.5000000000000003E-2</v>
      </c>
      <c r="G1195" s="126"/>
      <c r="H1195" s="126">
        <f t="shared" si="18"/>
        <v>0.72117182708011951</v>
      </c>
      <c r="I1195" s="89">
        <v>221.39999999999998</v>
      </c>
      <c r="J1195" s="125">
        <v>78.713541666666686</v>
      </c>
    </row>
    <row r="1196" spans="1:10" x14ac:dyDescent="0.3">
      <c r="A1196" s="88" t="s">
        <v>482</v>
      </c>
      <c r="B1196" s="24">
        <v>39545</v>
      </c>
      <c r="C1196" s="32">
        <v>5.6295360290305858</v>
      </c>
      <c r="D1196" s="125">
        <v>6.6</v>
      </c>
      <c r="E1196" s="125">
        <v>0.2</v>
      </c>
      <c r="F1196" s="126">
        <v>12.205</v>
      </c>
      <c r="G1196" s="126"/>
      <c r="H1196" s="126">
        <f t="shared" si="18"/>
        <v>0.61995079814923992</v>
      </c>
      <c r="I1196" s="89">
        <v>181.17</v>
      </c>
      <c r="J1196" s="125">
        <v>91.962500000000006</v>
      </c>
    </row>
    <row r="1197" spans="1:10" x14ac:dyDescent="0.3">
      <c r="A1197" s="88" t="s">
        <v>482</v>
      </c>
      <c r="B1197" s="24">
        <v>39546</v>
      </c>
      <c r="C1197" s="32">
        <v>13.524386556073958</v>
      </c>
      <c r="D1197" s="125">
        <v>8.9</v>
      </c>
      <c r="E1197" s="125">
        <v>1.1000000000000001</v>
      </c>
      <c r="F1197" s="126">
        <v>2.125</v>
      </c>
      <c r="G1197" s="126"/>
      <c r="H1197" s="126">
        <f t="shared" si="18"/>
        <v>0.66168020278676021</v>
      </c>
      <c r="I1197" s="89">
        <v>150.03000000000003</v>
      </c>
      <c r="J1197" s="125">
        <v>72.061458333333363</v>
      </c>
    </row>
    <row r="1198" spans="1:10" x14ac:dyDescent="0.3">
      <c r="A1198" s="88" t="s">
        <v>482</v>
      </c>
      <c r="B1198" s="24">
        <v>39547</v>
      </c>
      <c r="C1198" s="32">
        <v>7.5393482518288124</v>
      </c>
      <c r="D1198" s="125">
        <v>7.1</v>
      </c>
      <c r="E1198" s="125">
        <v>2.5</v>
      </c>
      <c r="F1198" s="126">
        <v>1.07</v>
      </c>
      <c r="G1198" s="126"/>
      <c r="H1198" s="126">
        <f t="shared" si="18"/>
        <v>0.73153336467415264</v>
      </c>
      <c r="I1198" s="89">
        <v>205.74</v>
      </c>
      <c r="J1198" s="125">
        <v>78.334374999999994</v>
      </c>
    </row>
    <row r="1199" spans="1:10" x14ac:dyDescent="0.3">
      <c r="A1199" s="88" t="s">
        <v>482</v>
      </c>
      <c r="B1199" s="24">
        <v>39548</v>
      </c>
      <c r="C1199" s="32">
        <v>2.6469169402684178</v>
      </c>
      <c r="D1199" s="125">
        <v>5</v>
      </c>
      <c r="E1199" s="125">
        <v>3.3</v>
      </c>
      <c r="F1199" s="126">
        <v>1.44</v>
      </c>
      <c r="G1199" s="126"/>
      <c r="H1199" s="126">
        <f t="shared" si="18"/>
        <v>0.77430610767805441</v>
      </c>
      <c r="I1199" s="89">
        <v>236.52</v>
      </c>
      <c r="J1199" s="125">
        <v>92.423958333333346</v>
      </c>
    </row>
    <row r="1200" spans="1:10" x14ac:dyDescent="0.3">
      <c r="A1200" s="88" t="s">
        <v>482</v>
      </c>
      <c r="B1200" s="24">
        <v>39549</v>
      </c>
      <c r="C1200" s="32">
        <v>2.94481884684062</v>
      </c>
      <c r="D1200" s="125">
        <v>7</v>
      </c>
      <c r="E1200" s="125">
        <v>3.3</v>
      </c>
      <c r="F1200" s="126">
        <v>0.83</v>
      </c>
      <c r="G1200" s="126"/>
      <c r="H1200" s="126">
        <f t="shared" si="18"/>
        <v>0.77430610767805441</v>
      </c>
      <c r="I1200" s="89">
        <v>257.31</v>
      </c>
      <c r="J1200" s="125">
        <v>92.947916666666643</v>
      </c>
    </row>
    <row r="1201" spans="1:10" x14ac:dyDescent="0.3">
      <c r="A1201" s="88" t="s">
        <v>482</v>
      </c>
      <c r="B1201" s="24">
        <v>39550</v>
      </c>
      <c r="C1201" s="32">
        <v>18.466318184436378</v>
      </c>
      <c r="D1201" s="125">
        <v>14.4</v>
      </c>
      <c r="E1201" s="125">
        <v>3.8</v>
      </c>
      <c r="F1201" s="126">
        <v>0.19</v>
      </c>
      <c r="G1201" s="126"/>
      <c r="H1201" s="126">
        <f t="shared" si="18"/>
        <v>0.80214634758046521</v>
      </c>
      <c r="I1201" s="89">
        <v>240.03000000000003</v>
      </c>
      <c r="J1201" s="125">
        <v>67.744791666666657</v>
      </c>
    </row>
    <row r="1202" spans="1:10" x14ac:dyDescent="0.3">
      <c r="A1202" s="88" t="s">
        <v>482</v>
      </c>
      <c r="B1202" s="24">
        <v>39551</v>
      </c>
      <c r="C1202" s="32">
        <v>11.171771499337597</v>
      </c>
      <c r="D1202" s="125">
        <v>13.5</v>
      </c>
      <c r="E1202" s="125">
        <v>5.4</v>
      </c>
      <c r="F1202" s="126">
        <v>5.4850000000000003</v>
      </c>
      <c r="G1202" s="126"/>
      <c r="H1202" s="126">
        <f t="shared" si="18"/>
        <v>0.8972630930441321</v>
      </c>
      <c r="I1202" s="89">
        <v>168.48</v>
      </c>
      <c r="J1202" s="125">
        <v>76.794791666666669</v>
      </c>
    </row>
    <row r="1203" spans="1:10" x14ac:dyDescent="0.3">
      <c r="A1203" s="88" t="s">
        <v>482</v>
      </c>
      <c r="B1203" s="24">
        <v>39552</v>
      </c>
      <c r="C1203" s="32">
        <v>4.9887319278843387</v>
      </c>
      <c r="D1203" s="125">
        <v>9.1</v>
      </c>
      <c r="E1203" s="125">
        <v>5.7</v>
      </c>
      <c r="F1203" s="126">
        <v>11.895</v>
      </c>
      <c r="G1203" s="126"/>
      <c r="H1203" s="126">
        <f t="shared" si="18"/>
        <v>0.91616430843021424</v>
      </c>
      <c r="I1203" s="89">
        <v>173.78999999999996</v>
      </c>
      <c r="J1203" s="125">
        <v>92.35208333333334</v>
      </c>
    </row>
    <row r="1204" spans="1:10" x14ac:dyDescent="0.3">
      <c r="A1204" s="88" t="s">
        <v>482</v>
      </c>
      <c r="B1204" s="24">
        <v>39553</v>
      </c>
      <c r="C1204" s="32">
        <v>9.1260584067738026</v>
      </c>
      <c r="D1204" s="125">
        <v>10.199999999999999</v>
      </c>
      <c r="E1204" s="125">
        <v>4.5999999999999996</v>
      </c>
      <c r="F1204" s="126">
        <v>0.89</v>
      </c>
      <c r="G1204" s="126"/>
      <c r="H1204" s="126">
        <f t="shared" si="18"/>
        <v>0.84852995914135099</v>
      </c>
      <c r="I1204" s="89">
        <v>272.43</v>
      </c>
      <c r="J1204" s="125">
        <v>79.563541666666623</v>
      </c>
    </row>
    <row r="1205" spans="1:10" x14ac:dyDescent="0.3">
      <c r="A1205" s="88" t="s">
        <v>482</v>
      </c>
      <c r="B1205" s="24">
        <v>39554</v>
      </c>
      <c r="C1205" s="32">
        <v>16.341404584989345</v>
      </c>
      <c r="D1205" s="125">
        <v>9.1</v>
      </c>
      <c r="E1205" s="125">
        <v>1.8</v>
      </c>
      <c r="F1205" s="126">
        <v>0.89</v>
      </c>
      <c r="G1205" s="126"/>
      <c r="H1205" s="126">
        <f t="shared" si="18"/>
        <v>0.69583287280742301</v>
      </c>
      <c r="I1205" s="89">
        <v>218.33999999999992</v>
      </c>
      <c r="J1205" s="125">
        <v>75.394791666666649</v>
      </c>
    </row>
    <row r="1206" spans="1:10" x14ac:dyDescent="0.3">
      <c r="A1206" s="88" t="s">
        <v>482</v>
      </c>
      <c r="B1206" s="24">
        <v>39555</v>
      </c>
      <c r="C1206" s="32">
        <v>13.496486377512817</v>
      </c>
      <c r="D1206" s="125">
        <v>8.8000000000000007</v>
      </c>
      <c r="E1206" s="125">
        <v>0.1</v>
      </c>
      <c r="F1206" s="126">
        <v>0.06</v>
      </c>
      <c r="G1206" s="126"/>
      <c r="H1206" s="126">
        <f t="shared" si="18"/>
        <v>0.61546101269605991</v>
      </c>
      <c r="I1206" s="89">
        <v>228.33000000000004</v>
      </c>
      <c r="J1206" s="125">
        <v>83.351041666666674</v>
      </c>
    </row>
    <row r="1207" spans="1:10" x14ac:dyDescent="0.3">
      <c r="A1207" s="88" t="s">
        <v>482</v>
      </c>
      <c r="B1207" s="24">
        <v>39556</v>
      </c>
      <c r="C1207" s="32">
        <v>4.4604285467426994</v>
      </c>
      <c r="D1207" s="125">
        <v>7.9</v>
      </c>
      <c r="E1207" s="125">
        <v>4.5999999999999996</v>
      </c>
      <c r="F1207" s="126">
        <v>2.5000000000000001E-2</v>
      </c>
      <c r="G1207" s="126"/>
      <c r="H1207" s="126">
        <f t="shared" si="18"/>
        <v>0.84852995914135099</v>
      </c>
      <c r="I1207" s="89">
        <v>370.53</v>
      </c>
      <c r="J1207" s="125">
        <v>85.385416666666671</v>
      </c>
    </row>
    <row r="1208" spans="1:10" x14ac:dyDescent="0.3">
      <c r="A1208" s="88" t="s">
        <v>482</v>
      </c>
      <c r="B1208" s="24">
        <v>39557</v>
      </c>
      <c r="C1208" s="32">
        <v>9.7128621623178386</v>
      </c>
      <c r="D1208" s="125">
        <v>8.6</v>
      </c>
      <c r="E1208" s="125">
        <v>3.6</v>
      </c>
      <c r="F1208" s="126">
        <v>0</v>
      </c>
      <c r="G1208" s="126"/>
      <c r="H1208" s="126">
        <f t="shared" si="18"/>
        <v>0.79090602148237243</v>
      </c>
      <c r="I1208" s="89">
        <v>476.18999999999994</v>
      </c>
      <c r="J1208" s="125">
        <v>76.173958333333331</v>
      </c>
    </row>
    <row r="1209" spans="1:10" x14ac:dyDescent="0.3">
      <c r="A1209" s="88" t="s">
        <v>482</v>
      </c>
      <c r="B1209" s="24">
        <v>39558</v>
      </c>
      <c r="C1209" s="32">
        <v>19.054921951500489</v>
      </c>
      <c r="D1209" s="125">
        <v>13.1</v>
      </c>
      <c r="E1209" s="125">
        <v>5.2</v>
      </c>
      <c r="F1209" s="126">
        <v>0</v>
      </c>
      <c r="G1209" s="126"/>
      <c r="H1209" s="126">
        <f t="shared" si="18"/>
        <v>0.88485406434684233</v>
      </c>
      <c r="I1209" s="89">
        <v>316.17</v>
      </c>
      <c r="J1209" s="125">
        <v>63.832291666666698</v>
      </c>
    </row>
    <row r="1210" spans="1:10" x14ac:dyDescent="0.3">
      <c r="A1210" s="88" t="s">
        <v>482</v>
      </c>
      <c r="B1210" s="24">
        <v>39559</v>
      </c>
      <c r="C1210" s="32">
        <v>22.040241057542769</v>
      </c>
      <c r="D1210" s="125">
        <v>16.100000000000001</v>
      </c>
      <c r="E1210" s="125">
        <v>4.5999999999999996</v>
      </c>
      <c r="F1210" s="126">
        <v>0</v>
      </c>
      <c r="G1210" s="126"/>
      <c r="H1210" s="126">
        <f t="shared" si="18"/>
        <v>0.84852995914135099</v>
      </c>
      <c r="I1210" s="89">
        <v>500.39999999999986</v>
      </c>
      <c r="J1210" s="125">
        <v>64.115624999999994</v>
      </c>
    </row>
    <row r="1211" spans="1:10" x14ac:dyDescent="0.3">
      <c r="A1211" s="88" t="s">
        <v>482</v>
      </c>
      <c r="B1211" s="24">
        <v>39560</v>
      </c>
      <c r="C1211" s="32">
        <v>19.20702292494672</v>
      </c>
      <c r="D1211" s="125">
        <v>16.100000000000001</v>
      </c>
      <c r="E1211" s="125">
        <v>7.1</v>
      </c>
      <c r="F1211" s="126">
        <v>0</v>
      </c>
      <c r="G1211" s="126"/>
      <c r="H1211" s="126">
        <f t="shared" si="18"/>
        <v>1.0090889554747804</v>
      </c>
      <c r="I1211" s="89">
        <v>512.81999999999971</v>
      </c>
      <c r="J1211" s="125">
        <v>58.255208333333307</v>
      </c>
    </row>
    <row r="1212" spans="1:10" x14ac:dyDescent="0.3">
      <c r="A1212" s="88" t="s">
        <v>482</v>
      </c>
      <c r="B1212" s="24">
        <v>39561</v>
      </c>
      <c r="C1212" s="32">
        <v>18.337617360751111</v>
      </c>
      <c r="D1212" s="125">
        <v>16.8</v>
      </c>
      <c r="E1212" s="125">
        <v>3.1</v>
      </c>
      <c r="F1212" s="126">
        <v>5.0000000000000001E-3</v>
      </c>
      <c r="G1212" s="126"/>
      <c r="H1212" s="126">
        <f t="shared" si="18"/>
        <v>0.76341105875491733</v>
      </c>
      <c r="I1212" s="89">
        <v>170.28000000000009</v>
      </c>
      <c r="J1212" s="125">
        <v>61.542708333333316</v>
      </c>
    </row>
    <row r="1213" spans="1:10" x14ac:dyDescent="0.3">
      <c r="A1213" s="88" t="s">
        <v>482</v>
      </c>
      <c r="B1213" s="24">
        <v>39562</v>
      </c>
      <c r="C1213" s="32">
        <v>16.626706410921031</v>
      </c>
      <c r="D1213" s="125">
        <v>18.600000000000001</v>
      </c>
      <c r="E1213" s="125">
        <v>7.8</v>
      </c>
      <c r="F1213" s="126">
        <v>0.39500000000000002</v>
      </c>
      <c r="G1213" s="126"/>
      <c r="H1213" s="126">
        <f t="shared" si="18"/>
        <v>1.0585899253295545</v>
      </c>
      <c r="I1213" s="89">
        <v>151.02000000000004</v>
      </c>
      <c r="J1213" s="125">
        <v>56.293750000000003</v>
      </c>
    </row>
    <row r="1214" spans="1:10" x14ac:dyDescent="0.3">
      <c r="A1214" s="88" t="s">
        <v>482</v>
      </c>
      <c r="B1214" s="24">
        <v>39563</v>
      </c>
      <c r="C1214" s="32">
        <v>15.55929957951731</v>
      </c>
      <c r="D1214" s="125">
        <v>15.6</v>
      </c>
      <c r="E1214" s="125">
        <v>7.8</v>
      </c>
      <c r="F1214" s="126">
        <v>2.895</v>
      </c>
      <c r="G1214" s="126"/>
      <c r="H1214" s="126">
        <f t="shared" si="18"/>
        <v>1.0585899253295545</v>
      </c>
      <c r="I1214" s="89">
        <v>307.62</v>
      </c>
      <c r="J1214" s="125">
        <v>74.840625000000003</v>
      </c>
    </row>
    <row r="1215" spans="1:10" x14ac:dyDescent="0.3">
      <c r="A1215" s="88" t="s">
        <v>482</v>
      </c>
      <c r="B1215" s="24">
        <v>39564</v>
      </c>
      <c r="C1215" s="32">
        <v>21.458837336558954</v>
      </c>
      <c r="D1215" s="125">
        <v>17.399999999999999</v>
      </c>
      <c r="E1215" s="125">
        <v>5.5</v>
      </c>
      <c r="F1215" s="126">
        <v>0</v>
      </c>
      <c r="G1215" s="126"/>
      <c r="H1215" s="126">
        <f t="shared" si="18"/>
        <v>0.90352494025987484</v>
      </c>
      <c r="I1215" s="89">
        <v>147.77999999999994</v>
      </c>
      <c r="J1215" s="125">
        <v>65.645833333333343</v>
      </c>
    </row>
    <row r="1216" spans="1:10" x14ac:dyDescent="0.3">
      <c r="A1216" s="88" t="s">
        <v>482</v>
      </c>
      <c r="B1216" s="24">
        <v>39565</v>
      </c>
      <c r="C1216" s="32">
        <v>20.681232359887105</v>
      </c>
      <c r="D1216" s="125">
        <v>19.899999999999999</v>
      </c>
      <c r="E1216" s="125">
        <v>8.8000000000000007</v>
      </c>
      <c r="F1216" s="126">
        <v>0</v>
      </c>
      <c r="G1216" s="126"/>
      <c r="H1216" s="126">
        <f t="shared" si="18"/>
        <v>1.1330116523877718</v>
      </c>
      <c r="I1216" s="89">
        <v>197.91</v>
      </c>
      <c r="J1216" s="125">
        <v>55.501041666666644</v>
      </c>
    </row>
    <row r="1217" spans="1:10" x14ac:dyDescent="0.3">
      <c r="A1217" s="88" t="s">
        <v>482</v>
      </c>
      <c r="B1217" s="24">
        <v>39566</v>
      </c>
      <c r="C1217" s="32">
        <v>18.227816658026612</v>
      </c>
      <c r="D1217" s="125">
        <v>19.899999999999999</v>
      </c>
      <c r="E1217" s="125">
        <v>10</v>
      </c>
      <c r="F1217" s="126">
        <v>14.805</v>
      </c>
      <c r="G1217" s="126"/>
      <c r="H1217" s="126">
        <f t="shared" si="18"/>
        <v>1.2283647027117881</v>
      </c>
      <c r="I1217" s="89">
        <v>231.66</v>
      </c>
      <c r="J1217" s="125">
        <v>65.622916666666683</v>
      </c>
    </row>
    <row r="1218" spans="1:10" x14ac:dyDescent="0.3">
      <c r="A1218" s="88" t="s">
        <v>482</v>
      </c>
      <c r="B1218" s="24">
        <v>39567</v>
      </c>
      <c r="C1218" s="32">
        <v>9.2331590922181892</v>
      </c>
      <c r="D1218" s="125">
        <v>13.7</v>
      </c>
      <c r="E1218" s="125">
        <v>9.4</v>
      </c>
      <c r="F1218" s="126">
        <v>7.7249999999999996</v>
      </c>
      <c r="G1218" s="126"/>
      <c r="H1218" s="126">
        <f t="shared" si="18"/>
        <v>1.1798411174091483</v>
      </c>
      <c r="I1218" s="89">
        <v>147.42000000000002</v>
      </c>
      <c r="J1218" s="125">
        <v>88.661458333333357</v>
      </c>
    </row>
    <row r="1219" spans="1:10" x14ac:dyDescent="0.3">
      <c r="A1219" s="88" t="s">
        <v>482</v>
      </c>
      <c r="B1219" s="24">
        <v>39568</v>
      </c>
      <c r="C1219" s="32">
        <v>19.719126202407693</v>
      </c>
      <c r="D1219" s="125">
        <v>18</v>
      </c>
      <c r="E1219" s="125">
        <v>7.6</v>
      </c>
      <c r="F1219" s="126">
        <v>1.88</v>
      </c>
      <c r="G1219" s="126"/>
      <c r="H1219" s="126">
        <f t="shared" si="18"/>
        <v>1.0442332464842816</v>
      </c>
      <c r="I1219" s="89">
        <v>296.28000000000014</v>
      </c>
      <c r="J1219" s="125">
        <v>67.460416666666646</v>
      </c>
    </row>
    <row r="1220" spans="1:10" x14ac:dyDescent="0.3">
      <c r="A1220" s="88" t="s">
        <v>482</v>
      </c>
      <c r="B1220" s="24">
        <v>39569</v>
      </c>
      <c r="C1220" s="32">
        <v>19.215122976787054</v>
      </c>
      <c r="D1220" s="125">
        <v>16.600000000000001</v>
      </c>
      <c r="E1220" s="125">
        <v>7.3</v>
      </c>
      <c r="F1220" s="126">
        <v>1.65</v>
      </c>
      <c r="G1220" s="126"/>
      <c r="H1220" s="126">
        <f t="shared" ref="H1220:H1283" si="19">0.611*EXP((17.27*E1220)/(E1220+237.3))</f>
        <v>1.0230196423808093</v>
      </c>
      <c r="I1220" s="89">
        <v>179.01</v>
      </c>
      <c r="J1220" s="125">
        <v>71.747916666666697</v>
      </c>
    </row>
    <row r="1221" spans="1:10" x14ac:dyDescent="0.3">
      <c r="A1221" s="88" t="s">
        <v>482</v>
      </c>
      <c r="B1221" s="24">
        <v>39570</v>
      </c>
      <c r="C1221" s="32">
        <v>15.719500604803871</v>
      </c>
      <c r="D1221" s="125">
        <v>15.3</v>
      </c>
      <c r="E1221" s="125">
        <v>5.9</v>
      </c>
      <c r="F1221" s="126">
        <v>6.0549999999999997</v>
      </c>
      <c r="G1221" s="126"/>
      <c r="H1221" s="126">
        <f t="shared" si="19"/>
        <v>0.92895926237531279</v>
      </c>
      <c r="I1221" s="89">
        <v>162.62999999999997</v>
      </c>
      <c r="J1221" s="125">
        <v>80.548958333333289</v>
      </c>
    </row>
    <row r="1222" spans="1:10" x14ac:dyDescent="0.3">
      <c r="A1222" s="88" t="s">
        <v>482</v>
      </c>
      <c r="B1222" s="24">
        <v>39571</v>
      </c>
      <c r="C1222" s="32">
        <v>23.988753528022578</v>
      </c>
      <c r="D1222" s="125">
        <v>16.8</v>
      </c>
      <c r="E1222" s="125">
        <v>4.8</v>
      </c>
      <c r="F1222" s="126">
        <v>0</v>
      </c>
      <c r="G1222" s="126"/>
      <c r="H1222" s="126">
        <f t="shared" si="19"/>
        <v>0.86048907931200158</v>
      </c>
      <c r="I1222" s="89">
        <v>89.28</v>
      </c>
      <c r="J1222" s="125">
        <v>71.247916666666669</v>
      </c>
    </row>
    <row r="1223" spans="1:10" x14ac:dyDescent="0.3">
      <c r="A1223" s="88" t="s">
        <v>482</v>
      </c>
      <c r="B1223" s="24">
        <v>39572</v>
      </c>
      <c r="C1223" s="32">
        <v>22.204942111629514</v>
      </c>
      <c r="D1223" s="125">
        <v>17.399999999999999</v>
      </c>
      <c r="E1223" s="125">
        <v>5.0999999999999996</v>
      </c>
      <c r="F1223" s="126">
        <v>0</v>
      </c>
      <c r="G1223" s="126"/>
      <c r="H1223" s="126">
        <f t="shared" si="19"/>
        <v>0.87870648225166126</v>
      </c>
      <c r="I1223" s="89">
        <v>144.26999999999995</v>
      </c>
      <c r="J1223" s="125">
        <v>63.55</v>
      </c>
    </row>
    <row r="1224" spans="1:10" x14ac:dyDescent="0.3">
      <c r="A1224" s="88" t="s">
        <v>482</v>
      </c>
      <c r="B1224" s="24">
        <v>39573</v>
      </c>
      <c r="C1224" s="32">
        <v>24.234455100512641</v>
      </c>
      <c r="D1224" s="125">
        <v>19.8</v>
      </c>
      <c r="E1224" s="125">
        <v>5.4</v>
      </c>
      <c r="F1224" s="126">
        <v>0</v>
      </c>
      <c r="G1224" s="126"/>
      <c r="H1224" s="126">
        <f t="shared" si="19"/>
        <v>0.8972630930441321</v>
      </c>
      <c r="I1224" s="89">
        <v>163.26000000000002</v>
      </c>
      <c r="J1224" s="125">
        <v>71.880208333333357</v>
      </c>
    </row>
    <row r="1225" spans="1:10" x14ac:dyDescent="0.3">
      <c r="A1225" s="88" t="s">
        <v>482</v>
      </c>
      <c r="B1225" s="24">
        <v>39574</v>
      </c>
      <c r="C1225" s="32">
        <v>26.134367259950466</v>
      </c>
      <c r="D1225" s="125">
        <v>20.100000000000001</v>
      </c>
      <c r="E1225" s="125">
        <v>8.5</v>
      </c>
      <c r="F1225" s="126">
        <v>0</v>
      </c>
      <c r="G1225" s="126"/>
      <c r="H1225" s="126">
        <f t="shared" si="19"/>
        <v>1.110216300480029</v>
      </c>
      <c r="I1225" s="89">
        <v>177.20999999999992</v>
      </c>
      <c r="J1225" s="125">
        <v>62.746875000000003</v>
      </c>
    </row>
    <row r="1226" spans="1:10" x14ac:dyDescent="0.3">
      <c r="A1226" s="88" t="s">
        <v>482</v>
      </c>
      <c r="B1226" s="24">
        <v>39575</v>
      </c>
      <c r="C1226" s="32">
        <v>24.695258049651521</v>
      </c>
      <c r="D1226" s="125">
        <v>21.5</v>
      </c>
      <c r="E1226" s="125">
        <v>7.3</v>
      </c>
      <c r="F1226" s="126">
        <v>0</v>
      </c>
      <c r="G1226" s="126"/>
      <c r="H1226" s="126">
        <f t="shared" si="19"/>
        <v>1.0230196423808093</v>
      </c>
      <c r="I1226" s="89">
        <v>82.710000000000008</v>
      </c>
      <c r="J1226" s="125">
        <v>62.941666666666684</v>
      </c>
    </row>
    <row r="1227" spans="1:10" x14ac:dyDescent="0.3">
      <c r="A1227" s="88" t="s">
        <v>482</v>
      </c>
      <c r="B1227" s="24">
        <v>39576</v>
      </c>
      <c r="C1227" s="32">
        <v>26.457469327803697</v>
      </c>
      <c r="D1227" s="125">
        <v>22.2</v>
      </c>
      <c r="E1227" s="125">
        <v>7.7</v>
      </c>
      <c r="F1227" s="126">
        <v>0</v>
      </c>
      <c r="G1227" s="126"/>
      <c r="H1227" s="126">
        <f t="shared" si="19"/>
        <v>1.0513900110721115</v>
      </c>
      <c r="I1227" s="89">
        <v>115.19999999999999</v>
      </c>
      <c r="J1227" s="125">
        <v>57.229166666666664</v>
      </c>
    </row>
    <row r="1228" spans="1:10" x14ac:dyDescent="0.3">
      <c r="A1228" s="88" t="s">
        <v>482</v>
      </c>
      <c r="B1228" s="24">
        <v>39577</v>
      </c>
      <c r="C1228" s="32">
        <v>26.619470364610333</v>
      </c>
      <c r="D1228" s="125">
        <v>22.9</v>
      </c>
      <c r="E1228" s="125">
        <v>7.9</v>
      </c>
      <c r="F1228" s="126">
        <v>0</v>
      </c>
      <c r="G1228" s="126"/>
      <c r="H1228" s="126">
        <f t="shared" si="19"/>
        <v>1.0658332114824252</v>
      </c>
      <c r="I1228" s="89">
        <v>220.5</v>
      </c>
      <c r="J1228" s="125">
        <v>52.765625</v>
      </c>
    </row>
    <row r="1229" spans="1:10" x14ac:dyDescent="0.3">
      <c r="A1229" s="88" t="s">
        <v>482</v>
      </c>
      <c r="B1229" s="24">
        <v>39578</v>
      </c>
      <c r="C1229" s="32">
        <v>26.994772766545708</v>
      </c>
      <c r="D1229" s="125">
        <v>22.8</v>
      </c>
      <c r="E1229" s="125">
        <v>8.5</v>
      </c>
      <c r="F1229" s="126">
        <v>0</v>
      </c>
      <c r="G1229" s="126"/>
      <c r="H1229" s="126">
        <f t="shared" si="19"/>
        <v>1.110216300480029</v>
      </c>
      <c r="I1229" s="89">
        <v>197.19</v>
      </c>
      <c r="J1229" s="125">
        <v>55.270833333333336</v>
      </c>
    </row>
    <row r="1230" spans="1:10" x14ac:dyDescent="0.3">
      <c r="A1230" s="88" t="s">
        <v>482</v>
      </c>
      <c r="B1230" s="24">
        <v>39579</v>
      </c>
      <c r="C1230" s="32">
        <v>25.933665975462244</v>
      </c>
      <c r="D1230" s="125">
        <v>23.4</v>
      </c>
      <c r="E1230" s="125">
        <v>9</v>
      </c>
      <c r="F1230" s="126">
        <v>0</v>
      </c>
      <c r="G1230" s="126"/>
      <c r="H1230" s="126">
        <f t="shared" si="19"/>
        <v>1.148436398239401</v>
      </c>
      <c r="I1230" s="89">
        <v>175.1399999999999</v>
      </c>
      <c r="J1230" s="125">
        <v>89.152083333333337</v>
      </c>
    </row>
    <row r="1231" spans="1:10" x14ac:dyDescent="0.3">
      <c r="A1231" s="88" t="s">
        <v>482</v>
      </c>
      <c r="B1231" s="24">
        <v>39580</v>
      </c>
      <c r="C1231" s="32">
        <v>26.830971718218997</v>
      </c>
      <c r="D1231" s="125">
        <v>23.6</v>
      </c>
      <c r="E1231" s="125">
        <v>9.6</v>
      </c>
      <c r="F1231" s="126">
        <v>0</v>
      </c>
      <c r="G1231" s="126"/>
      <c r="H1231" s="126">
        <f t="shared" si="19"/>
        <v>1.1958248668287446</v>
      </c>
      <c r="I1231" s="89">
        <v>135.27000000000001</v>
      </c>
      <c r="J1231" s="125">
        <v>99.178124999999994</v>
      </c>
    </row>
    <row r="1232" spans="1:10" x14ac:dyDescent="0.3">
      <c r="A1232" s="88" t="s">
        <v>482</v>
      </c>
      <c r="B1232" s="24">
        <v>39581</v>
      </c>
      <c r="C1232" s="32">
        <v>24.78165860261506</v>
      </c>
      <c r="D1232" s="125">
        <v>20</v>
      </c>
      <c r="E1232" s="125">
        <v>9.6999999999999993</v>
      </c>
      <c r="F1232" s="126">
        <v>0</v>
      </c>
      <c r="G1232" s="126"/>
      <c r="H1232" s="126">
        <f t="shared" si="19"/>
        <v>1.2038879226915637</v>
      </c>
      <c r="I1232" s="89">
        <v>282.32999999999981</v>
      </c>
      <c r="J1232" s="125">
        <v>76.097916666666677</v>
      </c>
    </row>
    <row r="1233" spans="1:10" x14ac:dyDescent="0.3">
      <c r="A1233" s="88" t="s">
        <v>482</v>
      </c>
      <c r="B1233" s="24">
        <v>39582</v>
      </c>
      <c r="C1233" s="32">
        <v>26.539369851967056</v>
      </c>
      <c r="D1233" s="125">
        <v>21.1</v>
      </c>
      <c r="E1233" s="125">
        <v>6.9</v>
      </c>
      <c r="F1233" s="126">
        <v>0</v>
      </c>
      <c r="G1233" s="126"/>
      <c r="H1233" s="126">
        <f t="shared" si="19"/>
        <v>0.99532561227749294</v>
      </c>
      <c r="I1233" s="89">
        <v>193.86</v>
      </c>
      <c r="J1233" s="125">
        <v>60.623958333333348</v>
      </c>
    </row>
    <row r="1234" spans="1:10" x14ac:dyDescent="0.3">
      <c r="A1234" s="88" t="s">
        <v>482</v>
      </c>
      <c r="B1234" s="24">
        <v>39583</v>
      </c>
      <c r="C1234" s="32">
        <v>13.579286907436208</v>
      </c>
      <c r="D1234" s="125">
        <v>19.8</v>
      </c>
      <c r="E1234" s="125">
        <v>8.9</v>
      </c>
      <c r="F1234" s="126">
        <v>0.93</v>
      </c>
      <c r="G1234" s="126"/>
      <c r="H1234" s="126">
        <f t="shared" si="19"/>
        <v>1.1407010860938473</v>
      </c>
      <c r="I1234" s="89">
        <v>91.980000000000018</v>
      </c>
      <c r="J1234" s="125">
        <v>73.508333333333354</v>
      </c>
    </row>
    <row r="1235" spans="1:10" x14ac:dyDescent="0.3">
      <c r="A1235" s="88" t="s">
        <v>482</v>
      </c>
      <c r="B1235" s="24">
        <v>39584</v>
      </c>
      <c r="C1235" s="32">
        <v>6.9525444962847764</v>
      </c>
      <c r="D1235" s="125">
        <v>17</v>
      </c>
      <c r="E1235" s="125">
        <v>11.2</v>
      </c>
      <c r="F1235" s="126">
        <v>3.4249999999999998</v>
      </c>
      <c r="G1235" s="126"/>
      <c r="H1235" s="126">
        <f t="shared" si="19"/>
        <v>1.3307036698161701</v>
      </c>
      <c r="I1235" s="89">
        <v>110.69999999999999</v>
      </c>
      <c r="J1235" s="125">
        <v>91.146874999999994</v>
      </c>
    </row>
    <row r="1236" spans="1:10" x14ac:dyDescent="0.3">
      <c r="A1236" s="88" t="s">
        <v>482</v>
      </c>
      <c r="B1236" s="24">
        <v>39585</v>
      </c>
      <c r="C1236" s="32">
        <v>4.490128736823916</v>
      </c>
      <c r="D1236" s="125">
        <v>15.5</v>
      </c>
      <c r="E1236" s="125">
        <v>9.1</v>
      </c>
      <c r="F1236" s="126">
        <v>10.195</v>
      </c>
      <c r="G1236" s="126"/>
      <c r="H1236" s="126">
        <f t="shared" si="19"/>
        <v>1.156217822409108</v>
      </c>
      <c r="I1236" s="89">
        <v>199.8</v>
      </c>
      <c r="J1236" s="125">
        <v>95.363541666666677</v>
      </c>
    </row>
    <row r="1237" spans="1:10" x14ac:dyDescent="0.3">
      <c r="A1237" s="88" t="s">
        <v>482</v>
      </c>
      <c r="B1237" s="24">
        <v>39586</v>
      </c>
      <c r="C1237" s="32">
        <v>18.505918437878002</v>
      </c>
      <c r="D1237" s="125">
        <v>15</v>
      </c>
      <c r="E1237" s="125">
        <v>8</v>
      </c>
      <c r="F1237" s="126">
        <v>0.02</v>
      </c>
      <c r="G1237" s="126"/>
      <c r="H1237" s="126">
        <f t="shared" si="19"/>
        <v>1.0731200926872433</v>
      </c>
      <c r="I1237" s="89">
        <v>194.13000000000002</v>
      </c>
      <c r="J1237" s="125">
        <v>72.006249999999994</v>
      </c>
    </row>
    <row r="1238" spans="1:10" x14ac:dyDescent="0.3">
      <c r="A1238" s="88" t="s">
        <v>482</v>
      </c>
      <c r="B1238" s="24">
        <v>39587</v>
      </c>
      <c r="C1238" s="32">
        <v>21.929540349058236</v>
      </c>
      <c r="D1238" s="125">
        <v>15.7</v>
      </c>
      <c r="E1238" s="125">
        <v>5.3</v>
      </c>
      <c r="F1238" s="126">
        <v>0</v>
      </c>
      <c r="G1238" s="126"/>
      <c r="H1238" s="126">
        <f t="shared" si="19"/>
        <v>0.89103953465215091</v>
      </c>
      <c r="I1238" s="89">
        <v>198.54000000000002</v>
      </c>
      <c r="J1238" s="125">
        <v>68.755208333333329</v>
      </c>
    </row>
    <row r="1239" spans="1:10" x14ac:dyDescent="0.3">
      <c r="A1239" s="88" t="s">
        <v>482</v>
      </c>
      <c r="B1239" s="24">
        <v>39588</v>
      </c>
      <c r="C1239" s="32">
        <v>21.606438281204998</v>
      </c>
      <c r="D1239" s="125">
        <v>15.8</v>
      </c>
      <c r="E1239" s="125">
        <v>5.7</v>
      </c>
      <c r="F1239" s="126">
        <v>0</v>
      </c>
      <c r="G1239" s="126"/>
      <c r="H1239" s="126">
        <f t="shared" si="19"/>
        <v>0.91616430843021424</v>
      </c>
      <c r="I1239" s="89">
        <v>157.05000000000007</v>
      </c>
      <c r="J1239" s="125">
        <v>60.460416666666653</v>
      </c>
    </row>
    <row r="1240" spans="1:10" x14ac:dyDescent="0.3">
      <c r="A1240" s="88" t="s">
        <v>482</v>
      </c>
      <c r="B1240" s="24">
        <v>39589</v>
      </c>
      <c r="C1240" s="32">
        <v>26.922772305742757</v>
      </c>
      <c r="D1240" s="125">
        <v>17.2</v>
      </c>
      <c r="E1240" s="125">
        <v>4.5</v>
      </c>
      <c r="F1240" s="126">
        <v>5.0000000000000001E-3</v>
      </c>
      <c r="G1240" s="126"/>
      <c r="H1240" s="126">
        <f t="shared" si="19"/>
        <v>0.84260555674484927</v>
      </c>
      <c r="I1240" s="89">
        <v>189.72000000000008</v>
      </c>
      <c r="J1240" s="125">
        <v>56.63020833333335</v>
      </c>
    </row>
    <row r="1241" spans="1:10" x14ac:dyDescent="0.3">
      <c r="A1241" s="88" t="s">
        <v>482</v>
      </c>
      <c r="B1241" s="24">
        <v>39590</v>
      </c>
      <c r="C1241" s="32">
        <v>28.984685501987212</v>
      </c>
      <c r="D1241" s="125">
        <v>18.8</v>
      </c>
      <c r="E1241" s="125">
        <v>6.6</v>
      </c>
      <c r="F1241" s="126">
        <v>5.0000000000000001E-3</v>
      </c>
      <c r="G1241" s="126"/>
      <c r="H1241" s="126">
        <f t="shared" si="19"/>
        <v>0.97499060249070812</v>
      </c>
      <c r="I1241" s="89">
        <v>162.98999999999998</v>
      </c>
      <c r="J1241" s="125">
        <v>57.242708333333326</v>
      </c>
    </row>
    <row r="1242" spans="1:10" x14ac:dyDescent="0.3">
      <c r="A1242" s="88" t="s">
        <v>482</v>
      </c>
      <c r="B1242" s="24">
        <v>39591</v>
      </c>
      <c r="C1242" s="32">
        <v>20.350930245953574</v>
      </c>
      <c r="D1242" s="125">
        <v>19</v>
      </c>
      <c r="E1242" s="125">
        <v>8.8000000000000007</v>
      </c>
      <c r="F1242" s="126">
        <v>0</v>
      </c>
      <c r="G1242" s="126"/>
      <c r="H1242" s="126">
        <f t="shared" si="19"/>
        <v>1.1330116523877718</v>
      </c>
      <c r="I1242" s="89">
        <v>186.66000000000011</v>
      </c>
      <c r="J1242" s="125">
        <v>61.58020833333331</v>
      </c>
    </row>
    <row r="1243" spans="1:10" x14ac:dyDescent="0.3">
      <c r="A1243" s="88" t="s">
        <v>482</v>
      </c>
      <c r="B1243" s="24">
        <v>39592</v>
      </c>
      <c r="C1243" s="32">
        <v>28.802884338459766</v>
      </c>
      <c r="D1243" s="125">
        <v>20.100000000000001</v>
      </c>
      <c r="E1243" s="125">
        <v>7</v>
      </c>
      <c r="F1243" s="126">
        <v>0</v>
      </c>
      <c r="G1243" s="126"/>
      <c r="H1243" s="126">
        <f t="shared" si="19"/>
        <v>1.0021864739217894</v>
      </c>
      <c r="I1243" s="89">
        <v>278.82000000000011</v>
      </c>
      <c r="J1243" s="125">
        <v>54.418750000000003</v>
      </c>
    </row>
    <row r="1244" spans="1:10" x14ac:dyDescent="0.3">
      <c r="A1244" s="88" t="s">
        <v>482</v>
      </c>
      <c r="B1244" s="24">
        <v>39593</v>
      </c>
      <c r="C1244" s="32">
        <v>16.337804561949195</v>
      </c>
      <c r="D1244" s="125">
        <v>19.5</v>
      </c>
      <c r="E1244" s="125">
        <v>8.3000000000000007</v>
      </c>
      <c r="F1244" s="126">
        <v>7.4999999999999997E-2</v>
      </c>
      <c r="G1244" s="126"/>
      <c r="H1244" s="126">
        <f t="shared" si="19"/>
        <v>1.0952445521994474</v>
      </c>
      <c r="I1244" s="89">
        <v>323.45999999999998</v>
      </c>
      <c r="J1244" s="125">
        <v>68.063541666666666</v>
      </c>
    </row>
    <row r="1245" spans="1:10" x14ac:dyDescent="0.3">
      <c r="A1245" s="88" t="s">
        <v>482</v>
      </c>
      <c r="B1245" s="24">
        <v>39594</v>
      </c>
      <c r="C1245" s="32">
        <v>9.9063634007257644</v>
      </c>
      <c r="D1245" s="125">
        <v>18.600000000000001</v>
      </c>
      <c r="E1245" s="125">
        <v>13.5</v>
      </c>
      <c r="F1245" s="126">
        <v>0.42499999999999999</v>
      </c>
      <c r="G1245" s="126"/>
      <c r="H1245" s="126">
        <f t="shared" si="19"/>
        <v>1.5479739445616383</v>
      </c>
      <c r="I1245" s="89">
        <v>213.3</v>
      </c>
      <c r="J1245" s="125">
        <v>73.763541666666654</v>
      </c>
    </row>
    <row r="1246" spans="1:10" x14ac:dyDescent="0.3">
      <c r="A1246" s="88" t="s">
        <v>482</v>
      </c>
      <c r="B1246" s="24">
        <v>39595</v>
      </c>
      <c r="C1246" s="32">
        <v>15.129096826219687</v>
      </c>
      <c r="D1246" s="125">
        <v>19.100000000000001</v>
      </c>
      <c r="E1246" s="125">
        <v>11.4</v>
      </c>
      <c r="F1246" s="126">
        <v>0</v>
      </c>
      <c r="G1246" s="126"/>
      <c r="H1246" s="126">
        <f t="shared" si="19"/>
        <v>1.3484693686655054</v>
      </c>
      <c r="I1246" s="89">
        <v>432.09000000000003</v>
      </c>
      <c r="J1246" s="125">
        <v>74.391666666666666</v>
      </c>
    </row>
    <row r="1247" spans="1:10" x14ac:dyDescent="0.3">
      <c r="A1247" s="88" t="s">
        <v>482</v>
      </c>
      <c r="B1247" s="24">
        <v>39596</v>
      </c>
      <c r="C1247" s="32">
        <v>22.818746039974659</v>
      </c>
      <c r="D1247" s="125">
        <v>24.6</v>
      </c>
      <c r="E1247" s="125">
        <v>13.1</v>
      </c>
      <c r="F1247" s="126">
        <v>0</v>
      </c>
      <c r="G1247" s="126"/>
      <c r="H1247" s="126">
        <f t="shared" si="19"/>
        <v>1.5080901913058991</v>
      </c>
      <c r="I1247" s="89">
        <v>461.70000000000005</v>
      </c>
      <c r="J1247" s="125">
        <v>61.951041666666676</v>
      </c>
    </row>
    <row r="1248" spans="1:10" x14ac:dyDescent="0.3">
      <c r="A1248" s="88" t="s">
        <v>482</v>
      </c>
      <c r="B1248" s="24">
        <v>39597</v>
      </c>
      <c r="C1248" s="32">
        <v>24.452256494441567</v>
      </c>
      <c r="D1248" s="125">
        <v>26.1</v>
      </c>
      <c r="E1248" s="125">
        <v>13</v>
      </c>
      <c r="F1248" s="126">
        <v>0</v>
      </c>
      <c r="G1248" s="126"/>
      <c r="H1248" s="126">
        <f t="shared" si="19"/>
        <v>1.498261331998219</v>
      </c>
      <c r="I1248" s="89">
        <v>346.31999999999994</v>
      </c>
      <c r="J1248" s="125">
        <v>51.638541666666661</v>
      </c>
    </row>
    <row r="1249" spans="1:11" x14ac:dyDescent="0.3">
      <c r="A1249" s="88" t="s">
        <v>482</v>
      </c>
      <c r="B1249" s="24">
        <v>39598</v>
      </c>
      <c r="C1249" s="32">
        <v>26.179367547952307</v>
      </c>
      <c r="D1249" s="125">
        <v>28.5</v>
      </c>
      <c r="E1249" s="125">
        <v>14.4</v>
      </c>
      <c r="F1249" s="126">
        <v>0</v>
      </c>
      <c r="G1249" s="126"/>
      <c r="H1249" s="126">
        <f t="shared" si="19"/>
        <v>1.6411136286522547</v>
      </c>
      <c r="I1249" s="89">
        <v>272.61000000000007</v>
      </c>
      <c r="J1249" s="125">
        <v>57.543750000000003</v>
      </c>
    </row>
    <row r="1250" spans="1:11" x14ac:dyDescent="0.3">
      <c r="A1250" s="88" t="s">
        <v>482</v>
      </c>
      <c r="B1250" s="24">
        <v>39599</v>
      </c>
      <c r="C1250" s="32">
        <v>24.423456310120383</v>
      </c>
      <c r="D1250" s="125">
        <v>29</v>
      </c>
      <c r="E1250" s="125">
        <v>15.7</v>
      </c>
      <c r="F1250" s="126">
        <v>6.0449999999999999</v>
      </c>
      <c r="G1250" s="126"/>
      <c r="H1250" s="126">
        <f t="shared" si="19"/>
        <v>1.7843198966763008</v>
      </c>
      <c r="I1250" s="89">
        <v>170.37</v>
      </c>
      <c r="J1250" s="125">
        <v>71.728125000000006</v>
      </c>
    </row>
    <row r="1251" spans="1:11" x14ac:dyDescent="0.3">
      <c r="A1251" s="88" t="s">
        <v>482</v>
      </c>
      <c r="B1251" s="24">
        <v>39600</v>
      </c>
      <c r="C1251" s="32">
        <v>20.713632567248432</v>
      </c>
      <c r="D1251" s="125">
        <v>25.6</v>
      </c>
      <c r="E1251" s="125">
        <v>16.3</v>
      </c>
      <c r="F1251" s="126">
        <v>0.02</v>
      </c>
      <c r="G1251" s="126"/>
      <c r="H1251" s="126">
        <f t="shared" si="19"/>
        <v>1.8540295328498797</v>
      </c>
      <c r="I1251" s="89">
        <v>98.730000000000018</v>
      </c>
      <c r="J1251" s="125">
        <v>81.195833333333354</v>
      </c>
    </row>
    <row r="1252" spans="1:11" x14ac:dyDescent="0.3">
      <c r="A1252" s="88" t="s">
        <v>482</v>
      </c>
      <c r="B1252" s="24">
        <v>39601</v>
      </c>
      <c r="C1252" s="32">
        <v>23.294849087034155</v>
      </c>
      <c r="D1252" s="125">
        <v>28.6</v>
      </c>
      <c r="E1252" s="125">
        <v>16.2</v>
      </c>
      <c r="F1252" s="126">
        <v>0</v>
      </c>
      <c r="G1252" s="126"/>
      <c r="H1252" s="126">
        <f t="shared" si="19"/>
        <v>1.842248157637969</v>
      </c>
      <c r="I1252" s="89">
        <v>140.13</v>
      </c>
      <c r="J1252" s="125">
        <v>68.555208333333354</v>
      </c>
    </row>
    <row r="1253" spans="1:11" x14ac:dyDescent="0.3">
      <c r="A1253" s="88" t="s">
        <v>482</v>
      </c>
      <c r="B1253" s="24">
        <v>39602</v>
      </c>
      <c r="C1253" s="32">
        <v>21.419237083117331</v>
      </c>
      <c r="D1253" s="125">
        <v>25.7</v>
      </c>
      <c r="E1253" s="125">
        <v>15.1</v>
      </c>
      <c r="F1253" s="126">
        <v>1.6950000000000001</v>
      </c>
      <c r="G1253" s="126"/>
      <c r="H1253" s="126">
        <f t="shared" si="19"/>
        <v>1.7169184104549529</v>
      </c>
      <c r="I1253" s="89">
        <v>184.50000000000006</v>
      </c>
      <c r="J1253" s="125">
        <v>67.572916666666657</v>
      </c>
    </row>
    <row r="1254" spans="1:11" x14ac:dyDescent="0.3">
      <c r="A1254" s="88" t="s">
        <v>482</v>
      </c>
      <c r="B1254" s="24">
        <v>39603</v>
      </c>
      <c r="C1254" s="32">
        <v>20.960234145498532</v>
      </c>
      <c r="D1254" s="125">
        <v>24.6</v>
      </c>
      <c r="E1254" s="125">
        <v>13.9</v>
      </c>
      <c r="F1254" s="126">
        <v>0.92500000000000004</v>
      </c>
      <c r="G1254" s="126"/>
      <c r="H1254" s="126">
        <f t="shared" si="19"/>
        <v>1.5887804036720876</v>
      </c>
      <c r="I1254" s="89">
        <v>147.60000000000002</v>
      </c>
      <c r="J1254" s="125">
        <v>74.59375</v>
      </c>
    </row>
    <row r="1255" spans="1:11" x14ac:dyDescent="0.3">
      <c r="A1255" s="88" t="s">
        <v>482</v>
      </c>
      <c r="B1255" s="24">
        <v>39604</v>
      </c>
      <c r="C1255" s="32">
        <v>27.132473647831347</v>
      </c>
      <c r="D1255" s="125">
        <v>24.4</v>
      </c>
      <c r="E1255" s="125">
        <v>12.6</v>
      </c>
      <c r="F1255" s="126">
        <v>0</v>
      </c>
      <c r="G1255" s="126"/>
      <c r="H1255" s="126">
        <f t="shared" si="19"/>
        <v>1.4595059422181114</v>
      </c>
      <c r="I1255" s="89">
        <v>296.28000000000003</v>
      </c>
      <c r="J1255" s="125">
        <v>55.057291666666664</v>
      </c>
    </row>
    <row r="1256" spans="1:11" x14ac:dyDescent="0.3">
      <c r="A1256" s="88" t="s">
        <v>482</v>
      </c>
      <c r="B1256" s="24">
        <v>39605</v>
      </c>
      <c r="C1256" s="32">
        <v>26.216267784113818</v>
      </c>
      <c r="D1256" s="125">
        <v>23.8</v>
      </c>
      <c r="E1256" s="125">
        <v>11.6</v>
      </c>
      <c r="F1256" s="126">
        <v>0</v>
      </c>
      <c r="G1256" s="126"/>
      <c r="H1256" s="126">
        <f t="shared" si="19"/>
        <v>1.3664431264636057</v>
      </c>
      <c r="I1256" s="89">
        <v>265.05000000000013</v>
      </c>
      <c r="J1256" s="125">
        <v>53.798958333333353</v>
      </c>
    </row>
    <row r="1257" spans="1:11" x14ac:dyDescent="0.3">
      <c r="A1257" s="88" t="s">
        <v>482</v>
      </c>
      <c r="B1257" s="24">
        <v>39606</v>
      </c>
      <c r="C1257" s="32">
        <v>23.887952882898453</v>
      </c>
      <c r="D1257" s="125">
        <v>26.1</v>
      </c>
      <c r="E1257" s="125">
        <v>12.3</v>
      </c>
      <c r="F1257" s="126">
        <v>0</v>
      </c>
      <c r="G1257" s="126"/>
      <c r="H1257" s="126">
        <f t="shared" si="19"/>
        <v>1.4310198233396516</v>
      </c>
      <c r="I1257" s="89">
        <v>170.81999999999996</v>
      </c>
      <c r="J1257" s="125">
        <v>57.490625000000001</v>
      </c>
    </row>
    <row r="1258" spans="1:11" x14ac:dyDescent="0.3">
      <c r="A1258" s="88" t="s">
        <v>482</v>
      </c>
      <c r="B1258" s="24">
        <v>39607</v>
      </c>
      <c r="C1258" s="32">
        <v>28.069379644029723</v>
      </c>
      <c r="D1258" s="125">
        <v>26.7</v>
      </c>
      <c r="E1258" s="125">
        <v>12.1</v>
      </c>
      <c r="F1258" s="126">
        <v>5.0000000000000001E-3</v>
      </c>
      <c r="G1258" s="126"/>
      <c r="H1258" s="126">
        <f t="shared" si="19"/>
        <v>1.4123014242757443</v>
      </c>
      <c r="I1258" s="89">
        <v>151.29</v>
      </c>
      <c r="J1258" s="125">
        <v>47.86354166666667</v>
      </c>
    </row>
    <row r="1259" spans="1:11" x14ac:dyDescent="0.3">
      <c r="A1259" s="88" t="s">
        <v>482</v>
      </c>
      <c r="B1259" s="24">
        <v>39608</v>
      </c>
      <c r="C1259" s="32">
        <v>29.433788376245609</v>
      </c>
      <c r="D1259" s="125">
        <v>28</v>
      </c>
      <c r="E1259" s="125">
        <v>11.8</v>
      </c>
      <c r="F1259" s="126">
        <v>0</v>
      </c>
      <c r="G1259" s="126"/>
      <c r="H1259" s="126">
        <f t="shared" si="19"/>
        <v>1.3846270162501679</v>
      </c>
      <c r="I1259" s="89">
        <v>131.58000000000004</v>
      </c>
      <c r="J1259" s="125">
        <v>44.078125</v>
      </c>
      <c r="K1259" s="230">
        <v>549.17766843300467</v>
      </c>
    </row>
    <row r="1260" spans="1:11" x14ac:dyDescent="0.3">
      <c r="A1260" s="88" t="s">
        <v>482</v>
      </c>
      <c r="B1260" s="24">
        <v>39609</v>
      </c>
      <c r="C1260" s="32">
        <v>27.403375381602444</v>
      </c>
      <c r="D1260" s="125">
        <v>26.6</v>
      </c>
      <c r="E1260" s="125">
        <v>12.9</v>
      </c>
      <c r="F1260" s="126">
        <v>0</v>
      </c>
      <c r="G1260" s="126"/>
      <c r="H1260" s="126">
        <f t="shared" si="19"/>
        <v>1.4884887514247067</v>
      </c>
      <c r="I1260" s="89">
        <v>287.99999999999994</v>
      </c>
      <c r="J1260" s="125">
        <v>58.782291666666644</v>
      </c>
      <c r="K1260" s="230">
        <v>548.85984790874545</v>
      </c>
    </row>
    <row r="1261" spans="1:11" x14ac:dyDescent="0.3">
      <c r="A1261" s="88" t="s">
        <v>482</v>
      </c>
      <c r="B1261" s="24">
        <v>39610</v>
      </c>
      <c r="C1261" s="32">
        <v>13.987889522492946</v>
      </c>
      <c r="D1261" s="125">
        <v>18.600000000000001</v>
      </c>
      <c r="E1261" s="125">
        <v>12.2</v>
      </c>
      <c r="F1261" s="126">
        <v>3.5000000000000003E-2</v>
      </c>
      <c r="G1261" s="126"/>
      <c r="H1261" s="126">
        <f t="shared" si="19"/>
        <v>1.4216335674868446</v>
      </c>
      <c r="I1261" s="89">
        <v>333.09000000000015</v>
      </c>
      <c r="J1261" s="125">
        <v>60.5</v>
      </c>
      <c r="K1261" s="230">
        <v>550.0668573471587</v>
      </c>
    </row>
    <row r="1262" spans="1:11" x14ac:dyDescent="0.3">
      <c r="A1262" s="88" t="s">
        <v>482</v>
      </c>
      <c r="B1262" s="24">
        <v>39611</v>
      </c>
      <c r="C1262" s="32">
        <v>13.473086227751859</v>
      </c>
      <c r="D1262" s="125">
        <v>15.9</v>
      </c>
      <c r="E1262" s="125">
        <v>9.1999999999999993</v>
      </c>
      <c r="F1262" s="126">
        <v>2.165</v>
      </c>
      <c r="G1262" s="126"/>
      <c r="H1262" s="126">
        <f t="shared" si="19"/>
        <v>1.16404559315309</v>
      </c>
      <c r="I1262" s="89">
        <v>246.14999999999995</v>
      </c>
      <c r="J1262" s="125">
        <v>68.547916666666694</v>
      </c>
      <c r="K1262" s="230">
        <v>549.8037830599269</v>
      </c>
    </row>
    <row r="1263" spans="1:11" x14ac:dyDescent="0.3">
      <c r="A1263" s="88" t="s">
        <v>482</v>
      </c>
      <c r="B1263" s="24">
        <v>39612</v>
      </c>
      <c r="C1263" s="32">
        <v>18.064915615459942</v>
      </c>
      <c r="D1263" s="125">
        <v>16.399999999999999</v>
      </c>
      <c r="E1263" s="125">
        <v>9.5</v>
      </c>
      <c r="F1263" s="126">
        <v>5.21</v>
      </c>
      <c r="G1263" s="126"/>
      <c r="H1263" s="126">
        <f t="shared" si="19"/>
        <v>1.1878093448750482</v>
      </c>
      <c r="I1263" s="89">
        <v>303.29999999999995</v>
      </c>
      <c r="J1263" s="125">
        <v>80.172916666666694</v>
      </c>
      <c r="K1263" s="230">
        <v>549.670086355786</v>
      </c>
    </row>
    <row r="1264" spans="1:11" x14ac:dyDescent="0.3">
      <c r="A1264" s="88" t="s">
        <v>482</v>
      </c>
      <c r="B1264" s="24">
        <v>39613</v>
      </c>
      <c r="C1264" s="32">
        <v>18.849720638212084</v>
      </c>
      <c r="D1264" s="125">
        <v>15.6</v>
      </c>
      <c r="E1264" s="125">
        <v>8.6999999999999993</v>
      </c>
      <c r="F1264" s="126">
        <v>2.085</v>
      </c>
      <c r="G1264" s="126"/>
      <c r="H1264" s="126">
        <f t="shared" si="19"/>
        <v>1.1253678644990226</v>
      </c>
      <c r="I1264" s="89">
        <v>200.34</v>
      </c>
      <c r="J1264" s="125">
        <v>79.81458333333336</v>
      </c>
      <c r="K1264" s="230">
        <v>549.94251497006042</v>
      </c>
    </row>
    <row r="1265" spans="1:11" x14ac:dyDescent="0.3">
      <c r="A1265" s="88" t="s">
        <v>482</v>
      </c>
      <c r="B1265" s="24">
        <v>39614</v>
      </c>
      <c r="C1265" s="32">
        <v>20.905333794136283</v>
      </c>
      <c r="D1265" s="125">
        <v>16.8</v>
      </c>
      <c r="E1265" s="125">
        <v>7.7</v>
      </c>
      <c r="F1265" s="126">
        <v>5.9</v>
      </c>
      <c r="G1265" s="126"/>
      <c r="H1265" s="126">
        <f t="shared" si="19"/>
        <v>1.0513900110721115</v>
      </c>
      <c r="I1265" s="89">
        <v>207.09</v>
      </c>
      <c r="J1265" s="125">
        <v>77.732291666666683</v>
      </c>
      <c r="K1265" s="230">
        <v>549.83589743589755</v>
      </c>
    </row>
    <row r="1266" spans="1:11" x14ac:dyDescent="0.3">
      <c r="A1266" s="88" t="s">
        <v>482</v>
      </c>
      <c r="B1266" s="24">
        <v>39615</v>
      </c>
      <c r="C1266" s="32">
        <v>26.290968262196881</v>
      </c>
      <c r="D1266" s="125">
        <v>18.100000000000001</v>
      </c>
      <c r="E1266" s="125">
        <v>9.1</v>
      </c>
      <c r="F1266" s="126">
        <v>0</v>
      </c>
      <c r="G1266" s="126"/>
      <c r="H1266" s="126">
        <f t="shared" si="19"/>
        <v>1.156217822409108</v>
      </c>
      <c r="I1266" s="89">
        <v>233.55</v>
      </c>
      <c r="J1266" s="125">
        <v>68.260416666666686</v>
      </c>
      <c r="K1266" s="230">
        <v>549.98173973075586</v>
      </c>
    </row>
    <row r="1267" spans="1:11" x14ac:dyDescent="0.3">
      <c r="A1267" s="88" t="s">
        <v>482</v>
      </c>
      <c r="B1267" s="24">
        <v>39616</v>
      </c>
      <c r="C1267" s="32">
        <v>26.615420338690168</v>
      </c>
      <c r="D1267" s="125">
        <v>20.3</v>
      </c>
      <c r="E1267" s="125">
        <v>6.6</v>
      </c>
      <c r="F1267" s="126">
        <v>0.01</v>
      </c>
      <c r="G1267" s="126"/>
      <c r="H1267" s="126">
        <f t="shared" si="19"/>
        <v>0.97499060249070812</v>
      </c>
      <c r="I1267" s="89">
        <v>102.05999999999999</v>
      </c>
      <c r="J1267" s="125">
        <v>64.326562499999994</v>
      </c>
      <c r="K1267" s="230">
        <v>549.24258517034093</v>
      </c>
    </row>
    <row r="1268" spans="1:11" x14ac:dyDescent="0.3">
      <c r="A1268" s="88" t="s">
        <v>482</v>
      </c>
      <c r="B1268" s="24">
        <v>39617</v>
      </c>
      <c r="C1268" s="32">
        <v>25.677164333851739</v>
      </c>
      <c r="D1268" s="125">
        <v>23.8</v>
      </c>
      <c r="E1268" s="125">
        <v>11.3</v>
      </c>
      <c r="F1268" s="126">
        <v>0</v>
      </c>
      <c r="G1268" s="126"/>
      <c r="H1268" s="126">
        <f t="shared" si="19"/>
        <v>1.3395606407879945</v>
      </c>
      <c r="I1268" s="89">
        <v>168.21</v>
      </c>
      <c r="J1268" s="125">
        <v>56.046875</v>
      </c>
      <c r="K1268" s="230">
        <v>550.12182182182221</v>
      </c>
    </row>
    <row r="1269" spans="1:11" x14ac:dyDescent="0.3">
      <c r="A1269" s="88" t="s">
        <v>482</v>
      </c>
      <c r="B1269" s="24">
        <v>39618</v>
      </c>
      <c r="C1269" s="32">
        <v>18.314217210990151</v>
      </c>
      <c r="D1269" s="125">
        <v>24.5</v>
      </c>
      <c r="E1269" s="125">
        <v>13.9</v>
      </c>
      <c r="F1269" s="126">
        <v>5.4</v>
      </c>
      <c r="G1269" s="126"/>
      <c r="H1269" s="126">
        <f t="shared" si="19"/>
        <v>1.5887804036720876</v>
      </c>
      <c r="I1269" s="89">
        <v>256.0499999999999</v>
      </c>
      <c r="J1269" s="125">
        <v>62.859375</v>
      </c>
      <c r="K1269" s="230">
        <v>549.53172851888951</v>
      </c>
    </row>
    <row r="1270" spans="1:11" x14ac:dyDescent="0.3">
      <c r="A1270" s="88" t="s">
        <v>482</v>
      </c>
      <c r="B1270" s="24">
        <v>39619</v>
      </c>
      <c r="C1270" s="32">
        <v>22.411943436437991</v>
      </c>
      <c r="D1270" s="125">
        <v>21.2</v>
      </c>
      <c r="E1270" s="125">
        <v>12.6</v>
      </c>
      <c r="F1270" s="126">
        <v>0.1</v>
      </c>
      <c r="G1270" s="126"/>
      <c r="H1270" s="126">
        <f t="shared" si="19"/>
        <v>1.4595059422181114</v>
      </c>
      <c r="I1270" s="89">
        <v>258.48</v>
      </c>
      <c r="J1270" s="125">
        <v>67.355208333333351</v>
      </c>
      <c r="K1270" s="230">
        <v>550.0490046449903</v>
      </c>
    </row>
    <row r="1271" spans="1:11" x14ac:dyDescent="0.3">
      <c r="A1271" s="88" t="s">
        <v>482</v>
      </c>
      <c r="B1271" s="24">
        <v>39620</v>
      </c>
      <c r="C1271" s="32">
        <v>19.827126893612117</v>
      </c>
      <c r="D1271" s="125">
        <v>21.7</v>
      </c>
      <c r="E1271" s="125">
        <v>13.1</v>
      </c>
      <c r="F1271" s="126">
        <v>5.5E-2</v>
      </c>
      <c r="G1271" s="126"/>
      <c r="H1271" s="126">
        <f t="shared" si="19"/>
        <v>1.5080901913058991</v>
      </c>
      <c r="I1271" s="89">
        <v>180.45</v>
      </c>
      <c r="J1271" s="125">
        <v>64.592708333333334</v>
      </c>
      <c r="K1271" s="230">
        <v>550.13228163400913</v>
      </c>
    </row>
    <row r="1272" spans="1:11" x14ac:dyDescent="0.3">
      <c r="A1272" s="88" t="s">
        <v>482</v>
      </c>
      <c r="B1272" s="24">
        <v>39621</v>
      </c>
      <c r="C1272" s="32">
        <v>21.672138701687693</v>
      </c>
      <c r="D1272" s="125">
        <v>29.5</v>
      </c>
      <c r="E1272" s="125">
        <v>15.1</v>
      </c>
      <c r="F1272" s="126">
        <v>15.195</v>
      </c>
      <c r="G1272" s="126"/>
      <c r="H1272" s="126">
        <f t="shared" si="19"/>
        <v>1.7169184104549529</v>
      </c>
      <c r="I1272" s="89">
        <v>230.39999999999992</v>
      </c>
      <c r="J1272" s="125">
        <v>70.307291666666671</v>
      </c>
      <c r="K1272" s="230">
        <v>548.38210776008123</v>
      </c>
    </row>
    <row r="1273" spans="1:11" x14ac:dyDescent="0.3">
      <c r="A1273" s="88" t="s">
        <v>482</v>
      </c>
      <c r="B1273" s="24">
        <v>39622</v>
      </c>
      <c r="C1273" s="32">
        <v>27.325074880479239</v>
      </c>
      <c r="D1273" s="125">
        <v>21.2</v>
      </c>
      <c r="E1273" s="125">
        <v>11.4</v>
      </c>
      <c r="F1273" s="126">
        <v>0.01</v>
      </c>
      <c r="G1273" s="126"/>
      <c r="H1273" s="126">
        <f t="shared" si="19"/>
        <v>1.3484693686655054</v>
      </c>
      <c r="I1273" s="89">
        <v>402.12</v>
      </c>
      <c r="J1273" s="125">
        <v>64.328125</v>
      </c>
      <c r="K1273" s="230">
        <v>550.63665644171772</v>
      </c>
    </row>
    <row r="1274" spans="1:11" x14ac:dyDescent="0.3">
      <c r="A1274" s="88" t="s">
        <v>482</v>
      </c>
      <c r="B1274" s="24">
        <v>39623</v>
      </c>
      <c r="C1274" s="32">
        <v>30.628996025574565</v>
      </c>
      <c r="D1274" s="125">
        <v>20.6</v>
      </c>
      <c r="E1274" s="125">
        <v>8.1</v>
      </c>
      <c r="F1274" s="126">
        <v>0</v>
      </c>
      <c r="G1274" s="126"/>
      <c r="H1274" s="126">
        <f t="shared" si="19"/>
        <v>1.080450793034103</v>
      </c>
      <c r="I1274" s="89">
        <v>120.86999999999998</v>
      </c>
      <c r="J1274" s="125">
        <v>61.112499999999997</v>
      </c>
      <c r="K1274" s="230">
        <v>551.15320374369958</v>
      </c>
    </row>
    <row r="1275" spans="1:11" x14ac:dyDescent="0.3">
      <c r="A1275" s="88" t="s">
        <v>482</v>
      </c>
      <c r="B1275" s="24">
        <v>39624</v>
      </c>
      <c r="C1275" s="32">
        <v>16.159603421461899</v>
      </c>
      <c r="D1275" s="125">
        <v>24.1</v>
      </c>
      <c r="E1275" s="125">
        <v>13.4</v>
      </c>
      <c r="F1275" s="126">
        <v>0</v>
      </c>
      <c r="G1275" s="126"/>
      <c r="H1275" s="126">
        <f t="shared" si="19"/>
        <v>1.5379172032464434</v>
      </c>
      <c r="I1275" s="89">
        <v>239.85000000000005</v>
      </c>
      <c r="J1275" s="125">
        <v>60.289583333333354</v>
      </c>
      <c r="K1275" s="230">
        <v>549.42159942877538</v>
      </c>
    </row>
    <row r="1276" spans="1:11" x14ac:dyDescent="0.3">
      <c r="A1276" s="88" t="s">
        <v>482</v>
      </c>
      <c r="B1276" s="24">
        <v>39625</v>
      </c>
      <c r="C1276" s="32">
        <v>27.127973619031163</v>
      </c>
      <c r="D1276" s="125">
        <v>23.4</v>
      </c>
      <c r="E1276" s="125">
        <v>14.2</v>
      </c>
      <c r="F1276" s="126">
        <v>0</v>
      </c>
      <c r="G1276" s="126"/>
      <c r="H1276" s="126">
        <f t="shared" si="19"/>
        <v>1.6200016491976139</v>
      </c>
      <c r="I1276" s="89">
        <v>249.48000000000002</v>
      </c>
      <c r="J1276" s="125">
        <v>58.434375000000003</v>
      </c>
      <c r="K1276" s="230">
        <v>550.07644326476486</v>
      </c>
    </row>
    <row r="1277" spans="1:11" x14ac:dyDescent="0.3">
      <c r="A1277" s="88" t="s">
        <v>482</v>
      </c>
      <c r="B1277" s="24">
        <v>39626</v>
      </c>
      <c r="C1277" s="32">
        <v>13.068083635735269</v>
      </c>
      <c r="D1277" s="125">
        <v>20.399999999999999</v>
      </c>
      <c r="E1277" s="125">
        <v>13.1</v>
      </c>
      <c r="F1277" s="126">
        <v>5.0000000000000001E-3</v>
      </c>
      <c r="G1277" s="126"/>
      <c r="H1277" s="126">
        <f t="shared" si="19"/>
        <v>1.5080901913058991</v>
      </c>
      <c r="I1277" s="89">
        <v>342.53999999999991</v>
      </c>
      <c r="J1277" s="125">
        <v>62.692708333333286</v>
      </c>
      <c r="K1277" s="230">
        <v>550.06920384952002</v>
      </c>
    </row>
    <row r="1278" spans="1:11" x14ac:dyDescent="0.3">
      <c r="A1278" s="88" t="s">
        <v>482</v>
      </c>
      <c r="B1278" s="24">
        <v>39627</v>
      </c>
      <c r="C1278" s="32">
        <v>11.25367202350095</v>
      </c>
      <c r="D1278" s="125">
        <v>21.6</v>
      </c>
      <c r="E1278" s="125">
        <v>12.4</v>
      </c>
      <c r="F1278" s="126">
        <v>0.44</v>
      </c>
      <c r="G1278" s="126"/>
      <c r="H1278" s="126">
        <f t="shared" si="19"/>
        <v>1.4404604588486194</v>
      </c>
      <c r="I1278" s="89">
        <v>295.11</v>
      </c>
      <c r="J1278" s="125">
        <v>78.209374999999994</v>
      </c>
      <c r="K1278" s="230">
        <v>549.44607154797791</v>
      </c>
    </row>
    <row r="1279" spans="1:11" x14ac:dyDescent="0.3">
      <c r="A1279" s="88" t="s">
        <v>482</v>
      </c>
      <c r="B1279" s="24">
        <v>39628</v>
      </c>
      <c r="C1279" s="32">
        <v>25.97236622314383</v>
      </c>
      <c r="D1279" s="125">
        <v>23.8</v>
      </c>
      <c r="E1279" s="125">
        <v>14.2</v>
      </c>
      <c r="F1279" s="126">
        <v>0</v>
      </c>
      <c r="G1279" s="126"/>
      <c r="H1279" s="126">
        <f t="shared" si="19"/>
        <v>1.6200016491976139</v>
      </c>
      <c r="I1279" s="89">
        <v>229.23000000000002</v>
      </c>
      <c r="J1279" s="125">
        <v>65.761458333333309</v>
      </c>
      <c r="K1279" s="230">
        <v>549.92517482517542</v>
      </c>
    </row>
    <row r="1280" spans="1:11" x14ac:dyDescent="0.3">
      <c r="A1280" s="88" t="s">
        <v>482</v>
      </c>
      <c r="B1280" s="24">
        <v>39629</v>
      </c>
      <c r="C1280" s="32">
        <v>24.77805857957491</v>
      </c>
      <c r="D1280" s="125">
        <v>23</v>
      </c>
      <c r="E1280" s="125">
        <v>12.4</v>
      </c>
      <c r="F1280" s="126">
        <v>0</v>
      </c>
      <c r="G1280" s="126"/>
      <c r="H1280" s="126">
        <f t="shared" si="19"/>
        <v>1.4404604588486194</v>
      </c>
      <c r="I1280" s="89">
        <v>237.51000000000005</v>
      </c>
      <c r="J1280" s="125">
        <v>58.21875</v>
      </c>
      <c r="K1280" s="230">
        <v>550.13702805680589</v>
      </c>
    </row>
    <row r="1281" spans="1:11" x14ac:dyDescent="0.3">
      <c r="A1281" s="88" t="s">
        <v>482</v>
      </c>
      <c r="B1281" s="24">
        <v>39630</v>
      </c>
      <c r="C1281" s="32">
        <v>29.103486262312078</v>
      </c>
      <c r="D1281" s="125">
        <v>27.3</v>
      </c>
      <c r="E1281" s="125">
        <v>10.1</v>
      </c>
      <c r="F1281" s="126">
        <v>2.5000000000000001E-2</v>
      </c>
      <c r="G1281" s="126"/>
      <c r="H1281" s="126">
        <f t="shared" si="19"/>
        <v>1.2366203081300822</v>
      </c>
      <c r="I1281" s="89">
        <v>106.28999999999998</v>
      </c>
      <c r="J1281" s="125">
        <v>57.172916666666701</v>
      </c>
      <c r="K1281" s="230">
        <v>549.69383259911797</v>
      </c>
    </row>
    <row r="1282" spans="1:11" x14ac:dyDescent="0.3">
      <c r="A1282" s="88" t="s">
        <v>482</v>
      </c>
      <c r="B1282" s="24">
        <v>39631</v>
      </c>
      <c r="C1282" s="32">
        <v>28.761484073498071</v>
      </c>
      <c r="D1282" s="125">
        <v>31.1</v>
      </c>
      <c r="E1282" s="125">
        <v>12.7</v>
      </c>
      <c r="F1282" s="126">
        <v>0.01</v>
      </c>
      <c r="G1282" s="126"/>
      <c r="H1282" s="126">
        <f t="shared" si="19"/>
        <v>1.4691113294420337</v>
      </c>
      <c r="I1282" s="89">
        <v>194.21999999999997</v>
      </c>
      <c r="J1282" s="125">
        <v>51.483333333333341</v>
      </c>
      <c r="K1282" s="230">
        <v>549.90285330647862</v>
      </c>
    </row>
    <row r="1283" spans="1:11" x14ac:dyDescent="0.3">
      <c r="A1283" s="88" t="s">
        <v>482</v>
      </c>
      <c r="B1283" s="24">
        <v>39632</v>
      </c>
      <c r="C1283" s="32">
        <v>20.217729393468119</v>
      </c>
      <c r="D1283" s="125">
        <v>29.1</v>
      </c>
      <c r="E1283" s="125">
        <v>17</v>
      </c>
      <c r="F1283" s="126">
        <v>4.4749999999999996</v>
      </c>
      <c r="G1283" s="126"/>
      <c r="H1283" s="126">
        <f t="shared" si="19"/>
        <v>1.9383638408527206</v>
      </c>
      <c r="I1283" s="89">
        <v>164.34</v>
      </c>
      <c r="J1283" s="125">
        <v>71.178124999999994</v>
      </c>
      <c r="K1283" s="230">
        <v>548.27127071823111</v>
      </c>
    </row>
    <row r="1284" spans="1:11" x14ac:dyDescent="0.3">
      <c r="A1284" s="88" t="s">
        <v>482</v>
      </c>
      <c r="B1284" s="24">
        <v>39633</v>
      </c>
      <c r="C1284" s="32">
        <v>13.257084845343011</v>
      </c>
      <c r="D1284" s="125">
        <v>19.100000000000001</v>
      </c>
      <c r="E1284" s="125">
        <v>13.7</v>
      </c>
      <c r="F1284" s="126">
        <v>7.4550000000000001</v>
      </c>
      <c r="G1284" s="126"/>
      <c r="H1284" s="126">
        <f t="shared" ref="H1284:H1347" si="20">0.611*EXP((17.27*E1284)/(E1284+237.3))</f>
        <v>1.568260711501982</v>
      </c>
      <c r="I1284" s="89">
        <v>375.92999999999995</v>
      </c>
      <c r="J1284" s="125">
        <v>85.494791666666643</v>
      </c>
      <c r="K1284" s="230">
        <v>549.90692124104953</v>
      </c>
    </row>
    <row r="1285" spans="1:11" x14ac:dyDescent="0.3">
      <c r="A1285" s="88" t="s">
        <v>482</v>
      </c>
      <c r="B1285" s="24">
        <v>39634</v>
      </c>
      <c r="C1285" s="32">
        <v>23.343449398076146</v>
      </c>
      <c r="D1285" s="125">
        <v>23.3</v>
      </c>
      <c r="E1285" s="125">
        <v>13.2</v>
      </c>
      <c r="F1285" s="126">
        <v>0.53</v>
      </c>
      <c r="G1285" s="126"/>
      <c r="H1285" s="126">
        <f t="shared" si="20"/>
        <v>1.5179756049640964</v>
      </c>
      <c r="I1285" s="89">
        <v>174.69</v>
      </c>
      <c r="J1285" s="125">
        <v>72.422916666666637</v>
      </c>
      <c r="K1285" s="230">
        <v>551.02992675270241</v>
      </c>
    </row>
    <row r="1286" spans="1:11" x14ac:dyDescent="0.3">
      <c r="A1286" s="88" t="s">
        <v>482</v>
      </c>
      <c r="B1286" s="24">
        <v>39635</v>
      </c>
      <c r="C1286" s="32">
        <v>16.617706353320663</v>
      </c>
      <c r="D1286" s="125">
        <v>25.1</v>
      </c>
      <c r="E1286" s="125">
        <v>14.8</v>
      </c>
      <c r="F1286" s="126">
        <v>7.35</v>
      </c>
      <c r="G1286" s="126"/>
      <c r="H1286" s="126">
        <f t="shared" si="20"/>
        <v>1.6840627760776321</v>
      </c>
      <c r="I1286" s="89">
        <v>118.80000000000001</v>
      </c>
      <c r="J1286" s="125">
        <v>73.061458333333348</v>
      </c>
      <c r="K1286" s="230">
        <v>553.13833160978788</v>
      </c>
    </row>
    <row r="1287" spans="1:11" x14ac:dyDescent="0.3">
      <c r="A1287" s="88" t="s">
        <v>482</v>
      </c>
      <c r="B1287" s="24">
        <v>39636</v>
      </c>
      <c r="C1287" s="32">
        <v>20.523731351880652</v>
      </c>
      <c r="D1287" s="125">
        <v>22.2</v>
      </c>
      <c r="E1287" s="125">
        <v>13.6</v>
      </c>
      <c r="F1287" s="126">
        <v>2.5550000000000002</v>
      </c>
      <c r="G1287" s="126"/>
      <c r="H1287" s="126">
        <f t="shared" si="20"/>
        <v>1.55808835361568</v>
      </c>
      <c r="I1287" s="89">
        <v>189.09000000000003</v>
      </c>
      <c r="J1287" s="125">
        <v>72.267708333333317</v>
      </c>
      <c r="K1287" s="230">
        <v>549.32199488491051</v>
      </c>
    </row>
    <row r="1288" spans="1:11" x14ac:dyDescent="0.3">
      <c r="A1288" s="88" t="s">
        <v>482</v>
      </c>
      <c r="B1288" s="24">
        <v>39637</v>
      </c>
      <c r="C1288" s="32">
        <v>18.500518403317781</v>
      </c>
      <c r="D1288" s="125">
        <v>21.3</v>
      </c>
      <c r="E1288" s="125">
        <v>12.9</v>
      </c>
      <c r="F1288" s="126">
        <v>2.98</v>
      </c>
      <c r="G1288" s="126"/>
      <c r="H1288" s="126">
        <f t="shared" si="20"/>
        <v>1.4884887514247067</v>
      </c>
      <c r="I1288" s="89">
        <v>324.27</v>
      </c>
      <c r="J1288" s="125">
        <v>73.707291666666691</v>
      </c>
      <c r="K1288" s="230">
        <v>547.3760755508913</v>
      </c>
    </row>
    <row r="1289" spans="1:11" x14ac:dyDescent="0.3">
      <c r="A1289" s="88" t="s">
        <v>482</v>
      </c>
      <c r="B1289" s="24">
        <v>39638</v>
      </c>
      <c r="C1289" s="32">
        <v>15.327998099187836</v>
      </c>
      <c r="D1289" s="125">
        <v>20</v>
      </c>
      <c r="E1289" s="125">
        <v>11.9</v>
      </c>
      <c r="F1289" s="126">
        <v>0</v>
      </c>
      <c r="G1289" s="126"/>
      <c r="H1289" s="126">
        <f t="shared" si="20"/>
        <v>1.3937984130245886</v>
      </c>
      <c r="I1289" s="89">
        <v>327.60000000000025</v>
      </c>
      <c r="J1289" s="125">
        <v>68.821875000000006</v>
      </c>
      <c r="K1289" s="230">
        <v>550.86469838572725</v>
      </c>
    </row>
    <row r="1290" spans="1:11" x14ac:dyDescent="0.3">
      <c r="A1290" s="88" t="s">
        <v>482</v>
      </c>
      <c r="B1290" s="24">
        <v>39639</v>
      </c>
      <c r="C1290" s="32">
        <v>7.8813504406428203</v>
      </c>
      <c r="D1290" s="125">
        <v>20</v>
      </c>
      <c r="E1290" s="125">
        <v>13.5</v>
      </c>
      <c r="F1290" s="126">
        <v>8.6449999999999996</v>
      </c>
      <c r="G1290" s="126"/>
      <c r="H1290" s="126">
        <f t="shared" si="20"/>
        <v>1.5479739445616383</v>
      </c>
      <c r="I1290" s="89">
        <v>137.79</v>
      </c>
      <c r="J1290" s="125">
        <v>89.838541666666671</v>
      </c>
      <c r="K1290" s="230">
        <v>549.40320855614948</v>
      </c>
    </row>
    <row r="1291" spans="1:11" x14ac:dyDescent="0.3">
      <c r="A1291" s="88" t="s">
        <v>482</v>
      </c>
      <c r="B1291" s="24">
        <v>39640</v>
      </c>
      <c r="C1291" s="32">
        <v>10.47876706410921</v>
      </c>
      <c r="D1291" s="125">
        <v>21.1</v>
      </c>
      <c r="E1291" s="125">
        <v>16.7</v>
      </c>
      <c r="F1291" s="126">
        <v>0.9</v>
      </c>
      <c r="G1291" s="126"/>
      <c r="H1291" s="126">
        <f t="shared" si="20"/>
        <v>1.9018178351702275</v>
      </c>
      <c r="I1291" s="89">
        <v>154.17000000000002</v>
      </c>
      <c r="J1291" s="125">
        <v>86.060416666666654</v>
      </c>
      <c r="K1291" s="230">
        <v>549.169484536082</v>
      </c>
    </row>
    <row r="1292" spans="1:11" x14ac:dyDescent="0.3">
      <c r="A1292" s="88" t="s">
        <v>482</v>
      </c>
      <c r="B1292" s="24">
        <v>39641</v>
      </c>
      <c r="C1292" s="32">
        <v>19.686725995046366</v>
      </c>
      <c r="D1292" s="125">
        <v>22.1</v>
      </c>
      <c r="E1292" s="125">
        <v>13.2</v>
      </c>
      <c r="F1292" s="126">
        <v>0.64</v>
      </c>
      <c r="G1292" s="126"/>
      <c r="H1292" s="126">
        <f t="shared" si="20"/>
        <v>1.5179756049640964</v>
      </c>
      <c r="I1292" s="89">
        <v>243.45000000000002</v>
      </c>
      <c r="J1292" s="125">
        <v>71.888541666666669</v>
      </c>
      <c r="K1292" s="230">
        <v>549.07682449270419</v>
      </c>
    </row>
    <row r="1293" spans="1:11" x14ac:dyDescent="0.3">
      <c r="A1293" s="88" t="s">
        <v>482</v>
      </c>
      <c r="B1293" s="24">
        <v>39642</v>
      </c>
      <c r="C1293" s="32">
        <v>17.056909164218652</v>
      </c>
      <c r="D1293" s="125">
        <v>21</v>
      </c>
      <c r="E1293" s="125">
        <v>11</v>
      </c>
      <c r="F1293" s="126">
        <v>0</v>
      </c>
      <c r="G1293" s="126"/>
      <c r="H1293" s="126">
        <f t="shared" si="20"/>
        <v>1.313143973467028</v>
      </c>
      <c r="I1293" s="89">
        <v>111.15000000000003</v>
      </c>
      <c r="J1293" s="125">
        <v>69.115624999999994</v>
      </c>
      <c r="K1293" s="230">
        <v>548.20397085610227</v>
      </c>
    </row>
    <row r="1294" spans="1:11" x14ac:dyDescent="0.3">
      <c r="A1294" s="88" t="s">
        <v>482</v>
      </c>
      <c r="B1294" s="24">
        <v>39643</v>
      </c>
      <c r="C1294" s="32">
        <v>22.812445999654397</v>
      </c>
      <c r="D1294" s="125">
        <v>21.4</v>
      </c>
      <c r="E1294" s="125">
        <v>10.8</v>
      </c>
      <c r="F1294" s="126">
        <v>0</v>
      </c>
      <c r="G1294" s="126"/>
      <c r="H1294" s="126">
        <f t="shared" si="20"/>
        <v>1.2957882396636844</v>
      </c>
      <c r="I1294" s="89">
        <v>290.60999999999996</v>
      </c>
      <c r="J1294" s="125">
        <v>68.545833333333334</v>
      </c>
      <c r="K1294" s="230">
        <v>550.40391945343458</v>
      </c>
    </row>
    <row r="1295" spans="1:11" x14ac:dyDescent="0.3">
      <c r="A1295" s="88" t="s">
        <v>482</v>
      </c>
      <c r="B1295" s="24">
        <v>39644</v>
      </c>
      <c r="C1295" s="32">
        <v>15.662800241921548</v>
      </c>
      <c r="D1295" s="125">
        <v>24.5</v>
      </c>
      <c r="E1295" s="125">
        <v>12.8</v>
      </c>
      <c r="F1295" s="126">
        <v>0</v>
      </c>
      <c r="G1295" s="126"/>
      <c r="H1295" s="126">
        <f t="shared" si="20"/>
        <v>1.4787721750550831</v>
      </c>
      <c r="I1295" s="89">
        <v>289.34999999999991</v>
      </c>
      <c r="J1295" s="125">
        <v>64.186458333333306</v>
      </c>
      <c r="K1295" s="230">
        <v>549.36319420489826</v>
      </c>
    </row>
    <row r="1296" spans="1:11" x14ac:dyDescent="0.3">
      <c r="A1296" s="88" t="s">
        <v>482</v>
      </c>
      <c r="B1296" s="24">
        <v>39645</v>
      </c>
      <c r="C1296" s="32">
        <v>5.5971358216692586</v>
      </c>
      <c r="D1296" s="125">
        <v>18.399999999999999</v>
      </c>
      <c r="E1296" s="125">
        <v>12.5</v>
      </c>
      <c r="F1296" s="126">
        <v>7.13</v>
      </c>
      <c r="G1296" s="126"/>
      <c r="H1296" s="126">
        <f t="shared" si="20"/>
        <v>1.4499557420926388</v>
      </c>
      <c r="I1296" s="89">
        <v>228.87</v>
      </c>
      <c r="J1296" s="125">
        <v>87.903125000000003</v>
      </c>
      <c r="K1296" s="230">
        <v>549.89811183732627</v>
      </c>
    </row>
    <row r="1297" spans="1:11" x14ac:dyDescent="0.3">
      <c r="A1297" s="88" t="s">
        <v>482</v>
      </c>
      <c r="B1297" s="24">
        <v>39646</v>
      </c>
      <c r="C1297" s="32">
        <v>14.448692471631817</v>
      </c>
      <c r="D1297" s="125">
        <v>19.2</v>
      </c>
      <c r="E1297" s="125">
        <v>9.6</v>
      </c>
      <c r="F1297" s="126">
        <v>1.4999999999999999E-2</v>
      </c>
      <c r="G1297" s="126"/>
      <c r="H1297" s="126">
        <f t="shared" si="20"/>
        <v>1.1958248668287446</v>
      </c>
      <c r="I1297" s="89">
        <v>223.20000000000005</v>
      </c>
      <c r="J1297" s="125">
        <v>72.533333333333317</v>
      </c>
      <c r="K1297" s="230">
        <v>548.0188172043006</v>
      </c>
    </row>
    <row r="1298" spans="1:11" x14ac:dyDescent="0.3">
      <c r="A1298" s="88" t="s">
        <v>482</v>
      </c>
      <c r="B1298" s="24">
        <v>39647</v>
      </c>
      <c r="C1298" s="32">
        <v>5.6970364610333508</v>
      </c>
      <c r="D1298" s="125">
        <v>17.7</v>
      </c>
      <c r="E1298" s="125">
        <v>12.8</v>
      </c>
      <c r="F1298" s="126">
        <v>0.58499999999999996</v>
      </c>
      <c r="G1298" s="126"/>
      <c r="H1298" s="126">
        <f t="shared" si="20"/>
        <v>1.4787721750550831</v>
      </c>
      <c r="I1298" s="89">
        <v>182.97</v>
      </c>
      <c r="J1298" s="125">
        <v>83.985416666666652</v>
      </c>
      <c r="K1298" s="230">
        <v>546.66126629422831</v>
      </c>
    </row>
    <row r="1299" spans="1:11" x14ac:dyDescent="0.3">
      <c r="A1299" s="88" t="s">
        <v>482</v>
      </c>
      <c r="B1299" s="24">
        <v>39648</v>
      </c>
      <c r="C1299" s="32">
        <v>12.480379874431195</v>
      </c>
      <c r="D1299" s="125">
        <v>23.4</v>
      </c>
      <c r="E1299" s="125">
        <v>12.7</v>
      </c>
      <c r="F1299" s="126">
        <v>2.1749999999999998</v>
      </c>
      <c r="G1299" s="126"/>
      <c r="H1299" s="126">
        <f t="shared" si="20"/>
        <v>1.4691113294420337</v>
      </c>
      <c r="I1299" s="89">
        <v>212.93999999999994</v>
      </c>
      <c r="J1299" s="125">
        <v>80.488541666666706</v>
      </c>
      <c r="K1299" s="230">
        <v>546.98459394904614</v>
      </c>
    </row>
    <row r="1300" spans="1:11" x14ac:dyDescent="0.3">
      <c r="A1300" s="88" t="s">
        <v>482</v>
      </c>
      <c r="B1300" s="24">
        <v>39649</v>
      </c>
      <c r="C1300" s="32">
        <v>9.868563158804216</v>
      </c>
      <c r="D1300" s="125">
        <v>17.600000000000001</v>
      </c>
      <c r="E1300" s="125">
        <v>10.5</v>
      </c>
      <c r="F1300" s="126">
        <v>1.9650000000000001</v>
      </c>
      <c r="G1300" s="126"/>
      <c r="H1300" s="126">
        <f t="shared" si="20"/>
        <v>1.2701326466613394</v>
      </c>
      <c r="I1300" s="89">
        <v>265.85999999999996</v>
      </c>
      <c r="J1300" s="125">
        <v>82.940624999999997</v>
      </c>
      <c r="K1300" s="230">
        <v>545.67910271546702</v>
      </c>
    </row>
    <row r="1301" spans="1:11" x14ac:dyDescent="0.3">
      <c r="A1301" s="88" t="s">
        <v>482</v>
      </c>
      <c r="B1301" s="24">
        <v>39650</v>
      </c>
      <c r="C1301" s="32">
        <v>6.1632394447324463</v>
      </c>
      <c r="D1301" s="125">
        <v>14.5</v>
      </c>
      <c r="E1301" s="125">
        <v>10.3</v>
      </c>
      <c r="F1301" s="126">
        <v>10.67</v>
      </c>
      <c r="G1301" s="126"/>
      <c r="H1301" s="126">
        <f t="shared" si="20"/>
        <v>1.2532780017936267</v>
      </c>
      <c r="I1301" s="89">
        <v>375.57</v>
      </c>
      <c r="J1301" s="125">
        <v>85.412499999999994</v>
      </c>
      <c r="K1301" s="230">
        <v>525.56600000000003</v>
      </c>
    </row>
    <row r="1302" spans="1:11" x14ac:dyDescent="0.3">
      <c r="A1302" s="88" t="s">
        <v>482</v>
      </c>
      <c r="B1302" s="24">
        <v>39651</v>
      </c>
      <c r="C1302" s="32">
        <v>15.051696330856519</v>
      </c>
      <c r="D1302" s="125">
        <v>19.5</v>
      </c>
      <c r="E1302" s="125">
        <v>13.1</v>
      </c>
      <c r="F1302" s="126">
        <v>0.76</v>
      </c>
      <c r="G1302" s="126"/>
      <c r="H1302" s="126">
        <f t="shared" si="20"/>
        <v>1.5080901913058991</v>
      </c>
      <c r="I1302" s="89">
        <v>349.65</v>
      </c>
      <c r="J1302" s="125">
        <v>79.206249999999997</v>
      </c>
      <c r="K1302" s="230">
        <v>549.56713928273575</v>
      </c>
    </row>
    <row r="1303" spans="1:11" x14ac:dyDescent="0.3">
      <c r="A1303" s="88" t="s">
        <v>482</v>
      </c>
      <c r="B1303" s="24">
        <v>39652</v>
      </c>
      <c r="C1303" s="32">
        <v>27.000172801105929</v>
      </c>
      <c r="D1303" s="125">
        <v>22.7</v>
      </c>
      <c r="E1303" s="125">
        <v>10.6</v>
      </c>
      <c r="F1303" s="126">
        <v>0.02</v>
      </c>
      <c r="G1303" s="126"/>
      <c r="H1303" s="126">
        <f t="shared" si="20"/>
        <v>1.2786344448492586</v>
      </c>
      <c r="I1303" s="89">
        <v>142.02000000000001</v>
      </c>
      <c r="J1303" s="125">
        <v>70.19479166666666</v>
      </c>
      <c r="K1303" s="230">
        <v>549.35305886879587</v>
      </c>
    </row>
    <row r="1304" spans="1:11" x14ac:dyDescent="0.3">
      <c r="A1304" s="88" t="s">
        <v>482</v>
      </c>
      <c r="B1304" s="24">
        <v>39653</v>
      </c>
      <c r="C1304" s="32">
        <v>27.16037382639249</v>
      </c>
      <c r="D1304" s="125">
        <v>25.5</v>
      </c>
      <c r="E1304" s="125">
        <v>10.5</v>
      </c>
      <c r="F1304" s="126">
        <v>0</v>
      </c>
      <c r="G1304" s="126"/>
      <c r="H1304" s="126">
        <f t="shared" si="20"/>
        <v>1.2701326466613394</v>
      </c>
      <c r="I1304" s="89">
        <v>208.98000000000002</v>
      </c>
      <c r="J1304" s="125">
        <v>63.77083333333335</v>
      </c>
      <c r="K1304" s="230">
        <v>552.29985337243295</v>
      </c>
    </row>
    <row r="1305" spans="1:11" x14ac:dyDescent="0.3">
      <c r="A1305" s="88" t="s">
        <v>482</v>
      </c>
      <c r="B1305" s="24">
        <v>39654</v>
      </c>
      <c r="C1305" s="32">
        <v>19.007221646218536</v>
      </c>
      <c r="D1305" s="125">
        <v>28.4</v>
      </c>
      <c r="E1305" s="125">
        <v>16.399999999999999</v>
      </c>
      <c r="F1305" s="126">
        <v>0.97</v>
      </c>
      <c r="G1305" s="126"/>
      <c r="H1305" s="126">
        <f t="shared" si="20"/>
        <v>1.8658768743849428</v>
      </c>
      <c r="I1305" s="89">
        <v>194.30999999999995</v>
      </c>
      <c r="J1305" s="125">
        <v>68.314583333333346</v>
      </c>
      <c r="K1305" s="230">
        <v>549.60679806918654</v>
      </c>
    </row>
    <row r="1306" spans="1:11" x14ac:dyDescent="0.3">
      <c r="A1306" s="88" t="s">
        <v>482</v>
      </c>
      <c r="B1306" s="24">
        <v>39655</v>
      </c>
      <c r="C1306" s="32">
        <v>23.177848338229367</v>
      </c>
      <c r="D1306" s="125">
        <v>30.4</v>
      </c>
      <c r="E1306" s="125">
        <v>18</v>
      </c>
      <c r="F1306" s="126">
        <v>0.01</v>
      </c>
      <c r="G1306" s="126"/>
      <c r="H1306" s="126">
        <f t="shared" si="20"/>
        <v>2.0646650340955413</v>
      </c>
      <c r="I1306" s="89">
        <v>247.05</v>
      </c>
      <c r="J1306" s="125">
        <v>68.835416666666674</v>
      </c>
      <c r="K1306" s="230">
        <v>549.6</v>
      </c>
    </row>
    <row r="1307" spans="1:11" x14ac:dyDescent="0.3">
      <c r="A1307" s="88" t="s">
        <v>482</v>
      </c>
      <c r="B1307" s="24">
        <v>39656</v>
      </c>
      <c r="C1307" s="32">
        <v>25.405362594320607</v>
      </c>
      <c r="D1307" s="125">
        <v>30.9</v>
      </c>
      <c r="E1307" s="125">
        <v>17.7</v>
      </c>
      <c r="F1307" s="126">
        <v>0</v>
      </c>
      <c r="G1307" s="126"/>
      <c r="H1307" s="126">
        <f t="shared" si="20"/>
        <v>2.0260394077720378</v>
      </c>
      <c r="I1307" s="89">
        <v>194.22000000000008</v>
      </c>
      <c r="J1307" s="125">
        <v>59.547916666666659</v>
      </c>
      <c r="K1307" s="230">
        <v>549.12917628945536</v>
      </c>
    </row>
    <row r="1308" spans="1:11" x14ac:dyDescent="0.3">
      <c r="A1308" s="88" t="s">
        <v>482</v>
      </c>
      <c r="B1308" s="24">
        <v>39657</v>
      </c>
      <c r="C1308" s="32">
        <v>26.194667645872933</v>
      </c>
      <c r="D1308" s="125">
        <v>32.200000000000003</v>
      </c>
      <c r="E1308" s="125">
        <v>15.3</v>
      </c>
      <c r="F1308" s="126">
        <v>0</v>
      </c>
      <c r="G1308" s="126"/>
      <c r="H1308" s="126">
        <f t="shared" si="20"/>
        <v>1.739133169821284</v>
      </c>
      <c r="I1308" s="89">
        <v>229.58999999999997</v>
      </c>
      <c r="J1308" s="125">
        <v>51.27604166666665</v>
      </c>
      <c r="K1308" s="230">
        <v>549.81169660678665</v>
      </c>
    </row>
    <row r="1309" spans="1:11" x14ac:dyDescent="0.3">
      <c r="A1309" s="88" t="s">
        <v>482</v>
      </c>
      <c r="B1309" s="24">
        <v>39658</v>
      </c>
      <c r="C1309" s="32">
        <v>21.344536605034271</v>
      </c>
      <c r="D1309" s="125">
        <v>32.6</v>
      </c>
      <c r="E1309" s="125">
        <v>15.5</v>
      </c>
      <c r="F1309" s="126">
        <v>1.375</v>
      </c>
      <c r="G1309" s="126"/>
      <c r="H1309" s="126">
        <f t="shared" si="20"/>
        <v>1.7615995264429876</v>
      </c>
      <c r="I1309" s="89">
        <v>237.78000000000003</v>
      </c>
      <c r="J1309" s="125">
        <v>56.532291666666644</v>
      </c>
      <c r="K1309" s="230">
        <v>549.4215314632296</v>
      </c>
    </row>
    <row r="1310" spans="1:11" x14ac:dyDescent="0.3">
      <c r="A1310" s="88" t="s">
        <v>482</v>
      </c>
      <c r="B1310" s="24">
        <v>39659</v>
      </c>
      <c r="C1310" s="32">
        <v>22.516344104602272</v>
      </c>
      <c r="D1310" s="125">
        <v>27.5</v>
      </c>
      <c r="E1310" s="125">
        <v>18</v>
      </c>
      <c r="F1310" s="126">
        <v>3.5000000000000003E-2</v>
      </c>
      <c r="G1310" s="126"/>
      <c r="H1310" s="126">
        <f t="shared" si="20"/>
        <v>2.0646650340955413</v>
      </c>
      <c r="I1310" s="89">
        <v>162.18</v>
      </c>
      <c r="J1310" s="125">
        <v>72.798958333333346</v>
      </c>
      <c r="K1310" s="230">
        <v>549.36676806083517</v>
      </c>
    </row>
    <row r="1311" spans="1:11" x14ac:dyDescent="0.3">
      <c r="A1311" s="88" t="s">
        <v>482</v>
      </c>
      <c r="B1311" s="24">
        <v>39660</v>
      </c>
      <c r="C1311" s="32">
        <v>24.806858763896088</v>
      </c>
      <c r="D1311" s="125">
        <v>31.7</v>
      </c>
      <c r="E1311" s="125">
        <v>16.5</v>
      </c>
      <c r="F1311" s="126">
        <v>1.4999999999999999E-2</v>
      </c>
      <c r="G1311" s="126"/>
      <c r="H1311" s="126">
        <f t="shared" si="20"/>
        <v>1.8777904954698514</v>
      </c>
      <c r="I1311" s="89">
        <v>262.98</v>
      </c>
      <c r="J1311" s="125">
        <v>52.392708333333331</v>
      </c>
      <c r="K1311" s="230">
        <v>549.7121249999999</v>
      </c>
    </row>
    <row r="1312" spans="1:11" x14ac:dyDescent="0.3">
      <c r="A1312" s="88" t="s">
        <v>482</v>
      </c>
      <c r="B1312" s="24">
        <v>39661</v>
      </c>
      <c r="C1312" s="32">
        <v>15.480999078394102</v>
      </c>
      <c r="D1312" s="125">
        <v>29.1</v>
      </c>
      <c r="E1312" s="125">
        <v>18.2</v>
      </c>
      <c r="F1312" s="126">
        <v>14.574999999999999</v>
      </c>
      <c r="G1312" s="126"/>
      <c r="H1312" s="126">
        <f t="shared" si="20"/>
        <v>2.0907721782330535</v>
      </c>
      <c r="I1312" s="89">
        <v>204.93</v>
      </c>
      <c r="J1312" s="125">
        <v>65.442708333333343</v>
      </c>
      <c r="K1312" s="230">
        <v>549.62717107715139</v>
      </c>
    </row>
    <row r="1313" spans="1:11" x14ac:dyDescent="0.3">
      <c r="A1313" s="88" t="s">
        <v>482</v>
      </c>
      <c r="B1313" s="24">
        <v>39662</v>
      </c>
      <c r="C1313" s="32">
        <v>20.007128045619492</v>
      </c>
      <c r="D1313" s="125">
        <v>25.1</v>
      </c>
      <c r="E1313" s="125">
        <v>17</v>
      </c>
      <c r="F1313" s="126">
        <v>1.7549999999999999</v>
      </c>
      <c r="G1313" s="126"/>
      <c r="H1313" s="126">
        <f t="shared" si="20"/>
        <v>1.9383638408527206</v>
      </c>
      <c r="I1313" s="89">
        <v>127.53000000000002</v>
      </c>
      <c r="J1313" s="125">
        <v>67.282291666666708</v>
      </c>
      <c r="K1313" s="230">
        <v>549.83013035381828</v>
      </c>
    </row>
    <row r="1314" spans="1:11" x14ac:dyDescent="0.3">
      <c r="A1314" s="88" t="s">
        <v>482</v>
      </c>
      <c r="B1314" s="24">
        <v>39663</v>
      </c>
      <c r="C1314" s="32">
        <v>18.101815851621449</v>
      </c>
      <c r="D1314" s="125">
        <v>24.7</v>
      </c>
      <c r="E1314" s="125">
        <v>17.899999999999999</v>
      </c>
      <c r="F1314" s="126">
        <v>0.105</v>
      </c>
      <c r="G1314" s="126"/>
      <c r="H1314" s="126">
        <f t="shared" si="20"/>
        <v>2.0517188127308259</v>
      </c>
      <c r="I1314" s="89">
        <v>279.81000000000017</v>
      </c>
      <c r="J1314" s="125">
        <v>66.303124999999994</v>
      </c>
      <c r="K1314" s="230">
        <v>549.50959324635312</v>
      </c>
    </row>
    <row r="1315" spans="1:11" x14ac:dyDescent="0.3">
      <c r="A1315" s="88" t="s">
        <v>482</v>
      </c>
      <c r="B1315" s="24">
        <v>39664</v>
      </c>
      <c r="C1315" s="32">
        <v>19.125122400783365</v>
      </c>
      <c r="D1315" s="125">
        <v>22</v>
      </c>
      <c r="E1315" s="125">
        <v>14.8</v>
      </c>
      <c r="F1315" s="126">
        <v>5.1150000000000002</v>
      </c>
      <c r="G1315" s="126"/>
      <c r="H1315" s="126">
        <f t="shared" si="20"/>
        <v>1.6840627760776321</v>
      </c>
      <c r="I1315" s="89">
        <v>455.22</v>
      </c>
      <c r="J1315" s="125">
        <v>68.981250000000003</v>
      </c>
      <c r="K1315" s="230">
        <v>548.46937315944422</v>
      </c>
    </row>
    <row r="1316" spans="1:11" x14ac:dyDescent="0.3">
      <c r="A1316" s="88" t="s">
        <v>482</v>
      </c>
      <c r="B1316" s="24">
        <v>39665</v>
      </c>
      <c r="C1316" s="32">
        <v>18.911821035654629</v>
      </c>
      <c r="D1316" s="125">
        <v>22.6</v>
      </c>
      <c r="E1316" s="125">
        <v>12.9</v>
      </c>
      <c r="F1316" s="126">
        <v>0</v>
      </c>
      <c r="G1316" s="126"/>
      <c r="H1316" s="126">
        <f t="shared" si="20"/>
        <v>1.4884887514247067</v>
      </c>
      <c r="I1316" s="89">
        <v>358.28999999999996</v>
      </c>
      <c r="J1316" s="125">
        <v>64.910416666666677</v>
      </c>
      <c r="K1316" s="230">
        <v>550.18837209302171</v>
      </c>
    </row>
    <row r="1317" spans="1:11" x14ac:dyDescent="0.3">
      <c r="A1317" s="88" t="s">
        <v>482</v>
      </c>
      <c r="B1317" s="24">
        <v>39666</v>
      </c>
      <c r="C1317" s="32">
        <v>16.326104487068719</v>
      </c>
      <c r="D1317" s="125">
        <v>27.5</v>
      </c>
      <c r="E1317" s="125">
        <v>13.1</v>
      </c>
      <c r="F1317" s="126">
        <v>0.14499999999999999</v>
      </c>
      <c r="G1317" s="126"/>
      <c r="H1317" s="126">
        <f t="shared" si="20"/>
        <v>1.5080901913058991</v>
      </c>
      <c r="I1317" s="89">
        <v>117.99000000000001</v>
      </c>
      <c r="J1317" s="125">
        <v>69.109375</v>
      </c>
      <c r="K1317" s="230">
        <v>548.18054552747674</v>
      </c>
    </row>
    <row r="1318" spans="1:11" x14ac:dyDescent="0.3">
      <c r="A1318" s="88" t="s">
        <v>482</v>
      </c>
      <c r="B1318" s="24">
        <v>39667</v>
      </c>
      <c r="C1318" s="32">
        <v>22.216642186509997</v>
      </c>
      <c r="D1318" s="125">
        <v>32.299999999999997</v>
      </c>
      <c r="E1318" s="125">
        <v>18.399999999999999</v>
      </c>
      <c r="F1318" s="126">
        <v>0.375</v>
      </c>
      <c r="G1318" s="126"/>
      <c r="H1318" s="126">
        <f t="shared" si="20"/>
        <v>2.1171678236591673</v>
      </c>
      <c r="I1318" s="89">
        <v>228.77999999999997</v>
      </c>
      <c r="J1318" s="125">
        <v>54.923958333333324</v>
      </c>
      <c r="K1318" s="230">
        <v>549.58569248378444</v>
      </c>
    </row>
    <row r="1319" spans="1:11" x14ac:dyDescent="0.3">
      <c r="A1319" s="88" t="s">
        <v>482</v>
      </c>
      <c r="B1319" s="24">
        <v>39668</v>
      </c>
      <c r="C1319" s="32">
        <v>17.370111168711478</v>
      </c>
      <c r="D1319" s="125">
        <v>23.6</v>
      </c>
      <c r="E1319" s="125">
        <v>14.1</v>
      </c>
      <c r="F1319" s="126">
        <v>0.35</v>
      </c>
      <c r="G1319" s="126"/>
      <c r="H1319" s="126">
        <f t="shared" si="20"/>
        <v>1.6095352919714581</v>
      </c>
      <c r="I1319" s="89">
        <v>308.61</v>
      </c>
      <c r="J1319" s="125">
        <v>71.791666666666671</v>
      </c>
      <c r="K1319" s="230">
        <v>548.80513927030324</v>
      </c>
    </row>
    <row r="1320" spans="1:11" x14ac:dyDescent="0.3">
      <c r="A1320" s="88" t="s">
        <v>482</v>
      </c>
      <c r="B1320" s="24">
        <v>39669</v>
      </c>
      <c r="C1320" s="32">
        <v>17.803913945049249</v>
      </c>
      <c r="D1320" s="125">
        <v>20.2</v>
      </c>
      <c r="E1320" s="125">
        <v>11.8</v>
      </c>
      <c r="F1320" s="126">
        <v>0</v>
      </c>
      <c r="G1320" s="126"/>
      <c r="H1320" s="126">
        <f t="shared" si="20"/>
        <v>1.3846270162501679</v>
      </c>
      <c r="I1320" s="89">
        <v>317.70000000000022</v>
      </c>
      <c r="J1320" s="125">
        <v>64.584374999999994</v>
      </c>
      <c r="K1320" s="230">
        <v>549.59794323323649</v>
      </c>
    </row>
    <row r="1321" spans="1:11" x14ac:dyDescent="0.3">
      <c r="A1321" s="88" t="s">
        <v>482</v>
      </c>
      <c r="B1321" s="24">
        <v>39670</v>
      </c>
      <c r="C1321" s="32">
        <v>5.6538361845515812</v>
      </c>
      <c r="D1321" s="125">
        <v>19.600000000000001</v>
      </c>
      <c r="E1321" s="125">
        <v>13.4</v>
      </c>
      <c r="F1321" s="126">
        <v>4.7949999999999999</v>
      </c>
      <c r="G1321" s="126"/>
      <c r="H1321" s="126">
        <f t="shared" si="20"/>
        <v>1.5379172032464434</v>
      </c>
      <c r="I1321" s="89">
        <v>163.35000000000002</v>
      </c>
      <c r="J1321" s="125">
        <v>83.477083333333326</v>
      </c>
      <c r="K1321" s="230">
        <v>549.50091012514179</v>
      </c>
    </row>
    <row r="1322" spans="1:11" x14ac:dyDescent="0.3">
      <c r="A1322" s="88" t="s">
        <v>482</v>
      </c>
      <c r="B1322" s="24">
        <v>39671</v>
      </c>
      <c r="C1322" s="32">
        <v>18.252116813547605</v>
      </c>
      <c r="D1322" s="125">
        <v>22.8</v>
      </c>
      <c r="E1322" s="125">
        <v>14.7</v>
      </c>
      <c r="F1322" s="126">
        <v>0.105</v>
      </c>
      <c r="G1322" s="126"/>
      <c r="H1322" s="126">
        <f t="shared" si="20"/>
        <v>1.673234110655023</v>
      </c>
      <c r="I1322" s="89">
        <v>213.12</v>
      </c>
      <c r="J1322" s="125">
        <v>67.297916666666652</v>
      </c>
      <c r="K1322" s="230">
        <v>549.02881002087565</v>
      </c>
    </row>
    <row r="1323" spans="1:11" x14ac:dyDescent="0.3">
      <c r="A1323" s="88" t="s">
        <v>482</v>
      </c>
      <c r="B1323" s="24">
        <v>39672</v>
      </c>
      <c r="C1323" s="32">
        <v>6.0858389493692764</v>
      </c>
      <c r="D1323" s="125">
        <v>22.2</v>
      </c>
      <c r="E1323" s="125">
        <v>14.8</v>
      </c>
      <c r="F1323" s="126">
        <v>12.525</v>
      </c>
      <c r="G1323" s="126"/>
      <c r="H1323" s="126">
        <f t="shared" si="20"/>
        <v>1.6840627760776321</v>
      </c>
      <c r="I1323" s="89">
        <v>149.94000000000005</v>
      </c>
      <c r="J1323" s="125">
        <v>87.831249999999997</v>
      </c>
      <c r="K1323" s="230">
        <v>549.61152446421306</v>
      </c>
    </row>
    <row r="1324" spans="1:11" x14ac:dyDescent="0.3">
      <c r="A1324" s="88" t="s">
        <v>482</v>
      </c>
      <c r="B1324" s="24">
        <v>39673</v>
      </c>
      <c r="C1324" s="32">
        <v>17.369211162951444</v>
      </c>
      <c r="D1324" s="125">
        <v>22.1</v>
      </c>
      <c r="E1324" s="125">
        <v>12.4</v>
      </c>
      <c r="F1324" s="126">
        <v>6.28</v>
      </c>
      <c r="G1324" s="126"/>
      <c r="H1324" s="126">
        <f t="shared" si="20"/>
        <v>1.4404604588486194</v>
      </c>
      <c r="I1324" s="89">
        <v>250.37999999999994</v>
      </c>
      <c r="J1324" s="125">
        <v>73.558333333333323</v>
      </c>
      <c r="K1324" s="230">
        <v>548.89405286343583</v>
      </c>
    </row>
    <row r="1325" spans="1:11" x14ac:dyDescent="0.3">
      <c r="A1325" s="88" t="s">
        <v>482</v>
      </c>
      <c r="B1325" s="24">
        <v>39674</v>
      </c>
      <c r="C1325" s="32">
        <v>22.314742814354009</v>
      </c>
      <c r="D1325" s="125">
        <v>21.9</v>
      </c>
      <c r="E1325" s="125">
        <v>12.6</v>
      </c>
      <c r="F1325" s="126">
        <v>0</v>
      </c>
      <c r="G1325" s="126"/>
      <c r="H1325" s="126">
        <f t="shared" si="20"/>
        <v>1.4595059422181114</v>
      </c>
      <c r="I1325" s="89">
        <v>254.79000000000002</v>
      </c>
      <c r="J1325" s="125">
        <v>59.4</v>
      </c>
      <c r="K1325" s="230">
        <v>549.9697429414249</v>
      </c>
    </row>
    <row r="1326" spans="1:11" x14ac:dyDescent="0.3">
      <c r="A1326" s="88" t="s">
        <v>482</v>
      </c>
      <c r="B1326" s="24">
        <v>39675</v>
      </c>
      <c r="C1326" s="32">
        <v>9.3258596855019871</v>
      </c>
      <c r="D1326" s="125">
        <v>19.7</v>
      </c>
      <c r="E1326" s="125">
        <v>11.2</v>
      </c>
      <c r="F1326" s="126">
        <v>0</v>
      </c>
      <c r="G1326" s="126"/>
      <c r="H1326" s="126">
        <f t="shared" si="20"/>
        <v>1.3307036698161701</v>
      </c>
      <c r="I1326" s="89">
        <v>81.72</v>
      </c>
      <c r="J1326" s="125">
        <v>76.890625</v>
      </c>
      <c r="K1326" s="230">
        <v>550.05479838709641</v>
      </c>
    </row>
    <row r="1327" spans="1:11" x14ac:dyDescent="0.3">
      <c r="A1327" s="88" t="s">
        <v>482</v>
      </c>
      <c r="B1327" s="24">
        <v>39676</v>
      </c>
      <c r="C1327" s="32">
        <v>21.013334485340707</v>
      </c>
      <c r="D1327" s="125">
        <v>21.2</v>
      </c>
      <c r="E1327" s="125">
        <v>10.7</v>
      </c>
      <c r="F1327" s="126">
        <v>0</v>
      </c>
      <c r="G1327" s="126"/>
      <c r="H1327" s="126">
        <f t="shared" si="20"/>
        <v>1.2871862257172708</v>
      </c>
      <c r="I1327" s="89">
        <v>137.33999999999995</v>
      </c>
      <c r="J1327" s="125">
        <v>72.927083333333357</v>
      </c>
      <c r="K1327" s="230">
        <v>549.61924019607943</v>
      </c>
    </row>
    <row r="1328" spans="1:11" x14ac:dyDescent="0.3">
      <c r="A1328" s="88" t="s">
        <v>482</v>
      </c>
      <c r="B1328" s="24">
        <v>39677</v>
      </c>
      <c r="C1328" s="32">
        <v>20.341030182593169</v>
      </c>
      <c r="D1328" s="125">
        <v>23.3</v>
      </c>
      <c r="E1328" s="125">
        <v>7.9</v>
      </c>
      <c r="F1328" s="126">
        <v>0</v>
      </c>
      <c r="G1328" s="126"/>
      <c r="H1328" s="126">
        <f t="shared" si="20"/>
        <v>1.0658332114824252</v>
      </c>
      <c r="I1328" s="89">
        <v>85.769999999999953</v>
      </c>
      <c r="J1328" s="125">
        <v>65.540625000000006</v>
      </c>
      <c r="K1328" s="230">
        <v>549.0566681435547</v>
      </c>
    </row>
    <row r="1329" spans="1:11" x14ac:dyDescent="0.3">
      <c r="A1329" s="88" t="s">
        <v>482</v>
      </c>
      <c r="B1329" s="24">
        <v>39678</v>
      </c>
      <c r="C1329" s="32">
        <v>9.0783581014918493</v>
      </c>
      <c r="D1329" s="125">
        <v>23.4</v>
      </c>
      <c r="E1329" s="125">
        <v>14.3</v>
      </c>
      <c r="F1329" s="126">
        <v>2.7250000000000001</v>
      </c>
      <c r="G1329" s="126"/>
      <c r="H1329" s="126">
        <f t="shared" si="20"/>
        <v>1.6305276651269101</v>
      </c>
      <c r="I1329" s="89">
        <v>114.11999999999998</v>
      </c>
      <c r="J1329" s="125">
        <v>73.898958333333368</v>
      </c>
      <c r="K1329" s="230">
        <v>550.23282247764962</v>
      </c>
    </row>
    <row r="1330" spans="1:11" x14ac:dyDescent="0.3">
      <c r="A1330" s="88" t="s">
        <v>482</v>
      </c>
      <c r="B1330" s="24">
        <v>39679</v>
      </c>
      <c r="C1330" s="32">
        <v>13.955489315131619</v>
      </c>
      <c r="D1330" s="125">
        <v>24</v>
      </c>
      <c r="E1330" s="125">
        <v>16.100000000000001</v>
      </c>
      <c r="F1330" s="126">
        <v>0.8</v>
      </c>
      <c r="G1330" s="126"/>
      <c r="H1330" s="126">
        <f t="shared" si="20"/>
        <v>1.8305324367134694</v>
      </c>
      <c r="I1330" s="89">
        <v>199.17000000000007</v>
      </c>
      <c r="J1330" s="125">
        <v>71.951041666666683</v>
      </c>
      <c r="K1330" s="230">
        <v>549.24114562323507</v>
      </c>
    </row>
    <row r="1331" spans="1:11" x14ac:dyDescent="0.3">
      <c r="A1331" s="88" t="s">
        <v>482</v>
      </c>
      <c r="B1331" s="24">
        <v>39680</v>
      </c>
      <c r="C1331" s="32">
        <v>10.091764587293358</v>
      </c>
      <c r="D1331" s="125">
        <v>20.5</v>
      </c>
      <c r="E1331" s="125">
        <v>15.4</v>
      </c>
      <c r="F1331" s="126">
        <v>0.94</v>
      </c>
      <c r="G1331" s="126"/>
      <c r="H1331" s="126">
        <f t="shared" si="20"/>
        <v>1.7503347478886555</v>
      </c>
      <c r="I1331" s="89">
        <v>296.82000000000011</v>
      </c>
      <c r="J1331" s="125">
        <v>74.284374999999997</v>
      </c>
      <c r="K1331" s="230">
        <v>549.65409836065601</v>
      </c>
    </row>
    <row r="1332" spans="1:11" x14ac:dyDescent="0.3">
      <c r="A1332" s="88" t="s">
        <v>482</v>
      </c>
      <c r="B1332" s="24">
        <v>39681</v>
      </c>
      <c r="C1332" s="32">
        <v>18.117115949542079</v>
      </c>
      <c r="D1332" s="125">
        <v>24.3</v>
      </c>
      <c r="E1332" s="125">
        <v>14.1</v>
      </c>
      <c r="F1332" s="126">
        <v>0</v>
      </c>
      <c r="G1332" s="126"/>
      <c r="H1332" s="126">
        <f t="shared" si="20"/>
        <v>1.6095352919714581</v>
      </c>
      <c r="I1332" s="89">
        <v>221.48999999999995</v>
      </c>
      <c r="J1332" s="125">
        <v>63.887500000000003</v>
      </c>
      <c r="K1332" s="230">
        <v>549.24783147459948</v>
      </c>
    </row>
    <row r="1333" spans="1:11" x14ac:dyDescent="0.3">
      <c r="A1333" s="88" t="s">
        <v>482</v>
      </c>
      <c r="B1333" s="24">
        <v>39682</v>
      </c>
      <c r="C1333" s="32">
        <v>8.7489559933183578</v>
      </c>
      <c r="D1333" s="125">
        <v>20.5</v>
      </c>
      <c r="E1333" s="125">
        <v>14.7</v>
      </c>
      <c r="F1333" s="126">
        <v>10.355</v>
      </c>
      <c r="G1333" s="126"/>
      <c r="H1333" s="126">
        <f t="shared" si="20"/>
        <v>1.673234110655023</v>
      </c>
      <c r="I1333" s="89">
        <v>108.36000000000001</v>
      </c>
      <c r="J1333" s="125">
        <v>86.552083333333357</v>
      </c>
      <c r="K1333" s="230">
        <v>547.49417059579832</v>
      </c>
    </row>
    <row r="1334" spans="1:11" x14ac:dyDescent="0.3">
      <c r="A1334" s="88" t="s">
        <v>482</v>
      </c>
      <c r="B1334" s="24">
        <v>39683</v>
      </c>
      <c r="C1334" s="32">
        <v>13.425385922469903</v>
      </c>
      <c r="D1334" s="125">
        <v>17.399999999999999</v>
      </c>
      <c r="E1334" s="125">
        <v>11.7</v>
      </c>
      <c r="F1334" s="126">
        <v>11.074999999999999</v>
      </c>
      <c r="G1334" s="126"/>
      <c r="H1334" s="126">
        <f t="shared" si="20"/>
        <v>1.3755086746426002</v>
      </c>
      <c r="I1334" s="89">
        <v>370.43999999999994</v>
      </c>
      <c r="J1334" s="125">
        <v>84.405208333333334</v>
      </c>
      <c r="K1334" s="230">
        <v>547.90054347826151</v>
      </c>
    </row>
    <row r="1335" spans="1:11" x14ac:dyDescent="0.3">
      <c r="A1335" s="88" t="s">
        <v>482</v>
      </c>
      <c r="B1335" s="24">
        <v>39684</v>
      </c>
      <c r="C1335" s="32">
        <v>16.726607050285121</v>
      </c>
      <c r="D1335" s="125">
        <v>19.7</v>
      </c>
      <c r="E1335" s="125">
        <v>11.5</v>
      </c>
      <c r="F1335" s="126">
        <v>6.82</v>
      </c>
      <c r="G1335" s="126"/>
      <c r="H1335" s="126">
        <f t="shared" si="20"/>
        <v>1.3574301110209714</v>
      </c>
      <c r="I1335" s="89">
        <v>340.02000000000004</v>
      </c>
      <c r="J1335" s="125">
        <v>78.352083333333354</v>
      </c>
      <c r="K1335" s="230">
        <v>549.97373823781038</v>
      </c>
    </row>
    <row r="1336" spans="1:11" x14ac:dyDescent="0.3">
      <c r="A1336" s="88" t="s">
        <v>482</v>
      </c>
      <c r="B1336" s="24">
        <v>39685</v>
      </c>
      <c r="C1336" s="32">
        <v>10.063864408732217</v>
      </c>
      <c r="D1336" s="125">
        <v>20</v>
      </c>
      <c r="E1336" s="125">
        <v>12.4</v>
      </c>
      <c r="F1336" s="126">
        <v>0.94499999999999995</v>
      </c>
      <c r="G1336" s="126"/>
      <c r="H1336" s="126">
        <f t="shared" si="20"/>
        <v>1.4404604588486194</v>
      </c>
      <c r="I1336" s="89">
        <v>158.31</v>
      </c>
      <c r="J1336" s="125">
        <v>84.22083333333336</v>
      </c>
      <c r="K1336" s="230">
        <v>548.84329942503234</v>
      </c>
    </row>
    <row r="1337" spans="1:11" x14ac:dyDescent="0.3">
      <c r="A1337" s="88" t="s">
        <v>482</v>
      </c>
      <c r="B1337" s="24">
        <v>39686</v>
      </c>
      <c r="C1337" s="32">
        <v>6.8733439894015316</v>
      </c>
      <c r="D1337" s="125">
        <v>19</v>
      </c>
      <c r="E1337" s="125">
        <v>13.4</v>
      </c>
      <c r="F1337" s="126">
        <v>0</v>
      </c>
      <c r="G1337" s="126"/>
      <c r="H1337" s="126">
        <f t="shared" si="20"/>
        <v>1.5379172032464434</v>
      </c>
      <c r="I1337" s="89">
        <v>170.91</v>
      </c>
      <c r="J1337" s="125">
        <v>83.888541666666683</v>
      </c>
      <c r="K1337" s="230">
        <v>549.80296627387384</v>
      </c>
    </row>
    <row r="1338" spans="1:11" x14ac:dyDescent="0.3">
      <c r="A1338" s="88" t="s">
        <v>482</v>
      </c>
      <c r="B1338" s="24">
        <v>39687</v>
      </c>
      <c r="C1338" s="32">
        <v>8.1189519612925523</v>
      </c>
      <c r="D1338" s="125">
        <v>20.2</v>
      </c>
      <c r="E1338" s="125">
        <v>16.5</v>
      </c>
      <c r="F1338" s="126">
        <v>0</v>
      </c>
      <c r="G1338" s="126"/>
      <c r="H1338" s="126">
        <f t="shared" si="20"/>
        <v>1.8777904954698514</v>
      </c>
      <c r="I1338" s="89">
        <v>261.63</v>
      </c>
      <c r="J1338" s="125">
        <v>76.926041666666663</v>
      </c>
      <c r="K1338" s="230">
        <v>548.82562651576347</v>
      </c>
    </row>
    <row r="1339" spans="1:11" x14ac:dyDescent="0.3">
      <c r="A1339" s="88" t="s">
        <v>482</v>
      </c>
      <c r="B1339" s="24">
        <v>39688</v>
      </c>
      <c r="C1339" s="32">
        <v>6.2550400322562059</v>
      </c>
      <c r="D1339" s="125">
        <v>20.2</v>
      </c>
      <c r="E1339" s="125">
        <v>15.5</v>
      </c>
      <c r="F1339" s="126">
        <v>0.32500000000000001</v>
      </c>
      <c r="G1339" s="126"/>
      <c r="H1339" s="126">
        <f t="shared" si="20"/>
        <v>1.7615995264429876</v>
      </c>
      <c r="I1339" s="89">
        <v>274.67999999999984</v>
      </c>
      <c r="J1339" s="125">
        <v>83.301041666666649</v>
      </c>
      <c r="K1339" s="230">
        <v>549.40638122684175</v>
      </c>
    </row>
    <row r="1340" spans="1:11" x14ac:dyDescent="0.3">
      <c r="A1340" s="88" t="s">
        <v>482</v>
      </c>
      <c r="B1340" s="24">
        <v>39689</v>
      </c>
      <c r="C1340" s="32">
        <v>10.642568112435919</v>
      </c>
      <c r="D1340" s="125">
        <v>21.5</v>
      </c>
      <c r="E1340" s="125">
        <v>14.2</v>
      </c>
      <c r="F1340" s="126">
        <v>0</v>
      </c>
      <c r="G1340" s="126"/>
      <c r="H1340" s="126">
        <f t="shared" si="20"/>
        <v>1.6200016491976139</v>
      </c>
      <c r="I1340" s="89">
        <v>328.68000000000023</v>
      </c>
      <c r="J1340" s="125">
        <v>76.367708333333312</v>
      </c>
      <c r="K1340" s="230">
        <v>549.35254951538127</v>
      </c>
    </row>
    <row r="1341" spans="1:11" x14ac:dyDescent="0.3">
      <c r="A1341" s="88" t="s">
        <v>482</v>
      </c>
      <c r="B1341" s="24">
        <v>39690</v>
      </c>
      <c r="C1341" s="32">
        <v>15.278497782385807</v>
      </c>
      <c r="D1341" s="125">
        <v>21.9</v>
      </c>
      <c r="E1341" s="125">
        <v>12.2</v>
      </c>
      <c r="F1341" s="126">
        <v>0</v>
      </c>
      <c r="G1341" s="126"/>
      <c r="H1341" s="126">
        <f t="shared" si="20"/>
        <v>1.4216335674868446</v>
      </c>
      <c r="I1341" s="89">
        <v>136.89000000000001</v>
      </c>
      <c r="J1341" s="125">
        <v>76.01979166666662</v>
      </c>
      <c r="K1341" s="230">
        <v>547.67572309151376</v>
      </c>
    </row>
    <row r="1342" spans="1:11" x14ac:dyDescent="0.3">
      <c r="A1342" s="88" t="s">
        <v>482</v>
      </c>
      <c r="B1342" s="24">
        <v>39691</v>
      </c>
      <c r="C1342" s="32">
        <v>20.060228385461667</v>
      </c>
      <c r="D1342" s="125">
        <v>25.6</v>
      </c>
      <c r="E1342" s="125">
        <v>10.6</v>
      </c>
      <c r="F1342" s="126">
        <v>0</v>
      </c>
      <c r="G1342" s="126"/>
      <c r="H1342" s="126">
        <f t="shared" si="20"/>
        <v>1.2786344448492586</v>
      </c>
      <c r="I1342" s="89">
        <v>274.86</v>
      </c>
      <c r="J1342" s="125">
        <v>54.989583333333321</v>
      </c>
      <c r="K1342" s="230">
        <v>549.06877890841781</v>
      </c>
    </row>
    <row r="1343" spans="1:11" x14ac:dyDescent="0.3">
      <c r="A1343" s="88" t="s">
        <v>482</v>
      </c>
      <c r="B1343" s="24">
        <v>39692</v>
      </c>
      <c r="C1343" s="32">
        <v>8.2125525603363858</v>
      </c>
      <c r="D1343" s="125">
        <v>21.8</v>
      </c>
      <c r="E1343" s="125">
        <v>13</v>
      </c>
      <c r="F1343" s="126">
        <v>0.185</v>
      </c>
      <c r="G1343" s="126"/>
      <c r="H1343" s="126">
        <f t="shared" si="20"/>
        <v>1.498261331998219</v>
      </c>
      <c r="I1343" s="89">
        <v>219.32999999999998</v>
      </c>
      <c r="J1343" s="125">
        <v>68.745833333333337</v>
      </c>
      <c r="K1343" s="230">
        <v>547.96839495040592</v>
      </c>
    </row>
    <row r="1344" spans="1:11" x14ac:dyDescent="0.3">
      <c r="A1344" s="88" t="s">
        <v>482</v>
      </c>
      <c r="B1344" s="24">
        <v>39693</v>
      </c>
      <c r="C1344" s="32">
        <v>13.465886181671562</v>
      </c>
      <c r="D1344" s="125">
        <v>23.1</v>
      </c>
      <c r="E1344" s="125">
        <v>11.5</v>
      </c>
      <c r="F1344" s="126">
        <v>0.02</v>
      </c>
      <c r="G1344" s="126"/>
      <c r="H1344" s="126">
        <f t="shared" si="20"/>
        <v>1.3574301110209714</v>
      </c>
      <c r="I1344" s="89">
        <v>187.28999999999991</v>
      </c>
      <c r="J1344" s="125">
        <v>64.15416666666664</v>
      </c>
      <c r="K1344" s="230">
        <v>549.0934023285896</v>
      </c>
    </row>
    <row r="1345" spans="1:11" x14ac:dyDescent="0.3">
      <c r="A1345" s="88" t="s">
        <v>482</v>
      </c>
      <c r="B1345" s="24">
        <v>39694</v>
      </c>
      <c r="C1345" s="32">
        <v>11.11597114221531</v>
      </c>
      <c r="D1345" s="125">
        <v>20.5</v>
      </c>
      <c r="E1345" s="125">
        <v>10.5</v>
      </c>
      <c r="F1345" s="126">
        <v>1.37</v>
      </c>
      <c r="G1345" s="126"/>
      <c r="H1345" s="126">
        <f t="shared" si="20"/>
        <v>1.2701326466613394</v>
      </c>
      <c r="I1345" s="89">
        <v>231.66</v>
      </c>
      <c r="J1345" s="125">
        <v>73.660416666666649</v>
      </c>
      <c r="K1345" s="230">
        <v>549.73752720940286</v>
      </c>
    </row>
    <row r="1346" spans="1:11" x14ac:dyDescent="0.3">
      <c r="A1346" s="88" t="s">
        <v>482</v>
      </c>
      <c r="B1346" s="24">
        <v>39695</v>
      </c>
      <c r="C1346" s="32">
        <v>16.005702436495593</v>
      </c>
      <c r="D1346" s="125">
        <v>18.899999999999999</v>
      </c>
      <c r="E1346" s="125">
        <v>9.9</v>
      </c>
      <c r="F1346" s="126">
        <v>0.02</v>
      </c>
      <c r="G1346" s="126"/>
      <c r="H1346" s="126">
        <f t="shared" si="20"/>
        <v>1.2201575987481763</v>
      </c>
      <c r="I1346" s="89">
        <v>187.20000000000005</v>
      </c>
      <c r="J1346" s="125">
        <v>70.433333333333323</v>
      </c>
      <c r="K1346" s="230">
        <v>548.9862116991643</v>
      </c>
    </row>
    <row r="1347" spans="1:11" x14ac:dyDescent="0.3">
      <c r="A1347" s="88" t="s">
        <v>482</v>
      </c>
      <c r="B1347" s="24">
        <v>39696</v>
      </c>
      <c r="C1347" s="32">
        <v>13.737687921202696</v>
      </c>
      <c r="D1347" s="125">
        <v>21.4</v>
      </c>
      <c r="E1347" s="125">
        <v>11.8</v>
      </c>
      <c r="F1347" s="126">
        <v>0.92</v>
      </c>
      <c r="G1347" s="126"/>
      <c r="H1347" s="126">
        <f t="shared" si="20"/>
        <v>1.3846270162501679</v>
      </c>
      <c r="I1347" s="89">
        <v>148.04999999999995</v>
      </c>
      <c r="J1347" s="125">
        <v>69.184375000000003</v>
      </c>
      <c r="K1347" s="230">
        <v>549.08204534937522</v>
      </c>
    </row>
    <row r="1348" spans="1:11" x14ac:dyDescent="0.3">
      <c r="A1348" s="88" t="s">
        <v>482</v>
      </c>
      <c r="B1348" s="24">
        <v>39697</v>
      </c>
      <c r="C1348" s="32">
        <v>6.4917415471459021</v>
      </c>
      <c r="D1348" s="125">
        <v>21</v>
      </c>
      <c r="E1348" s="125">
        <v>15.9</v>
      </c>
      <c r="F1348" s="126">
        <v>9.9700000000000077</v>
      </c>
      <c r="G1348" s="126"/>
      <c r="H1348" s="126">
        <f t="shared" ref="H1348:H1411" si="21">0.611*EXP((17.27*E1348)/(E1348+237.3))</f>
        <v>1.8072967155190105</v>
      </c>
      <c r="I1348" s="89">
        <v>192.14999999999998</v>
      </c>
      <c r="J1348" s="125">
        <v>79.986458333333388</v>
      </c>
      <c r="K1348" s="230">
        <v>548.6676823638029</v>
      </c>
    </row>
    <row r="1349" spans="1:11" x14ac:dyDescent="0.3">
      <c r="A1349" s="88" t="s">
        <v>482</v>
      </c>
      <c r="B1349" s="24">
        <v>39698</v>
      </c>
      <c r="C1349" s="32">
        <v>16.151503369621565</v>
      </c>
      <c r="D1349" s="125">
        <v>21</v>
      </c>
      <c r="E1349" s="125">
        <v>14.9</v>
      </c>
      <c r="F1349" s="126">
        <v>0</v>
      </c>
      <c r="G1349" s="126"/>
      <c r="H1349" s="126">
        <f t="shared" si="21"/>
        <v>1.6949528505265632</v>
      </c>
      <c r="I1349" s="89">
        <v>199.70999999999998</v>
      </c>
      <c r="J1349" s="125">
        <v>68.14166666666668</v>
      </c>
      <c r="K1349" s="230">
        <v>549.22783216783239</v>
      </c>
    </row>
    <row r="1350" spans="1:11" x14ac:dyDescent="0.3">
      <c r="A1350" s="88" t="s">
        <v>482</v>
      </c>
      <c r="B1350" s="24">
        <v>39699</v>
      </c>
      <c r="C1350" s="32">
        <v>9.7587624560797188</v>
      </c>
      <c r="D1350" s="125">
        <v>19.3</v>
      </c>
      <c r="E1350" s="125">
        <v>12</v>
      </c>
      <c r="F1350" s="126">
        <v>0.27</v>
      </c>
      <c r="G1350" s="126"/>
      <c r="H1350" s="126">
        <f t="shared" si="21"/>
        <v>1.4030231277532583</v>
      </c>
      <c r="I1350" s="89">
        <v>194.03999999999996</v>
      </c>
      <c r="J1350" s="125">
        <v>75.303124999999994</v>
      </c>
      <c r="K1350" s="230">
        <v>549.72508068234174</v>
      </c>
    </row>
    <row r="1351" spans="1:11" x14ac:dyDescent="0.3">
      <c r="A1351" s="88" t="s">
        <v>482</v>
      </c>
      <c r="B1351" s="24">
        <v>39700</v>
      </c>
      <c r="C1351" s="32">
        <v>18.27731697482864</v>
      </c>
      <c r="D1351" s="125">
        <v>24.1</v>
      </c>
      <c r="E1351" s="125">
        <v>10.8</v>
      </c>
      <c r="F1351" s="126">
        <v>0</v>
      </c>
      <c r="G1351" s="126"/>
      <c r="H1351" s="126">
        <f t="shared" si="21"/>
        <v>1.2957882396636844</v>
      </c>
      <c r="I1351" s="89">
        <v>135.45000000000005</v>
      </c>
      <c r="J1351" s="125">
        <v>66.080208333333346</v>
      </c>
      <c r="K1351" s="230">
        <v>549.66882701962504</v>
      </c>
    </row>
    <row r="1352" spans="1:11" x14ac:dyDescent="0.3">
      <c r="A1352" s="88" t="s">
        <v>482</v>
      </c>
      <c r="B1352" s="24">
        <v>39701</v>
      </c>
      <c r="C1352" s="32">
        <v>12.119477564656414</v>
      </c>
      <c r="D1352" s="125">
        <v>23.2</v>
      </c>
      <c r="E1352" s="125">
        <v>13.9</v>
      </c>
      <c r="F1352" s="126">
        <v>0</v>
      </c>
      <c r="G1352" s="126"/>
      <c r="H1352" s="126">
        <f t="shared" si="21"/>
        <v>1.5887804036720876</v>
      </c>
      <c r="I1352" s="89">
        <v>157.94999999999999</v>
      </c>
      <c r="J1352" s="125">
        <v>73.041666666666643</v>
      </c>
      <c r="K1352" s="230">
        <v>550.24030172413734</v>
      </c>
    </row>
    <row r="1353" spans="1:11" x14ac:dyDescent="0.3">
      <c r="A1353" s="88" t="s">
        <v>482</v>
      </c>
      <c r="B1353" s="24">
        <v>39702</v>
      </c>
      <c r="C1353" s="32">
        <v>14.051789931455561</v>
      </c>
      <c r="D1353" s="125">
        <v>24.5</v>
      </c>
      <c r="E1353" s="125">
        <v>13.6</v>
      </c>
      <c r="F1353" s="126">
        <v>0</v>
      </c>
      <c r="G1353" s="126"/>
      <c r="H1353" s="126">
        <f t="shared" si="21"/>
        <v>1.55808835361568</v>
      </c>
      <c r="I1353" s="89">
        <v>176.31</v>
      </c>
      <c r="J1353" s="125">
        <v>75</v>
      </c>
      <c r="K1353" s="230">
        <v>548.05241706161155</v>
      </c>
    </row>
    <row r="1354" spans="1:11" x14ac:dyDescent="0.3">
      <c r="A1354" s="88" t="s">
        <v>482</v>
      </c>
      <c r="B1354" s="24">
        <v>39703</v>
      </c>
      <c r="C1354" s="32">
        <v>15.810401186567596</v>
      </c>
      <c r="D1354" s="125">
        <v>21.1</v>
      </c>
      <c r="E1354" s="125">
        <v>12.8</v>
      </c>
      <c r="F1354" s="126">
        <v>0</v>
      </c>
      <c r="G1354" s="126"/>
      <c r="H1354" s="126">
        <f t="shared" si="21"/>
        <v>1.4787721750550831</v>
      </c>
      <c r="I1354" s="89">
        <v>422.01000000000005</v>
      </c>
      <c r="J1354" s="125">
        <v>73.82708333333332</v>
      </c>
      <c r="K1354" s="230">
        <v>547.12927950945311</v>
      </c>
    </row>
    <row r="1355" spans="1:11" x14ac:dyDescent="0.3">
      <c r="A1355" s="88" t="s">
        <v>482</v>
      </c>
      <c r="B1355" s="24">
        <v>39704</v>
      </c>
      <c r="C1355" s="32">
        <v>18.133316053222742</v>
      </c>
      <c r="D1355" s="125">
        <v>15.8</v>
      </c>
      <c r="E1355" s="125">
        <v>7</v>
      </c>
      <c r="F1355" s="126">
        <v>0</v>
      </c>
      <c r="G1355" s="126"/>
      <c r="H1355" s="126">
        <f t="shared" si="21"/>
        <v>1.0021864739217894</v>
      </c>
      <c r="I1355" s="89">
        <v>421.20000000000005</v>
      </c>
      <c r="J1355" s="125">
        <v>56.865625000000001</v>
      </c>
      <c r="K1355" s="230">
        <v>548.03264161525567</v>
      </c>
    </row>
    <row r="1356" spans="1:11" x14ac:dyDescent="0.3">
      <c r="A1356" s="88" t="s">
        <v>482</v>
      </c>
      <c r="B1356" s="24">
        <v>39705</v>
      </c>
      <c r="C1356" s="32">
        <v>9.5904613789528259</v>
      </c>
      <c r="D1356" s="125">
        <v>15.3</v>
      </c>
      <c r="E1356" s="125">
        <v>5.9</v>
      </c>
      <c r="F1356" s="126">
        <v>0.02</v>
      </c>
      <c r="G1356" s="126"/>
      <c r="H1356" s="126">
        <f t="shared" si="21"/>
        <v>0.92895926237531279</v>
      </c>
      <c r="I1356" s="89">
        <v>232.56000000000003</v>
      </c>
      <c r="J1356" s="125">
        <v>77.258333333333326</v>
      </c>
      <c r="K1356" s="230">
        <v>548.84497742663689</v>
      </c>
    </row>
    <row r="1357" spans="1:11" x14ac:dyDescent="0.3">
      <c r="A1357" s="88" t="s">
        <v>482</v>
      </c>
      <c r="B1357" s="24">
        <v>39706</v>
      </c>
      <c r="C1357" s="32">
        <v>6.9120442370831174</v>
      </c>
      <c r="D1357" s="125">
        <v>15.1</v>
      </c>
      <c r="E1357" s="125">
        <v>6.8</v>
      </c>
      <c r="F1357" s="126">
        <v>0</v>
      </c>
      <c r="G1357" s="126"/>
      <c r="H1357" s="126">
        <f t="shared" si="21"/>
        <v>0.98850615565901678</v>
      </c>
      <c r="I1357" s="89">
        <v>166.85999999999999</v>
      </c>
      <c r="J1357" s="125">
        <v>76.936458333333292</v>
      </c>
      <c r="K1357" s="230">
        <v>549.51814323607482</v>
      </c>
    </row>
    <row r="1358" spans="1:11" x14ac:dyDescent="0.3">
      <c r="A1358" s="88" t="s">
        <v>482</v>
      </c>
      <c r="B1358" s="24">
        <v>39707</v>
      </c>
      <c r="C1358" s="32">
        <v>11.482273486550316</v>
      </c>
      <c r="D1358" s="125">
        <v>13.8</v>
      </c>
      <c r="E1358" s="125">
        <v>8.3000000000000007</v>
      </c>
      <c r="F1358" s="126">
        <v>0.125</v>
      </c>
      <c r="G1358" s="126"/>
      <c r="H1358" s="126">
        <f t="shared" si="21"/>
        <v>1.0952445521994474</v>
      </c>
      <c r="I1358" s="89">
        <v>154.71</v>
      </c>
      <c r="J1358" s="125">
        <v>74.8</v>
      </c>
      <c r="K1358" s="230">
        <v>548.61684405367828</v>
      </c>
    </row>
    <row r="1359" spans="1:11" x14ac:dyDescent="0.3">
      <c r="A1359" s="88" t="s">
        <v>482</v>
      </c>
      <c r="B1359" s="24">
        <v>39708</v>
      </c>
      <c r="C1359" s="32">
        <v>10.034164218651</v>
      </c>
      <c r="D1359" s="125">
        <v>14.2</v>
      </c>
      <c r="E1359" s="125">
        <v>6.1</v>
      </c>
      <c r="F1359" s="126">
        <v>0</v>
      </c>
      <c r="G1359" s="126"/>
      <c r="H1359" s="126">
        <f t="shared" si="21"/>
        <v>0.94191143925241705</v>
      </c>
      <c r="I1359" s="89">
        <v>85.950000000000017</v>
      </c>
      <c r="J1359" s="125">
        <v>77.547916666666666</v>
      </c>
      <c r="K1359" s="230">
        <v>549.06342222222213</v>
      </c>
    </row>
    <row r="1360" spans="1:11" x14ac:dyDescent="0.3">
      <c r="A1360" s="88" t="s">
        <v>482</v>
      </c>
      <c r="B1360" s="24">
        <v>39709</v>
      </c>
      <c r="C1360" s="32">
        <v>9.9972639824894873</v>
      </c>
      <c r="D1360" s="125">
        <v>14.8</v>
      </c>
      <c r="E1360" s="125">
        <v>5.4</v>
      </c>
      <c r="F1360" s="126">
        <v>5.0000000000000001E-3</v>
      </c>
      <c r="G1360" s="126"/>
      <c r="H1360" s="126">
        <f t="shared" si="21"/>
        <v>0.8972630930441321</v>
      </c>
      <c r="I1360" s="89">
        <v>92.699999999999974</v>
      </c>
      <c r="J1360" s="125">
        <v>73.684375000000003</v>
      </c>
      <c r="K1360" s="230">
        <v>547.33443372270165</v>
      </c>
    </row>
    <row r="1361" spans="1:11" x14ac:dyDescent="0.3">
      <c r="A1361" s="88" t="s">
        <v>482</v>
      </c>
      <c r="B1361" s="24">
        <v>39710</v>
      </c>
      <c r="C1361" s="32">
        <v>12.096077414895456</v>
      </c>
      <c r="D1361" s="125">
        <v>15.2</v>
      </c>
      <c r="E1361" s="125">
        <v>2.4</v>
      </c>
      <c r="F1361" s="126">
        <v>0</v>
      </c>
      <c r="G1361" s="126"/>
      <c r="H1361" s="126">
        <f t="shared" si="21"/>
        <v>0.7263362808555901</v>
      </c>
      <c r="I1361" s="89">
        <v>74.789999999999935</v>
      </c>
      <c r="J1361" s="125">
        <v>75.158333333333346</v>
      </c>
      <c r="K1361" s="230">
        <v>550.98875128998964</v>
      </c>
    </row>
    <row r="1362" spans="1:11" x14ac:dyDescent="0.3">
      <c r="A1362" s="88" t="s">
        <v>482</v>
      </c>
      <c r="B1362" s="24">
        <v>39711</v>
      </c>
      <c r="C1362" s="32">
        <v>13.333585334946143</v>
      </c>
      <c r="D1362" s="125">
        <v>16.7</v>
      </c>
      <c r="E1362" s="125">
        <v>5.7</v>
      </c>
      <c r="F1362" s="126">
        <v>0</v>
      </c>
      <c r="G1362" s="126"/>
      <c r="H1362" s="126">
        <f t="shared" si="21"/>
        <v>0.91616430843021424</v>
      </c>
      <c r="I1362" s="89">
        <v>93.51</v>
      </c>
      <c r="J1362" s="125">
        <v>72.53125</v>
      </c>
      <c r="K1362" s="230">
        <v>549.31687116564422</v>
      </c>
    </row>
    <row r="1363" spans="1:11" x14ac:dyDescent="0.3">
      <c r="A1363" s="88" t="s">
        <v>482</v>
      </c>
      <c r="B1363" s="24">
        <v>39712</v>
      </c>
      <c r="C1363" s="32">
        <v>8.1144519324923685</v>
      </c>
      <c r="D1363" s="125">
        <v>17.100000000000001</v>
      </c>
      <c r="E1363" s="125">
        <v>7.9</v>
      </c>
      <c r="F1363" s="126">
        <v>0.36499999999999999</v>
      </c>
      <c r="G1363" s="126"/>
      <c r="H1363" s="126">
        <f t="shared" si="21"/>
        <v>1.0658332114824252</v>
      </c>
      <c r="I1363" s="89">
        <v>183.60000000000002</v>
      </c>
      <c r="J1363" s="125">
        <v>82.509375000000006</v>
      </c>
      <c r="K1363" s="230">
        <v>549.51294277929139</v>
      </c>
    </row>
    <row r="1364" spans="1:11" x14ac:dyDescent="0.3">
      <c r="A1364" s="88" t="s">
        <v>482</v>
      </c>
      <c r="B1364" s="24">
        <v>39713</v>
      </c>
      <c r="C1364" s="32">
        <v>8.3835536547433911</v>
      </c>
      <c r="D1364" s="125">
        <v>15.7</v>
      </c>
      <c r="E1364" s="125">
        <v>8.4</v>
      </c>
      <c r="F1364" s="126">
        <v>1.44</v>
      </c>
      <c r="G1364" s="126"/>
      <c r="H1364" s="126">
        <f t="shared" si="21"/>
        <v>1.1027080638918816</v>
      </c>
      <c r="I1364" s="89">
        <v>227.78999999999996</v>
      </c>
      <c r="J1364" s="125">
        <v>84.535416666666663</v>
      </c>
      <c r="K1364" s="230">
        <v>549.44677935130255</v>
      </c>
    </row>
    <row r="1365" spans="1:11" x14ac:dyDescent="0.3">
      <c r="A1365" s="88" t="s">
        <v>482</v>
      </c>
      <c r="B1365" s="24">
        <v>39714</v>
      </c>
      <c r="C1365" s="32">
        <v>1.8000115200737283</v>
      </c>
      <c r="D1365" s="125">
        <v>12.8</v>
      </c>
      <c r="E1365" s="125">
        <v>10.4</v>
      </c>
      <c r="F1365" s="126">
        <v>14.455</v>
      </c>
      <c r="G1365" s="126"/>
      <c r="H1365" s="126">
        <f t="shared" si="21"/>
        <v>1.2616805817680199</v>
      </c>
      <c r="I1365" s="89">
        <v>284.13</v>
      </c>
      <c r="J1365" s="125">
        <v>96.420833333333277</v>
      </c>
      <c r="K1365" s="230">
        <v>549.1152044097372</v>
      </c>
    </row>
    <row r="1366" spans="1:11" x14ac:dyDescent="0.3">
      <c r="A1366" s="88" t="s">
        <v>482</v>
      </c>
      <c r="B1366" s="24">
        <v>39715</v>
      </c>
      <c r="C1366" s="32">
        <v>6.115539139450493</v>
      </c>
      <c r="D1366" s="125">
        <v>16.399999999999999</v>
      </c>
      <c r="E1366" s="125">
        <v>7.9</v>
      </c>
      <c r="F1366" s="126">
        <v>0.01</v>
      </c>
      <c r="G1366" s="126"/>
      <c r="H1366" s="126">
        <f t="shared" si="21"/>
        <v>1.0658332114824252</v>
      </c>
      <c r="I1366" s="89">
        <v>229.41</v>
      </c>
      <c r="J1366" s="125">
        <v>83.875</v>
      </c>
      <c r="K1366" s="230">
        <v>549.48969024502924</v>
      </c>
    </row>
    <row r="1367" spans="1:11" x14ac:dyDescent="0.3">
      <c r="A1367" s="88" t="s">
        <v>482</v>
      </c>
      <c r="B1367" s="24">
        <v>39716</v>
      </c>
      <c r="C1367" s="32">
        <v>8.669755486435113</v>
      </c>
      <c r="D1367" s="125">
        <v>16.2</v>
      </c>
      <c r="E1367" s="125">
        <v>6</v>
      </c>
      <c r="F1367" s="126">
        <v>0</v>
      </c>
      <c r="G1367" s="126"/>
      <c r="H1367" s="126">
        <f t="shared" si="21"/>
        <v>0.93541559507788385</v>
      </c>
      <c r="I1367" s="89">
        <v>168.83999999999997</v>
      </c>
      <c r="J1367" s="125">
        <v>84.95104166666664</v>
      </c>
      <c r="K1367" s="230">
        <v>549.6905072126566</v>
      </c>
    </row>
    <row r="1368" spans="1:11" x14ac:dyDescent="0.3">
      <c r="A1368" s="88" t="s">
        <v>482</v>
      </c>
      <c r="B1368" s="24">
        <v>39717</v>
      </c>
      <c r="C1368" s="32">
        <v>5.1183327573296475</v>
      </c>
      <c r="D1368" s="125">
        <v>12.4</v>
      </c>
      <c r="E1368" s="125">
        <v>4.2</v>
      </c>
      <c r="F1368" s="126">
        <v>0.03</v>
      </c>
      <c r="G1368" s="126"/>
      <c r="H1368" s="126">
        <f t="shared" si="21"/>
        <v>0.82505065566727931</v>
      </c>
      <c r="I1368" s="89">
        <v>74.879999999999924</v>
      </c>
      <c r="J1368" s="125">
        <v>95.438541666666652</v>
      </c>
      <c r="K1368" s="230">
        <v>547.67998012915939</v>
      </c>
    </row>
    <row r="1369" spans="1:11" x14ac:dyDescent="0.3">
      <c r="A1369" s="88" t="s">
        <v>482</v>
      </c>
      <c r="B1369" s="24">
        <v>39718</v>
      </c>
      <c r="C1369" s="32">
        <v>13.642287310638789</v>
      </c>
      <c r="D1369" s="125">
        <v>17.100000000000001</v>
      </c>
      <c r="E1369" s="125">
        <v>3.8</v>
      </c>
      <c r="F1369" s="126">
        <v>3.5000000000000003E-2</v>
      </c>
      <c r="G1369" s="126"/>
      <c r="H1369" s="126">
        <f t="shared" si="21"/>
        <v>0.80214634758046521</v>
      </c>
      <c r="I1369" s="89">
        <v>89.999999999999986</v>
      </c>
      <c r="J1369" s="125">
        <v>85.962500000000006</v>
      </c>
      <c r="K1369" s="230">
        <v>548.15733711048119</v>
      </c>
    </row>
    <row r="1370" spans="1:11" x14ac:dyDescent="0.3">
      <c r="A1370" s="88" t="s">
        <v>482</v>
      </c>
      <c r="B1370" s="24">
        <v>39719</v>
      </c>
      <c r="C1370" s="32">
        <v>13.041083462934163</v>
      </c>
      <c r="D1370" s="125">
        <v>17.399999999999999</v>
      </c>
      <c r="E1370" s="125">
        <v>7.7</v>
      </c>
      <c r="F1370" s="126">
        <v>0</v>
      </c>
      <c r="G1370" s="126"/>
      <c r="H1370" s="126">
        <f t="shared" si="21"/>
        <v>1.0513900110721115</v>
      </c>
      <c r="I1370" s="89">
        <v>211.77</v>
      </c>
      <c r="J1370" s="125">
        <v>78.13333333333334</v>
      </c>
      <c r="K1370" s="230">
        <v>550.09068557919591</v>
      </c>
    </row>
    <row r="1371" spans="1:11" x14ac:dyDescent="0.3">
      <c r="A1371" s="88" t="s">
        <v>482</v>
      </c>
      <c r="B1371" s="24">
        <v>39720</v>
      </c>
      <c r="C1371" s="32">
        <v>5.1390328898104949</v>
      </c>
      <c r="D1371" s="125">
        <v>14</v>
      </c>
      <c r="E1371" s="125">
        <v>9.9</v>
      </c>
      <c r="F1371" s="126">
        <v>0.66</v>
      </c>
      <c r="G1371" s="126"/>
      <c r="H1371" s="126">
        <f t="shared" si="21"/>
        <v>1.2201575987481763</v>
      </c>
      <c r="I1371" s="89">
        <v>171.00000000000009</v>
      </c>
      <c r="J1371" s="125">
        <v>86.743750000000006</v>
      </c>
      <c r="K1371" s="230">
        <v>547.74317548746558</v>
      </c>
    </row>
    <row r="1372" spans="1:11" x14ac:dyDescent="0.3">
      <c r="A1372" s="88" t="s">
        <v>482</v>
      </c>
      <c r="B1372" s="24">
        <v>39721</v>
      </c>
      <c r="C1372" s="32">
        <v>4.5873293589078967</v>
      </c>
      <c r="D1372" s="125">
        <v>10.9</v>
      </c>
      <c r="E1372" s="125">
        <v>8</v>
      </c>
      <c r="F1372" s="126">
        <v>4.4050000000000002</v>
      </c>
      <c r="G1372" s="126"/>
      <c r="H1372" s="126">
        <f t="shared" si="21"/>
        <v>1.0731200926872433</v>
      </c>
      <c r="I1372" s="89">
        <v>289.70999999999998</v>
      </c>
      <c r="J1372" s="125">
        <v>88.462500000000006</v>
      </c>
    </row>
    <row r="1373" spans="1:11" x14ac:dyDescent="0.3">
      <c r="A1373" s="88" t="s">
        <v>482</v>
      </c>
      <c r="B1373" s="24">
        <v>39722</v>
      </c>
      <c r="C1373" s="32">
        <v>3.4695222049421117</v>
      </c>
      <c r="D1373" s="125">
        <v>14.7</v>
      </c>
      <c r="E1373" s="125">
        <v>8.6999999999999993</v>
      </c>
      <c r="F1373" s="126">
        <v>17.41</v>
      </c>
      <c r="G1373" s="126"/>
      <c r="H1373" s="126">
        <f t="shared" si="21"/>
        <v>1.1253678644990226</v>
      </c>
      <c r="I1373" s="89">
        <v>408.33000000000015</v>
      </c>
      <c r="J1373" s="125">
        <v>89.021874999999994</v>
      </c>
    </row>
    <row r="1374" spans="1:11" x14ac:dyDescent="0.3">
      <c r="A1374" s="88" t="s">
        <v>482</v>
      </c>
      <c r="B1374" s="24">
        <v>39723</v>
      </c>
      <c r="C1374" s="32">
        <v>9.2610592707793327</v>
      </c>
      <c r="D1374" s="125">
        <v>13.6</v>
      </c>
      <c r="E1374" s="125">
        <v>6.6</v>
      </c>
      <c r="F1374" s="126">
        <v>0.52</v>
      </c>
      <c r="G1374" s="126"/>
      <c r="H1374" s="126">
        <f t="shared" si="21"/>
        <v>0.97499060249070812</v>
      </c>
      <c r="I1374" s="89">
        <v>388.26000000000005</v>
      </c>
      <c r="J1374" s="125">
        <v>69.974999999999994</v>
      </c>
    </row>
    <row r="1375" spans="1:11" x14ac:dyDescent="0.3">
      <c r="A1375" s="88" t="s">
        <v>482</v>
      </c>
      <c r="B1375" s="24">
        <v>39724</v>
      </c>
      <c r="C1375" s="32">
        <v>10.707368527158573</v>
      </c>
      <c r="D1375" s="125">
        <v>13</v>
      </c>
      <c r="E1375" s="125">
        <v>4.8</v>
      </c>
      <c r="F1375" s="126">
        <v>0.46500000000000002</v>
      </c>
      <c r="G1375" s="126"/>
      <c r="H1375" s="126">
        <f t="shared" si="21"/>
        <v>0.86048907931200158</v>
      </c>
      <c r="I1375" s="89">
        <v>246.05999999999995</v>
      </c>
      <c r="J1375" s="125">
        <v>73.997916666666683</v>
      </c>
    </row>
    <row r="1376" spans="1:11" x14ac:dyDescent="0.3">
      <c r="A1376" s="88" t="s">
        <v>482</v>
      </c>
      <c r="B1376" s="24">
        <v>39725</v>
      </c>
      <c r="C1376" s="32">
        <v>8.0604515868901565</v>
      </c>
      <c r="D1376" s="125">
        <v>11.1</v>
      </c>
      <c r="E1376" s="125">
        <v>4.3</v>
      </c>
      <c r="F1376" s="126">
        <v>0.3</v>
      </c>
      <c r="G1376" s="126"/>
      <c r="H1376" s="126">
        <f t="shared" si="21"/>
        <v>0.83086609768035358</v>
      </c>
      <c r="I1376" s="89">
        <v>248.94</v>
      </c>
      <c r="J1376" s="125">
        <v>76.270833333333314</v>
      </c>
    </row>
    <row r="1377" spans="1:10" x14ac:dyDescent="0.3">
      <c r="A1377" s="88" t="s">
        <v>482</v>
      </c>
      <c r="B1377" s="24">
        <v>39726</v>
      </c>
      <c r="C1377" s="32">
        <v>3.2940210817349231</v>
      </c>
      <c r="D1377" s="125">
        <v>12</v>
      </c>
      <c r="E1377" s="125">
        <v>6.8</v>
      </c>
      <c r="F1377" s="126">
        <v>6.1349999999999998</v>
      </c>
      <c r="G1377" s="126"/>
      <c r="H1377" s="126">
        <f t="shared" si="21"/>
        <v>0.98850615565901678</v>
      </c>
      <c r="I1377" s="89">
        <v>354.24</v>
      </c>
      <c r="J1377" s="125">
        <v>76.368750000000006</v>
      </c>
    </row>
    <row r="1378" spans="1:10" x14ac:dyDescent="0.3">
      <c r="A1378" s="88" t="s">
        <v>482</v>
      </c>
      <c r="B1378" s="24">
        <v>39727</v>
      </c>
      <c r="C1378" s="32">
        <v>4.7592304590749386</v>
      </c>
      <c r="D1378" s="125">
        <v>13.9</v>
      </c>
      <c r="E1378" s="125">
        <v>9.6</v>
      </c>
      <c r="F1378" s="126">
        <v>2.38</v>
      </c>
      <c r="G1378" s="126"/>
      <c r="H1378" s="126">
        <f t="shared" si="21"/>
        <v>1.1958248668287446</v>
      </c>
      <c r="I1378" s="89">
        <v>51.300000000000004</v>
      </c>
      <c r="J1378" s="125">
        <v>91.655208333333363</v>
      </c>
    </row>
    <row r="1379" spans="1:10" x14ac:dyDescent="0.3">
      <c r="A1379" s="88" t="s">
        <v>482</v>
      </c>
      <c r="B1379" s="24">
        <v>39728</v>
      </c>
      <c r="C1379" s="32">
        <v>6.0156385000864008</v>
      </c>
      <c r="D1379" s="125">
        <v>17</v>
      </c>
      <c r="E1379" s="125">
        <v>11</v>
      </c>
      <c r="F1379" s="126">
        <v>5.0000000000000001E-3</v>
      </c>
      <c r="G1379" s="126"/>
      <c r="H1379" s="126">
        <f t="shared" si="21"/>
        <v>1.313143973467028</v>
      </c>
      <c r="I1379" s="89">
        <v>145.71000000000004</v>
      </c>
      <c r="J1379" s="125">
        <v>86.582291666666677</v>
      </c>
    </row>
    <row r="1380" spans="1:10" x14ac:dyDescent="0.3">
      <c r="A1380" s="88" t="s">
        <v>482</v>
      </c>
      <c r="B1380" s="24">
        <v>39729</v>
      </c>
      <c r="C1380" s="32">
        <v>9.6651618570358853</v>
      </c>
      <c r="D1380" s="125">
        <v>20</v>
      </c>
      <c r="E1380" s="125">
        <v>11.9</v>
      </c>
      <c r="F1380" s="126">
        <v>0.115</v>
      </c>
      <c r="G1380" s="126"/>
      <c r="H1380" s="126">
        <f t="shared" si="21"/>
        <v>1.3937984130245886</v>
      </c>
      <c r="I1380" s="89">
        <v>167.67000000000002</v>
      </c>
      <c r="J1380" s="125">
        <v>82.809375000000003</v>
      </c>
    </row>
    <row r="1381" spans="1:10" x14ac:dyDescent="0.3">
      <c r="A1381" s="88" t="s">
        <v>482</v>
      </c>
      <c r="B1381" s="24">
        <v>39730</v>
      </c>
      <c r="C1381" s="32">
        <v>5.6133359253499222</v>
      </c>
      <c r="D1381" s="125">
        <v>15.3</v>
      </c>
      <c r="E1381" s="125">
        <v>7.5</v>
      </c>
      <c r="F1381" s="126">
        <v>0.04</v>
      </c>
      <c r="G1381" s="126"/>
      <c r="H1381" s="126">
        <f t="shared" si="21"/>
        <v>1.0371194102680934</v>
      </c>
      <c r="I1381" s="89">
        <v>172.17000000000007</v>
      </c>
      <c r="J1381" s="125">
        <v>87.211458333333312</v>
      </c>
    </row>
    <row r="1382" spans="1:10" x14ac:dyDescent="0.3">
      <c r="A1382" s="88" t="s">
        <v>482</v>
      </c>
      <c r="B1382" s="24">
        <v>39731</v>
      </c>
      <c r="C1382" s="32">
        <v>10.403166580266113</v>
      </c>
      <c r="D1382" s="125">
        <v>16.100000000000001</v>
      </c>
      <c r="E1382" s="125">
        <v>5.8</v>
      </c>
      <c r="F1382" s="126">
        <v>0.01</v>
      </c>
      <c r="G1382" s="126"/>
      <c r="H1382" s="126">
        <f t="shared" si="21"/>
        <v>0.92254223518646628</v>
      </c>
      <c r="I1382" s="89">
        <v>127.25999999999996</v>
      </c>
      <c r="J1382" s="125">
        <v>82.1875</v>
      </c>
    </row>
    <row r="1383" spans="1:10" x14ac:dyDescent="0.3">
      <c r="A1383" s="88" t="s">
        <v>482</v>
      </c>
      <c r="B1383" s="24">
        <v>39732</v>
      </c>
      <c r="C1383" s="32">
        <v>10.349166234663903</v>
      </c>
      <c r="D1383" s="125">
        <v>18.5</v>
      </c>
      <c r="E1383" s="125">
        <v>10</v>
      </c>
      <c r="F1383" s="126">
        <v>0</v>
      </c>
      <c r="G1383" s="126"/>
      <c r="H1383" s="126">
        <f t="shared" si="21"/>
        <v>1.2283647027117881</v>
      </c>
      <c r="I1383" s="89">
        <v>149.94</v>
      </c>
      <c r="J1383" s="125">
        <v>83.90625</v>
      </c>
    </row>
    <row r="1384" spans="1:10" x14ac:dyDescent="0.3">
      <c r="A1384" s="88" t="s">
        <v>482</v>
      </c>
      <c r="B1384" s="24">
        <v>39733</v>
      </c>
      <c r="C1384" s="32">
        <v>6.2748401589770175</v>
      </c>
      <c r="D1384" s="125">
        <v>16</v>
      </c>
      <c r="E1384" s="125">
        <v>7.3</v>
      </c>
      <c r="F1384" s="126">
        <v>0</v>
      </c>
      <c r="G1384" s="126"/>
      <c r="H1384" s="126">
        <f t="shared" si="21"/>
        <v>1.0230196423808093</v>
      </c>
      <c r="I1384" s="89">
        <v>163.44000000000008</v>
      </c>
      <c r="J1384" s="125">
        <v>86.651041666666643</v>
      </c>
    </row>
    <row r="1385" spans="1:10" x14ac:dyDescent="0.3">
      <c r="A1385" s="88" t="s">
        <v>482</v>
      </c>
      <c r="B1385" s="24">
        <v>39734</v>
      </c>
      <c r="C1385" s="32">
        <v>9.8604631069638842</v>
      </c>
      <c r="D1385" s="125">
        <v>19.8</v>
      </c>
      <c r="E1385" s="125">
        <v>6.6</v>
      </c>
      <c r="F1385" s="126">
        <v>0</v>
      </c>
      <c r="G1385" s="126"/>
      <c r="H1385" s="126">
        <f t="shared" si="21"/>
        <v>0.97499060249070812</v>
      </c>
      <c r="I1385" s="89">
        <v>136.44</v>
      </c>
      <c r="J1385" s="125">
        <v>82.441666666666663</v>
      </c>
    </row>
    <row r="1386" spans="1:10" x14ac:dyDescent="0.3">
      <c r="A1386" s="88" t="s">
        <v>482</v>
      </c>
      <c r="B1386" s="24">
        <v>39735</v>
      </c>
      <c r="C1386" s="32">
        <v>5.1255328034099419</v>
      </c>
      <c r="D1386" s="125">
        <v>16.5</v>
      </c>
      <c r="E1386" s="125">
        <v>10.3</v>
      </c>
      <c r="F1386" s="126">
        <v>3.5000000000000003E-2</v>
      </c>
      <c r="G1386" s="126"/>
      <c r="H1386" s="126">
        <f t="shared" si="21"/>
        <v>1.2532780017936267</v>
      </c>
      <c r="I1386" s="89">
        <v>235.17000000000002</v>
      </c>
      <c r="J1386" s="125">
        <v>81.221874999999997</v>
      </c>
    </row>
    <row r="1387" spans="1:10" x14ac:dyDescent="0.3">
      <c r="A1387" s="88" t="s">
        <v>482</v>
      </c>
      <c r="B1387" s="24">
        <v>39736</v>
      </c>
      <c r="C1387" s="32">
        <v>5.501735211105351</v>
      </c>
      <c r="D1387" s="125">
        <v>16.3</v>
      </c>
      <c r="E1387" s="125">
        <v>10</v>
      </c>
      <c r="F1387" s="126">
        <v>0.56999999999999995</v>
      </c>
      <c r="G1387" s="126"/>
      <c r="H1387" s="126">
        <f t="shared" si="21"/>
        <v>1.2283647027117881</v>
      </c>
      <c r="I1387" s="89">
        <v>183.14999999999998</v>
      </c>
      <c r="J1387" s="125">
        <v>78.769791666666663</v>
      </c>
    </row>
    <row r="1388" spans="1:10" x14ac:dyDescent="0.3">
      <c r="A1388" s="88" t="s">
        <v>482</v>
      </c>
      <c r="B1388" s="24">
        <v>39737</v>
      </c>
      <c r="C1388" s="32">
        <v>3.5658228212660563</v>
      </c>
      <c r="D1388" s="125">
        <v>13.6</v>
      </c>
      <c r="E1388" s="125">
        <v>6.4</v>
      </c>
      <c r="F1388" s="126">
        <v>4.5149999999999997</v>
      </c>
      <c r="G1388" s="126"/>
      <c r="H1388" s="126">
        <f t="shared" si="21"/>
        <v>0.96163811340513428</v>
      </c>
      <c r="I1388" s="89">
        <v>327.42000000000007</v>
      </c>
      <c r="J1388" s="125">
        <v>85.24166666666666</v>
      </c>
    </row>
    <row r="1389" spans="1:10" x14ac:dyDescent="0.3">
      <c r="A1389" s="88" t="s">
        <v>482</v>
      </c>
      <c r="B1389" s="24">
        <v>39738</v>
      </c>
      <c r="C1389" s="32">
        <v>7.3044467484591911</v>
      </c>
      <c r="D1389" s="125">
        <v>12.4</v>
      </c>
      <c r="E1389" s="125">
        <v>6.1</v>
      </c>
      <c r="F1389" s="126">
        <v>0.38500000000000001</v>
      </c>
      <c r="G1389" s="126"/>
      <c r="H1389" s="126">
        <f t="shared" si="21"/>
        <v>0.94191143925241705</v>
      </c>
      <c r="I1389" s="89">
        <v>416.34000000000003</v>
      </c>
      <c r="J1389" s="125">
        <v>79.929166666666674</v>
      </c>
    </row>
    <row r="1390" spans="1:10" x14ac:dyDescent="0.3">
      <c r="A1390" s="88" t="s">
        <v>482</v>
      </c>
      <c r="B1390" s="24">
        <v>39739</v>
      </c>
      <c r="C1390" s="32">
        <v>6.781543401877772</v>
      </c>
      <c r="D1390" s="125">
        <v>12.4</v>
      </c>
      <c r="E1390" s="125">
        <v>5.9</v>
      </c>
      <c r="F1390" s="126">
        <v>0</v>
      </c>
      <c r="G1390" s="126"/>
      <c r="H1390" s="126">
        <f t="shared" si="21"/>
        <v>0.92895926237531279</v>
      </c>
      <c r="I1390" s="89">
        <v>191.43000000000004</v>
      </c>
      <c r="J1390" s="125">
        <v>78.930208333333312</v>
      </c>
    </row>
    <row r="1391" spans="1:10" x14ac:dyDescent="0.3">
      <c r="A1391" s="88" t="s">
        <v>482</v>
      </c>
      <c r="B1391" s="24">
        <v>39740</v>
      </c>
      <c r="C1391" s="32">
        <v>5.7438367605552685</v>
      </c>
      <c r="D1391" s="125">
        <v>13.4</v>
      </c>
      <c r="E1391" s="125">
        <v>7.1</v>
      </c>
      <c r="F1391" s="126">
        <v>5.0000000000000001E-3</v>
      </c>
      <c r="G1391" s="126"/>
      <c r="H1391" s="126">
        <f t="shared" si="21"/>
        <v>1.0090889554747804</v>
      </c>
      <c r="I1391" s="89">
        <v>246.96000000000006</v>
      </c>
      <c r="J1391" s="125">
        <v>77.757291666666674</v>
      </c>
    </row>
    <row r="1392" spans="1:10" x14ac:dyDescent="0.3">
      <c r="A1392" s="88" t="s">
        <v>482</v>
      </c>
      <c r="B1392" s="24">
        <v>39741</v>
      </c>
      <c r="C1392" s="32">
        <v>10.026964172570704</v>
      </c>
      <c r="D1392" s="125">
        <v>16.2</v>
      </c>
      <c r="E1392" s="125">
        <v>7.9</v>
      </c>
      <c r="F1392" s="126">
        <v>0.03</v>
      </c>
      <c r="G1392" s="126"/>
      <c r="H1392" s="126">
        <f t="shared" si="21"/>
        <v>1.0658332114824252</v>
      </c>
      <c r="I1392" s="89">
        <v>226.07999999999998</v>
      </c>
      <c r="J1392" s="125">
        <v>66.694791666666688</v>
      </c>
    </row>
    <row r="1393" spans="1:10" x14ac:dyDescent="0.3">
      <c r="A1393" s="88" t="s">
        <v>482</v>
      </c>
      <c r="B1393" s="24">
        <v>39742</v>
      </c>
      <c r="C1393" s="32">
        <v>1.5462098957433328</v>
      </c>
      <c r="D1393" s="125">
        <v>16.899999999999999</v>
      </c>
      <c r="E1393" s="125">
        <v>9.1999999999999993</v>
      </c>
      <c r="F1393" s="126">
        <v>4.0949999999999998</v>
      </c>
      <c r="G1393" s="126"/>
      <c r="H1393" s="126">
        <f t="shared" si="21"/>
        <v>1.16404559315309</v>
      </c>
      <c r="I1393" s="89">
        <v>252.71999999999997</v>
      </c>
      <c r="J1393" s="125">
        <v>84.21875</v>
      </c>
    </row>
    <row r="1394" spans="1:10" x14ac:dyDescent="0.3">
      <c r="A1394" s="88" t="s">
        <v>482</v>
      </c>
      <c r="B1394" s="24">
        <v>39743</v>
      </c>
      <c r="C1394" s="32">
        <v>4.1859267899314556</v>
      </c>
      <c r="D1394" s="125">
        <v>11.1</v>
      </c>
      <c r="E1394" s="125">
        <v>6</v>
      </c>
      <c r="F1394" s="126">
        <v>0</v>
      </c>
      <c r="G1394" s="126"/>
      <c r="H1394" s="126">
        <f t="shared" si="21"/>
        <v>0.93541559507788385</v>
      </c>
      <c r="I1394" s="89">
        <v>133.56</v>
      </c>
      <c r="J1394" s="125">
        <v>83.564583333333374</v>
      </c>
    </row>
    <row r="1395" spans="1:10" x14ac:dyDescent="0.3">
      <c r="A1395" s="88" t="s">
        <v>482</v>
      </c>
      <c r="B1395" s="24">
        <v>39744</v>
      </c>
      <c r="C1395" s="32">
        <v>8.1135519267323311</v>
      </c>
      <c r="D1395" s="125">
        <v>11.9</v>
      </c>
      <c r="E1395" s="125">
        <v>4.7</v>
      </c>
      <c r="F1395" s="126">
        <v>0</v>
      </c>
      <c r="G1395" s="126"/>
      <c r="H1395" s="126">
        <f t="shared" si="21"/>
        <v>0.85449106840682587</v>
      </c>
      <c r="I1395" s="89">
        <v>170.28000000000003</v>
      </c>
      <c r="J1395" s="125">
        <v>80.947916666666671</v>
      </c>
    </row>
    <row r="1396" spans="1:10" x14ac:dyDescent="0.3">
      <c r="A1396" s="88" t="s">
        <v>482</v>
      </c>
      <c r="B1396" s="24">
        <v>39745</v>
      </c>
      <c r="C1396" s="32">
        <v>7.8246500777604977</v>
      </c>
      <c r="D1396" s="125">
        <v>12.5</v>
      </c>
      <c r="E1396" s="125">
        <v>4.3</v>
      </c>
      <c r="F1396" s="126">
        <v>0</v>
      </c>
      <c r="G1396" s="126"/>
      <c r="H1396" s="126">
        <f t="shared" si="21"/>
        <v>0.83086609768035358</v>
      </c>
      <c r="I1396" s="89">
        <v>158.94000000000003</v>
      </c>
      <c r="J1396" s="125">
        <v>70.790625000000006</v>
      </c>
    </row>
    <row r="1397" spans="1:10" x14ac:dyDescent="0.3">
      <c r="A1397" s="88" t="s">
        <v>482</v>
      </c>
      <c r="B1397" s="24">
        <v>39746</v>
      </c>
      <c r="C1397" s="32">
        <v>4.0599259835262949</v>
      </c>
      <c r="D1397" s="125">
        <v>13.1</v>
      </c>
      <c r="E1397" s="125">
        <v>8.9</v>
      </c>
      <c r="F1397" s="126">
        <v>5.5E-2</v>
      </c>
      <c r="G1397" s="126"/>
      <c r="H1397" s="126">
        <f t="shared" si="21"/>
        <v>1.1407010860938473</v>
      </c>
      <c r="I1397" s="89">
        <v>122.04000000000002</v>
      </c>
      <c r="J1397" s="125">
        <v>88.045833333333334</v>
      </c>
    </row>
    <row r="1398" spans="1:10" x14ac:dyDescent="0.3">
      <c r="A1398" s="88" t="s">
        <v>482</v>
      </c>
      <c r="B1398" s="24">
        <v>39747</v>
      </c>
      <c r="C1398" s="32">
        <v>4.0005256033638616</v>
      </c>
      <c r="D1398" s="125">
        <v>14.7</v>
      </c>
      <c r="E1398" s="125">
        <v>8.6999999999999993</v>
      </c>
      <c r="F1398" s="126">
        <v>0</v>
      </c>
      <c r="G1398" s="126"/>
      <c r="H1398" s="126">
        <f t="shared" si="21"/>
        <v>1.1253678644990226</v>
      </c>
      <c r="I1398" s="89">
        <v>307.8900000000001</v>
      </c>
      <c r="J1398" s="125">
        <v>68.709374999999994</v>
      </c>
    </row>
    <row r="1399" spans="1:10" x14ac:dyDescent="0.3">
      <c r="A1399" s="88" t="s">
        <v>482</v>
      </c>
      <c r="B1399" s="24">
        <v>39748</v>
      </c>
      <c r="C1399" s="32">
        <v>1.5606099879039226</v>
      </c>
      <c r="D1399" s="125">
        <v>11.4</v>
      </c>
      <c r="E1399" s="125">
        <v>4.7</v>
      </c>
      <c r="F1399" s="126">
        <v>4.91</v>
      </c>
      <c r="G1399" s="126"/>
      <c r="H1399" s="126">
        <f t="shared" si="21"/>
        <v>0.85449106840682587</v>
      </c>
      <c r="I1399" s="89">
        <v>167.21999999999997</v>
      </c>
      <c r="J1399" s="125">
        <v>92.39270833333336</v>
      </c>
    </row>
    <row r="1400" spans="1:10" x14ac:dyDescent="0.3">
      <c r="A1400" s="88" t="s">
        <v>482</v>
      </c>
      <c r="B1400" s="24">
        <v>39749</v>
      </c>
      <c r="C1400" s="32">
        <v>4.6026294568285238</v>
      </c>
      <c r="D1400" s="125">
        <v>8.6</v>
      </c>
      <c r="E1400" s="125">
        <v>3.2</v>
      </c>
      <c r="F1400" s="126">
        <v>5.0000000000000001E-3</v>
      </c>
      <c r="G1400" s="126"/>
      <c r="H1400" s="126">
        <f t="shared" si="21"/>
        <v>0.76884154961442475</v>
      </c>
      <c r="I1400" s="89">
        <v>125.37000000000003</v>
      </c>
      <c r="J1400" s="125">
        <v>85.509375000000006</v>
      </c>
    </row>
    <row r="1401" spans="1:10" x14ac:dyDescent="0.3">
      <c r="A1401" s="88" t="s">
        <v>482</v>
      </c>
      <c r="B1401" s="24">
        <v>39750</v>
      </c>
      <c r="C1401" s="32">
        <v>4.7961306952364495</v>
      </c>
      <c r="D1401" s="125">
        <v>6.8</v>
      </c>
      <c r="E1401" s="125">
        <v>1.7</v>
      </c>
      <c r="F1401" s="126">
        <v>0</v>
      </c>
      <c r="G1401" s="126"/>
      <c r="H1401" s="126">
        <f t="shared" si="21"/>
        <v>0.69086052853268343</v>
      </c>
      <c r="I1401" s="89">
        <v>66.87</v>
      </c>
      <c r="J1401" s="125">
        <v>89.795833333333348</v>
      </c>
    </row>
    <row r="1402" spans="1:10" x14ac:dyDescent="0.3">
      <c r="A1402" s="88" t="s">
        <v>482</v>
      </c>
      <c r="B1402" s="24">
        <v>39751</v>
      </c>
      <c r="C1402" s="32">
        <v>0.63450406082598931</v>
      </c>
      <c r="D1402" s="125">
        <v>3.7</v>
      </c>
      <c r="E1402" s="125">
        <v>2.7</v>
      </c>
      <c r="F1402" s="126">
        <v>13.85</v>
      </c>
      <c r="G1402" s="126"/>
      <c r="H1402" s="126">
        <f t="shared" si="21"/>
        <v>0.74202613073523482</v>
      </c>
      <c r="I1402" s="89">
        <v>232.10999999999993</v>
      </c>
      <c r="J1402" s="125">
        <v>94.571875000000006</v>
      </c>
    </row>
    <row r="1403" spans="1:10" x14ac:dyDescent="0.3">
      <c r="A1403" s="88" t="s">
        <v>482</v>
      </c>
      <c r="B1403" s="24">
        <v>39752</v>
      </c>
      <c r="C1403" s="32">
        <v>3.3975217441391625</v>
      </c>
      <c r="D1403" s="125">
        <v>6.8</v>
      </c>
      <c r="E1403" s="125">
        <v>2.6</v>
      </c>
      <c r="F1403" s="126">
        <v>1.155</v>
      </c>
      <c r="G1403" s="126"/>
      <c r="H1403" s="126">
        <f t="shared" si="21"/>
        <v>0.73676325541308207</v>
      </c>
      <c r="I1403" s="89">
        <v>161.10000000000002</v>
      </c>
      <c r="J1403" s="125">
        <v>87.712500000000006</v>
      </c>
    </row>
    <row r="1404" spans="1:10" x14ac:dyDescent="0.3">
      <c r="A1404" s="88" t="s">
        <v>482</v>
      </c>
      <c r="B1404" s="24">
        <v>39753</v>
      </c>
      <c r="C1404" s="32">
        <v>2.3625151200967687</v>
      </c>
      <c r="D1404" s="125">
        <v>7.1</v>
      </c>
      <c r="E1404" s="125">
        <v>4.4000000000000004</v>
      </c>
      <c r="F1404" s="126">
        <v>8.5000000000000006E-2</v>
      </c>
      <c r="G1404" s="126"/>
      <c r="H1404" s="126">
        <f t="shared" si="21"/>
        <v>0.83671766728803487</v>
      </c>
      <c r="I1404" s="89">
        <v>243.72000000000011</v>
      </c>
      <c r="J1404" s="125">
        <v>87.208333333333329</v>
      </c>
    </row>
    <row r="1405" spans="1:10" x14ac:dyDescent="0.3">
      <c r="A1405" s="88" t="s">
        <v>482</v>
      </c>
      <c r="B1405" s="24">
        <v>39754</v>
      </c>
      <c r="C1405" s="32">
        <v>2.7639176890732098</v>
      </c>
      <c r="D1405" s="125">
        <v>7.8</v>
      </c>
      <c r="E1405" s="125">
        <v>5.0999999999999996</v>
      </c>
      <c r="F1405" s="126">
        <v>0</v>
      </c>
      <c r="G1405" s="126"/>
      <c r="H1405" s="126">
        <f t="shared" si="21"/>
        <v>0.87870648225166126</v>
      </c>
      <c r="I1405" s="89">
        <v>202.14</v>
      </c>
      <c r="J1405" s="125">
        <v>95.059374999999946</v>
      </c>
    </row>
    <row r="1406" spans="1:10" x14ac:dyDescent="0.3">
      <c r="A1406" s="88" t="s">
        <v>482</v>
      </c>
      <c r="B1406" s="24">
        <v>39755</v>
      </c>
      <c r="C1406" s="32">
        <v>0.86040550659524229</v>
      </c>
      <c r="D1406" s="125">
        <v>8.1999999999999993</v>
      </c>
      <c r="E1406" s="125">
        <v>5.8</v>
      </c>
      <c r="F1406" s="126">
        <v>0</v>
      </c>
      <c r="G1406" s="126"/>
      <c r="H1406" s="126">
        <f t="shared" si="21"/>
        <v>0.92254223518646628</v>
      </c>
      <c r="I1406" s="89">
        <v>268.83000000000004</v>
      </c>
      <c r="J1406" s="125">
        <v>98.8</v>
      </c>
    </row>
    <row r="1407" spans="1:10" x14ac:dyDescent="0.3">
      <c r="A1407" s="88" t="s">
        <v>482</v>
      </c>
      <c r="B1407" s="24">
        <v>39756</v>
      </c>
      <c r="C1407" s="32">
        <v>1.5228097459823744</v>
      </c>
      <c r="D1407" s="125">
        <v>9.1</v>
      </c>
      <c r="E1407" s="125">
        <v>7.8</v>
      </c>
      <c r="F1407" s="126">
        <v>0</v>
      </c>
      <c r="G1407" s="126"/>
      <c r="H1407" s="126">
        <f t="shared" si="21"/>
        <v>1.0585899253295545</v>
      </c>
      <c r="I1407" s="89">
        <v>97.29000000000002</v>
      </c>
      <c r="J1407" s="125">
        <v>96.981250000000003</v>
      </c>
    </row>
    <row r="1408" spans="1:10" x14ac:dyDescent="0.3">
      <c r="A1408" s="88" t="s">
        <v>482</v>
      </c>
      <c r="B1408" s="24">
        <v>39757</v>
      </c>
      <c r="C1408" s="32">
        <v>0.63720407810609991</v>
      </c>
      <c r="D1408" s="125">
        <v>9.8000000000000007</v>
      </c>
      <c r="E1408" s="125">
        <v>8.8000000000000007</v>
      </c>
      <c r="F1408" s="126">
        <v>0.27500000000000002</v>
      </c>
      <c r="G1408" s="126"/>
      <c r="H1408" s="126">
        <f t="shared" si="21"/>
        <v>1.1330116523877718</v>
      </c>
      <c r="I1408" s="89">
        <v>303.83999999999997</v>
      </c>
      <c r="J1408" s="125">
        <v>95.665624999999935</v>
      </c>
    </row>
    <row r="1409" spans="1:10" x14ac:dyDescent="0.3">
      <c r="A1409" s="88" t="s">
        <v>482</v>
      </c>
      <c r="B1409" s="24">
        <v>39758</v>
      </c>
      <c r="C1409" s="32">
        <v>1.690210817349231</v>
      </c>
      <c r="D1409" s="125">
        <v>12.2</v>
      </c>
      <c r="E1409" s="125">
        <v>9.8000000000000007</v>
      </c>
      <c r="F1409" s="126">
        <v>5.0000000000000001E-3</v>
      </c>
      <c r="G1409" s="126"/>
      <c r="H1409" s="126">
        <f t="shared" si="21"/>
        <v>1.2119987528679013</v>
      </c>
      <c r="I1409" s="89">
        <v>113.76000000000008</v>
      </c>
      <c r="J1409" s="125">
        <v>93.346874999999997</v>
      </c>
    </row>
    <row r="1410" spans="1:10" x14ac:dyDescent="0.3">
      <c r="A1410" s="88" t="s">
        <v>482</v>
      </c>
      <c r="B1410" s="24">
        <v>39759</v>
      </c>
      <c r="C1410" s="32">
        <v>1.3500086400552964</v>
      </c>
      <c r="D1410" s="125">
        <v>11.9</v>
      </c>
      <c r="E1410" s="125">
        <v>6.6</v>
      </c>
      <c r="F1410" s="126">
        <v>0.26500000000000001</v>
      </c>
      <c r="G1410" s="126"/>
      <c r="H1410" s="126">
        <f t="shared" si="21"/>
        <v>0.97499060249070812</v>
      </c>
      <c r="I1410" s="89">
        <v>87.75</v>
      </c>
      <c r="J1410" s="125">
        <v>91.974999999999994</v>
      </c>
    </row>
    <row r="1411" spans="1:10" x14ac:dyDescent="0.3">
      <c r="A1411" s="88" t="s">
        <v>482</v>
      </c>
      <c r="B1411" s="24">
        <v>39760</v>
      </c>
      <c r="C1411" s="32">
        <v>3.7053237140717701</v>
      </c>
      <c r="D1411" s="125">
        <v>11.8</v>
      </c>
      <c r="E1411" s="125">
        <v>4.8</v>
      </c>
      <c r="F1411" s="126">
        <v>0</v>
      </c>
      <c r="G1411" s="126"/>
      <c r="H1411" s="126">
        <f t="shared" si="21"/>
        <v>0.86048907931200158</v>
      </c>
      <c r="I1411" s="89">
        <v>120.24</v>
      </c>
      <c r="J1411" s="125">
        <v>88.629166666666677</v>
      </c>
    </row>
    <row r="1412" spans="1:10" x14ac:dyDescent="0.3">
      <c r="A1412" s="88" t="s">
        <v>482</v>
      </c>
      <c r="B1412" s="24">
        <v>39761</v>
      </c>
      <c r="C1412" s="32">
        <v>1.2177077933298772</v>
      </c>
      <c r="D1412" s="125">
        <v>11.8</v>
      </c>
      <c r="E1412" s="125">
        <v>4.9000000000000004</v>
      </c>
      <c r="F1412" s="126">
        <v>0.14499999999999999</v>
      </c>
      <c r="G1412" s="126"/>
      <c r="H1412" s="126">
        <f t="shared" ref="H1412:H1475" si="22">0.611*EXP((17.27*E1412)/(E1412+237.3))</f>
        <v>0.86652418747176108</v>
      </c>
      <c r="I1412" s="89">
        <v>204.21000000000006</v>
      </c>
      <c r="J1412" s="125">
        <v>78.157291666666694</v>
      </c>
    </row>
    <row r="1413" spans="1:10" x14ac:dyDescent="0.3">
      <c r="A1413" s="88" t="s">
        <v>482</v>
      </c>
      <c r="B1413" s="24">
        <v>39762</v>
      </c>
      <c r="C1413" s="32">
        <v>3.5631228039859457</v>
      </c>
      <c r="D1413" s="125">
        <v>15.4</v>
      </c>
      <c r="E1413" s="125">
        <v>8.6999999999999993</v>
      </c>
      <c r="F1413" s="126">
        <v>0</v>
      </c>
      <c r="G1413" s="126"/>
      <c r="H1413" s="126">
        <f t="shared" si="22"/>
        <v>1.1253678644990226</v>
      </c>
      <c r="I1413" s="89">
        <v>379.43999999999983</v>
      </c>
      <c r="J1413" s="125">
        <v>68.719791666666666</v>
      </c>
    </row>
    <row r="1414" spans="1:10" x14ac:dyDescent="0.3">
      <c r="A1414" s="88" t="s">
        <v>482</v>
      </c>
      <c r="B1414" s="24">
        <v>39763</v>
      </c>
      <c r="C1414" s="32">
        <v>2.0610131904844193</v>
      </c>
      <c r="D1414" s="125">
        <v>15.7</v>
      </c>
      <c r="E1414" s="125">
        <v>8.1</v>
      </c>
      <c r="F1414" s="126">
        <v>1.405</v>
      </c>
      <c r="G1414" s="126"/>
      <c r="H1414" s="126">
        <f t="shared" si="22"/>
        <v>1.080450793034103</v>
      </c>
      <c r="I1414" s="89">
        <v>359.19</v>
      </c>
      <c r="J1414" s="125">
        <v>64.732291666666711</v>
      </c>
    </row>
    <row r="1415" spans="1:10" x14ac:dyDescent="0.3">
      <c r="A1415" s="88" t="s">
        <v>482</v>
      </c>
      <c r="B1415" s="24">
        <v>39764</v>
      </c>
      <c r="C1415" s="32">
        <v>4.2048269108922298</v>
      </c>
      <c r="D1415" s="125">
        <v>11</v>
      </c>
      <c r="E1415" s="125">
        <v>6.5</v>
      </c>
      <c r="F1415" s="126">
        <v>0</v>
      </c>
      <c r="G1415" s="126"/>
      <c r="H1415" s="126">
        <f t="shared" si="22"/>
        <v>0.96829408068935052</v>
      </c>
      <c r="I1415" s="89">
        <v>215.82</v>
      </c>
      <c r="J1415" s="125">
        <v>72.70729166666662</v>
      </c>
    </row>
    <row r="1416" spans="1:10" x14ac:dyDescent="0.3">
      <c r="A1416" s="88" t="s">
        <v>482</v>
      </c>
      <c r="B1416" s="24">
        <v>39765</v>
      </c>
      <c r="C1416" s="32">
        <v>2.2284142618512761</v>
      </c>
      <c r="D1416" s="125">
        <v>9.4</v>
      </c>
      <c r="E1416" s="125">
        <v>4.7</v>
      </c>
      <c r="F1416" s="126">
        <v>0</v>
      </c>
      <c r="G1416" s="126"/>
      <c r="H1416" s="126">
        <f t="shared" si="22"/>
        <v>0.85449106840682587</v>
      </c>
      <c r="I1416" s="89">
        <v>144.26999999999995</v>
      </c>
      <c r="J1416" s="125">
        <v>82.97604166666666</v>
      </c>
    </row>
    <row r="1417" spans="1:10" x14ac:dyDescent="0.3">
      <c r="A1417" s="88" t="s">
        <v>482</v>
      </c>
      <c r="B1417" s="24">
        <v>39766</v>
      </c>
      <c r="C1417" s="32">
        <v>1.2024076954092506</v>
      </c>
      <c r="D1417" s="125">
        <v>9.3000000000000007</v>
      </c>
      <c r="E1417" s="125">
        <v>4</v>
      </c>
      <c r="F1417" s="126">
        <v>0.105</v>
      </c>
      <c r="G1417" s="126"/>
      <c r="H1417" s="126">
        <f t="shared" si="22"/>
        <v>0.81352738957079329</v>
      </c>
      <c r="I1417" s="89">
        <v>262.34999999999991</v>
      </c>
      <c r="J1417" s="125">
        <v>81.143749999999997</v>
      </c>
    </row>
    <row r="1418" spans="1:10" x14ac:dyDescent="0.3">
      <c r="A1418" s="88" t="s">
        <v>482</v>
      </c>
      <c r="B1418" s="24">
        <v>39767</v>
      </c>
      <c r="C1418" s="32">
        <v>0.62550400322562061</v>
      </c>
      <c r="D1418" s="125">
        <v>10.9</v>
      </c>
      <c r="E1418" s="125">
        <v>8.8000000000000007</v>
      </c>
      <c r="F1418" s="126">
        <v>0</v>
      </c>
      <c r="G1418" s="126"/>
      <c r="H1418" s="126">
        <f t="shared" si="22"/>
        <v>1.1330116523877718</v>
      </c>
      <c r="I1418" s="89">
        <v>390.24000000000012</v>
      </c>
      <c r="J1418" s="125">
        <v>86.448958333333337</v>
      </c>
    </row>
    <row r="1419" spans="1:10" x14ac:dyDescent="0.3">
      <c r="A1419" s="88" t="s">
        <v>482</v>
      </c>
      <c r="B1419" s="24">
        <v>39768</v>
      </c>
      <c r="C1419" s="32">
        <v>2.4354155866597544</v>
      </c>
      <c r="D1419" s="125">
        <v>10.4</v>
      </c>
      <c r="E1419" s="125">
        <v>5.9</v>
      </c>
      <c r="F1419" s="126">
        <v>0.64</v>
      </c>
      <c r="G1419" s="126"/>
      <c r="H1419" s="126">
        <f t="shared" si="22"/>
        <v>0.92895926237531279</v>
      </c>
      <c r="I1419" s="89">
        <v>425.33999999999992</v>
      </c>
      <c r="J1419" s="125">
        <v>80.703125</v>
      </c>
    </row>
    <row r="1420" spans="1:10" x14ac:dyDescent="0.3">
      <c r="A1420" s="88" t="s">
        <v>482</v>
      </c>
      <c r="B1420" s="24">
        <v>39769</v>
      </c>
      <c r="C1420" s="32">
        <v>4.9536317032429009</v>
      </c>
      <c r="D1420" s="125">
        <v>7.8</v>
      </c>
      <c r="E1420" s="125">
        <v>1.6</v>
      </c>
      <c r="F1420" s="126">
        <v>0</v>
      </c>
      <c r="G1420" s="126"/>
      <c r="H1420" s="126">
        <f t="shared" si="22"/>
        <v>0.68591959793818613</v>
      </c>
      <c r="I1420" s="89">
        <v>199.26</v>
      </c>
      <c r="J1420" s="125">
        <v>84.813541666666666</v>
      </c>
    </row>
    <row r="1421" spans="1:10" x14ac:dyDescent="0.3">
      <c r="A1421" s="88" t="s">
        <v>482</v>
      </c>
      <c r="B1421" s="24">
        <v>39770</v>
      </c>
      <c r="C1421" s="32">
        <v>1.5084096538217844</v>
      </c>
      <c r="D1421" s="125">
        <v>7.3</v>
      </c>
      <c r="E1421" s="125">
        <v>1.4</v>
      </c>
      <c r="F1421" s="126">
        <v>1.99</v>
      </c>
      <c r="G1421" s="126"/>
      <c r="H1421" s="126">
        <f t="shared" si="22"/>
        <v>0.67613129580825593</v>
      </c>
      <c r="I1421" s="89">
        <v>284.21999999999997</v>
      </c>
      <c r="J1421" s="125">
        <v>83.483333333333334</v>
      </c>
    </row>
    <row r="1422" spans="1:10" x14ac:dyDescent="0.3">
      <c r="A1422" s="88" t="s">
        <v>482</v>
      </c>
      <c r="B1422" s="24">
        <v>39771</v>
      </c>
      <c r="C1422" s="32">
        <v>1.7586112551120328</v>
      </c>
      <c r="D1422" s="125">
        <v>9.3000000000000007</v>
      </c>
      <c r="E1422" s="125">
        <v>5.0999999999999996</v>
      </c>
      <c r="F1422" s="126">
        <v>0.37</v>
      </c>
      <c r="G1422" s="126"/>
      <c r="H1422" s="126">
        <f t="shared" si="22"/>
        <v>0.87870648225166126</v>
      </c>
      <c r="I1422" s="89">
        <v>504.18</v>
      </c>
      <c r="J1422" s="125">
        <v>80.059375000000003</v>
      </c>
    </row>
    <row r="1423" spans="1:10" x14ac:dyDescent="0.3">
      <c r="A1423" s="88" t="s">
        <v>482</v>
      </c>
      <c r="B1423" s="24">
        <v>39772</v>
      </c>
      <c r="C1423" s="32">
        <v>1.0008064051609931</v>
      </c>
      <c r="D1423" s="125">
        <v>9.1</v>
      </c>
      <c r="E1423" s="125">
        <v>3.9</v>
      </c>
      <c r="F1423" s="126">
        <v>10.220000000000001</v>
      </c>
      <c r="G1423" s="126"/>
      <c r="H1423" s="126">
        <f t="shared" si="22"/>
        <v>0.80781918513419737</v>
      </c>
      <c r="I1423" s="89">
        <v>613.61999999999966</v>
      </c>
      <c r="J1423" s="125">
        <v>88.121875000000003</v>
      </c>
    </row>
    <row r="1424" spans="1:10" x14ac:dyDescent="0.3">
      <c r="A1424" s="88" t="s">
        <v>482</v>
      </c>
      <c r="B1424" s="24">
        <v>39773</v>
      </c>
      <c r="C1424" s="32">
        <v>1.3167084269339324</v>
      </c>
      <c r="D1424" s="125">
        <v>5.5</v>
      </c>
      <c r="E1424" s="125">
        <v>-0.2</v>
      </c>
      <c r="F1424" s="126">
        <v>4.7050000000000001</v>
      </c>
      <c r="G1424" s="126"/>
      <c r="H1424" s="126">
        <f t="shared" si="22"/>
        <v>0.60216365842742525</v>
      </c>
      <c r="I1424" s="89">
        <v>412.37999999999994</v>
      </c>
      <c r="J1424" s="125">
        <v>90.212500000000006</v>
      </c>
    </row>
    <row r="1425" spans="1:10" x14ac:dyDescent="0.3">
      <c r="A1425" s="88" t="s">
        <v>482</v>
      </c>
      <c r="B1425" s="24">
        <v>39774</v>
      </c>
      <c r="C1425" s="32">
        <v>2.3346149415356257</v>
      </c>
      <c r="D1425" s="125">
        <v>1.3</v>
      </c>
      <c r="E1425" s="125">
        <v>-1</v>
      </c>
      <c r="F1425" s="126">
        <v>0.57499999999999996</v>
      </c>
      <c r="G1425" s="126"/>
      <c r="H1425" s="126">
        <f t="shared" si="22"/>
        <v>0.5679377955282604</v>
      </c>
      <c r="I1425" s="89">
        <v>433.89</v>
      </c>
      <c r="J1425" s="125">
        <v>90.15</v>
      </c>
    </row>
    <row r="1426" spans="1:10" x14ac:dyDescent="0.3">
      <c r="A1426" s="88" t="s">
        <v>482</v>
      </c>
      <c r="B1426" s="24">
        <v>39775</v>
      </c>
      <c r="C1426" s="32">
        <v>1.8792120269569725</v>
      </c>
      <c r="D1426" s="125">
        <v>2</v>
      </c>
      <c r="E1426" s="125">
        <v>-0.6</v>
      </c>
      <c r="F1426" s="126">
        <v>0</v>
      </c>
      <c r="G1426" s="126"/>
      <c r="H1426" s="126">
        <f t="shared" si="22"/>
        <v>0.58482930968803559</v>
      </c>
      <c r="I1426" s="89">
        <v>333.80999999999995</v>
      </c>
      <c r="J1426" s="125">
        <v>84.60833333333332</v>
      </c>
    </row>
    <row r="1427" spans="1:10" x14ac:dyDescent="0.3">
      <c r="A1427" s="88" t="s">
        <v>482</v>
      </c>
      <c r="B1427" s="24">
        <v>39776</v>
      </c>
      <c r="C1427" s="32">
        <v>2.4300155520995337</v>
      </c>
      <c r="D1427" s="125">
        <v>0.8</v>
      </c>
      <c r="E1427" s="125">
        <v>-3.2</v>
      </c>
      <c r="F1427" s="126">
        <v>0.48499999999999999</v>
      </c>
      <c r="G1427" s="126"/>
      <c r="H1427" s="126">
        <f t="shared" si="22"/>
        <v>0.48252218724041501</v>
      </c>
      <c r="I1427" s="89">
        <v>199.53000000000003</v>
      </c>
      <c r="J1427" s="125">
        <v>92.420833333333306</v>
      </c>
    </row>
    <row r="1428" spans="1:10" x14ac:dyDescent="0.3">
      <c r="A1428" s="88" t="s">
        <v>482</v>
      </c>
      <c r="B1428" s="24">
        <v>39777</v>
      </c>
      <c r="C1428" s="32">
        <v>3.0789197050861126</v>
      </c>
      <c r="D1428" s="125">
        <v>2.2000000000000002</v>
      </c>
      <c r="E1428" s="125">
        <v>-2.2999999999999998</v>
      </c>
      <c r="F1428" s="126">
        <v>4.4999999999999998E-2</v>
      </c>
      <c r="G1428" s="126"/>
      <c r="H1428" s="126">
        <f t="shared" si="22"/>
        <v>0.51598176579815569</v>
      </c>
      <c r="I1428" s="89">
        <v>244.52999999999997</v>
      </c>
      <c r="J1428" s="125">
        <v>90.944791666666674</v>
      </c>
    </row>
    <row r="1429" spans="1:10" x14ac:dyDescent="0.3">
      <c r="A1429" s="88" t="s">
        <v>482</v>
      </c>
      <c r="B1429" s="24">
        <v>39778</v>
      </c>
      <c r="C1429" s="32">
        <v>1.5948102067853234</v>
      </c>
      <c r="D1429" s="125">
        <v>5.2</v>
      </c>
      <c r="E1429" s="125">
        <v>-1.2</v>
      </c>
      <c r="F1429" s="126">
        <v>0.17499999999999999</v>
      </c>
      <c r="G1429" s="126"/>
      <c r="H1429" s="126">
        <f t="shared" si="22"/>
        <v>0.55965503960920326</v>
      </c>
      <c r="I1429" s="89">
        <v>334.35</v>
      </c>
      <c r="J1429" s="125">
        <v>88.162499999999994</v>
      </c>
    </row>
    <row r="1430" spans="1:10" x14ac:dyDescent="0.3">
      <c r="A1430" s="88" t="s">
        <v>482</v>
      </c>
      <c r="B1430" s="24">
        <v>39779</v>
      </c>
      <c r="C1430" s="32">
        <v>2.2680145152928981</v>
      </c>
      <c r="D1430" s="125">
        <v>6.2</v>
      </c>
      <c r="E1430" s="125">
        <v>4.0999999999999996</v>
      </c>
      <c r="F1430" s="126">
        <v>0.08</v>
      </c>
      <c r="G1430" s="126"/>
      <c r="H1430" s="126">
        <f t="shared" si="22"/>
        <v>0.81927114982761395</v>
      </c>
      <c r="I1430" s="89">
        <v>295.92</v>
      </c>
      <c r="J1430" s="125">
        <v>85.1</v>
      </c>
    </row>
    <row r="1431" spans="1:10" x14ac:dyDescent="0.3">
      <c r="A1431" s="88" t="s">
        <v>482</v>
      </c>
      <c r="B1431" s="24">
        <v>39780</v>
      </c>
      <c r="C1431" s="32">
        <v>2.6208167732273484</v>
      </c>
      <c r="D1431" s="125">
        <v>5</v>
      </c>
      <c r="E1431" s="125">
        <v>0.3</v>
      </c>
      <c r="F1431" s="126">
        <v>0</v>
      </c>
      <c r="G1431" s="126"/>
      <c r="H1431" s="126">
        <f t="shared" si="22"/>
        <v>0.62446951587741306</v>
      </c>
      <c r="I1431" s="89">
        <v>169.19999999999996</v>
      </c>
      <c r="J1431" s="125">
        <v>68.191666666666691</v>
      </c>
    </row>
    <row r="1432" spans="1:10" x14ac:dyDescent="0.3">
      <c r="A1432" s="88" t="s">
        <v>482</v>
      </c>
      <c r="B1432" s="24">
        <v>39781</v>
      </c>
      <c r="C1432" s="32">
        <v>1.0206065318818041</v>
      </c>
      <c r="D1432" s="125">
        <v>2.2000000000000002</v>
      </c>
      <c r="E1432" s="125">
        <v>-0.2</v>
      </c>
      <c r="F1432" s="126">
        <v>2.7850000000000001</v>
      </c>
      <c r="G1432" s="126"/>
      <c r="H1432" s="126">
        <f t="shared" si="22"/>
        <v>0.60216365842742525</v>
      </c>
      <c r="I1432" s="89">
        <v>95.04</v>
      </c>
      <c r="J1432" s="125">
        <v>91.518749999999997</v>
      </c>
    </row>
    <row r="1433" spans="1:10" x14ac:dyDescent="0.3">
      <c r="A1433" s="88" t="s">
        <v>482</v>
      </c>
      <c r="B1433" s="24">
        <v>39782</v>
      </c>
      <c r="C1433" s="32">
        <v>1.4778094579805312</v>
      </c>
      <c r="D1433" s="125">
        <v>2.2000000000000002</v>
      </c>
      <c r="E1433" s="125">
        <v>-1.9</v>
      </c>
      <c r="F1433" s="126">
        <v>0</v>
      </c>
      <c r="G1433" s="126"/>
      <c r="H1433" s="126">
        <f t="shared" si="22"/>
        <v>0.53150065801075153</v>
      </c>
      <c r="I1433" s="89">
        <v>112.68000000000005</v>
      </c>
      <c r="J1433" s="125">
        <v>94.084374999999994</v>
      </c>
    </row>
    <row r="1434" spans="1:10" x14ac:dyDescent="0.3">
      <c r="A1434" s="88" t="s">
        <v>482</v>
      </c>
      <c r="B1434" s="24">
        <v>39783</v>
      </c>
      <c r="C1434" s="32">
        <v>1.557909970623812</v>
      </c>
      <c r="D1434" s="125">
        <v>2.5</v>
      </c>
      <c r="E1434" s="125">
        <v>-2</v>
      </c>
      <c r="F1434" s="126">
        <v>4.1050000000000004</v>
      </c>
      <c r="G1434" s="126"/>
      <c r="H1434" s="126">
        <f t="shared" si="22"/>
        <v>0.52758269928339141</v>
      </c>
      <c r="I1434" s="89">
        <v>193.59</v>
      </c>
      <c r="J1434" s="125">
        <v>91.232291666666654</v>
      </c>
    </row>
    <row r="1435" spans="1:10" x14ac:dyDescent="0.3">
      <c r="A1435" s="88" t="s">
        <v>482</v>
      </c>
      <c r="B1435" s="24">
        <v>39784</v>
      </c>
      <c r="C1435" s="32">
        <v>3.1680202753297619</v>
      </c>
      <c r="D1435" s="125">
        <v>5.7</v>
      </c>
      <c r="E1435" s="125">
        <v>1.3</v>
      </c>
      <c r="F1435" s="126">
        <v>0.99</v>
      </c>
      <c r="G1435" s="126"/>
      <c r="H1435" s="126">
        <f t="shared" si="22"/>
        <v>0.67128358518521281</v>
      </c>
      <c r="I1435" s="89">
        <v>332.54999999999984</v>
      </c>
      <c r="J1435" s="125">
        <v>87.080208333333303</v>
      </c>
    </row>
    <row r="1436" spans="1:10" x14ac:dyDescent="0.3">
      <c r="A1436" s="88" t="s">
        <v>482</v>
      </c>
      <c r="B1436" s="24">
        <v>39785</v>
      </c>
      <c r="C1436" s="32">
        <v>0.81450521283336219</v>
      </c>
      <c r="D1436" s="125">
        <v>2.7</v>
      </c>
      <c r="E1436" s="125">
        <v>1.2</v>
      </c>
      <c r="F1436" s="126">
        <v>0.49</v>
      </c>
      <c r="G1436" s="126"/>
      <c r="H1436" s="126">
        <f t="shared" si="22"/>
        <v>0.66646661006207619</v>
      </c>
      <c r="I1436" s="89">
        <v>243.54000000000002</v>
      </c>
      <c r="J1436" s="125">
        <v>80.747916666666654</v>
      </c>
    </row>
    <row r="1437" spans="1:10" x14ac:dyDescent="0.3">
      <c r="A1437" s="88" t="s">
        <v>482</v>
      </c>
      <c r="B1437" s="24">
        <v>39786</v>
      </c>
      <c r="C1437" s="32">
        <v>0.71730459074938091</v>
      </c>
      <c r="D1437" s="125">
        <v>5.4</v>
      </c>
      <c r="E1437" s="125">
        <v>0.6</v>
      </c>
      <c r="F1437" s="126">
        <v>0.72499999999999998</v>
      </c>
      <c r="G1437" s="126"/>
      <c r="H1437" s="126">
        <f t="shared" si="22"/>
        <v>0.63820086880942895</v>
      </c>
      <c r="I1437" s="89">
        <v>213.75000000000006</v>
      </c>
      <c r="J1437" s="125">
        <v>81.455208333333317</v>
      </c>
    </row>
    <row r="1438" spans="1:10" x14ac:dyDescent="0.3">
      <c r="A1438" s="88" t="s">
        <v>482</v>
      </c>
      <c r="B1438" s="24">
        <v>39787</v>
      </c>
      <c r="C1438" s="32">
        <v>1.4283091411785036</v>
      </c>
      <c r="D1438" s="125">
        <v>7.2</v>
      </c>
      <c r="E1438" s="125">
        <v>1.8</v>
      </c>
      <c r="F1438" s="126">
        <v>0.46</v>
      </c>
      <c r="G1438" s="126"/>
      <c r="H1438" s="126">
        <f t="shared" si="22"/>
        <v>0.69583287280742301</v>
      </c>
      <c r="I1438" s="89">
        <v>128.97000000000003</v>
      </c>
      <c r="J1438" s="125">
        <v>83.146874999999994</v>
      </c>
    </row>
    <row r="1439" spans="1:10" x14ac:dyDescent="0.3">
      <c r="A1439" s="88" t="s">
        <v>482</v>
      </c>
      <c r="B1439" s="24">
        <v>39788</v>
      </c>
      <c r="C1439" s="32">
        <v>0.79830510915269859</v>
      </c>
      <c r="D1439" s="125">
        <v>5.4</v>
      </c>
      <c r="E1439" s="125">
        <v>2.1</v>
      </c>
      <c r="F1439" s="126">
        <v>0.45</v>
      </c>
      <c r="G1439" s="126"/>
      <c r="H1439" s="126">
        <f t="shared" si="22"/>
        <v>0.7109401060616396</v>
      </c>
      <c r="I1439" s="89">
        <v>144.54000000000002</v>
      </c>
      <c r="J1439" s="125">
        <v>92.180208333333312</v>
      </c>
    </row>
    <row r="1440" spans="1:10" x14ac:dyDescent="0.3">
      <c r="A1440" s="88" t="s">
        <v>482</v>
      </c>
      <c r="B1440" s="24">
        <v>39789</v>
      </c>
      <c r="C1440" s="32">
        <v>1.3743087955762916</v>
      </c>
      <c r="D1440" s="125">
        <v>5.4</v>
      </c>
      <c r="E1440" s="125">
        <v>3.1</v>
      </c>
      <c r="F1440" s="126">
        <v>0.44500000000000001</v>
      </c>
      <c r="G1440" s="126"/>
      <c r="H1440" s="126">
        <f t="shared" si="22"/>
        <v>0.76341105875491733</v>
      </c>
      <c r="I1440" s="89">
        <v>260.46000000000009</v>
      </c>
      <c r="J1440" s="125">
        <v>89.855208333333351</v>
      </c>
    </row>
    <row r="1441" spans="1:10" x14ac:dyDescent="0.3">
      <c r="A1441" s="88" t="s">
        <v>482</v>
      </c>
      <c r="B1441" s="24">
        <v>39790</v>
      </c>
      <c r="C1441" s="32">
        <v>2.0709132538448247</v>
      </c>
      <c r="D1441" s="125">
        <v>5.2</v>
      </c>
      <c r="E1441" s="125">
        <v>1.5</v>
      </c>
      <c r="F1441" s="126">
        <v>0</v>
      </c>
      <c r="G1441" s="126"/>
      <c r="H1441" s="126">
        <f t="shared" si="22"/>
        <v>0.68100991033793745</v>
      </c>
      <c r="I1441" s="89">
        <v>293.94000000000005</v>
      </c>
      <c r="J1441" s="125">
        <v>83.090625000000003</v>
      </c>
    </row>
    <row r="1442" spans="1:10" x14ac:dyDescent="0.3">
      <c r="A1442" s="88" t="s">
        <v>482</v>
      </c>
      <c r="B1442" s="24">
        <v>39791</v>
      </c>
      <c r="C1442" s="32">
        <v>2.0277129773630551</v>
      </c>
      <c r="D1442" s="125">
        <v>1.7</v>
      </c>
      <c r="E1442" s="125">
        <v>-1.2</v>
      </c>
      <c r="F1442" s="126">
        <v>0</v>
      </c>
      <c r="G1442" s="126"/>
      <c r="H1442" s="126">
        <f t="shared" si="22"/>
        <v>0.55965503960920326</v>
      </c>
      <c r="I1442" s="89">
        <v>186.12</v>
      </c>
      <c r="J1442" s="125">
        <v>83.318749999999994</v>
      </c>
    </row>
    <row r="1443" spans="1:10" x14ac:dyDescent="0.3">
      <c r="A1443" s="88" t="s">
        <v>482</v>
      </c>
      <c r="B1443" s="24">
        <v>39792</v>
      </c>
      <c r="C1443" s="32">
        <v>0.7524048153908186</v>
      </c>
      <c r="D1443" s="125">
        <v>2.9</v>
      </c>
      <c r="E1443" s="125">
        <v>0.5</v>
      </c>
      <c r="F1443" s="126">
        <v>0</v>
      </c>
      <c r="G1443" s="126"/>
      <c r="H1443" s="126">
        <f t="shared" si="22"/>
        <v>0.63359438986733596</v>
      </c>
      <c r="I1443" s="89">
        <v>140.4</v>
      </c>
      <c r="J1443" s="125">
        <v>93.054166666666632</v>
      </c>
    </row>
    <row r="1444" spans="1:10" x14ac:dyDescent="0.3">
      <c r="A1444" s="88" t="s">
        <v>482</v>
      </c>
      <c r="B1444" s="24">
        <v>39793</v>
      </c>
      <c r="C1444" s="32">
        <v>0.70920453890904911</v>
      </c>
      <c r="D1444" s="125">
        <v>1.9</v>
      </c>
      <c r="E1444" s="125">
        <v>-0.1</v>
      </c>
      <c r="F1444" s="126">
        <v>1.27</v>
      </c>
      <c r="G1444" s="126"/>
      <c r="H1444" s="126">
        <f t="shared" si="22"/>
        <v>0.60656760126761966</v>
      </c>
      <c r="I1444" s="89">
        <v>127.53000000000002</v>
      </c>
      <c r="J1444" s="125">
        <v>93.854166666666686</v>
      </c>
    </row>
    <row r="1445" spans="1:10" x14ac:dyDescent="0.3">
      <c r="A1445" s="88" t="s">
        <v>482</v>
      </c>
      <c r="B1445" s="24">
        <v>39794</v>
      </c>
      <c r="C1445" s="32">
        <v>1.7496111975116642</v>
      </c>
      <c r="D1445" s="125">
        <v>1.6</v>
      </c>
      <c r="E1445" s="125">
        <v>-1</v>
      </c>
      <c r="F1445" s="126">
        <v>0.47</v>
      </c>
      <c r="G1445" s="126"/>
      <c r="H1445" s="126">
        <f t="shared" si="22"/>
        <v>0.5679377955282604</v>
      </c>
      <c r="I1445" s="89">
        <v>104.12999999999997</v>
      </c>
      <c r="J1445" s="125">
        <v>93.119791666666671</v>
      </c>
    </row>
    <row r="1446" spans="1:10" x14ac:dyDescent="0.3">
      <c r="A1446" s="88" t="s">
        <v>482</v>
      </c>
      <c r="B1446" s="24">
        <v>39795</v>
      </c>
      <c r="C1446" s="32">
        <v>0.45630292033869019</v>
      </c>
      <c r="D1446" s="125">
        <v>2.1</v>
      </c>
      <c r="E1446" s="125">
        <v>-0.9</v>
      </c>
      <c r="F1446" s="126">
        <v>0</v>
      </c>
      <c r="G1446" s="126"/>
      <c r="H1446" s="126">
        <f t="shared" si="22"/>
        <v>0.57211969598720058</v>
      </c>
      <c r="I1446" s="89">
        <v>321.92999999999995</v>
      </c>
      <c r="J1446" s="125">
        <v>90.811458333333277</v>
      </c>
    </row>
    <row r="1447" spans="1:10" x14ac:dyDescent="0.3">
      <c r="A1447" s="88" t="s">
        <v>482</v>
      </c>
      <c r="B1447" s="24">
        <v>39796</v>
      </c>
      <c r="C1447" s="32">
        <v>2.5290161857035884</v>
      </c>
      <c r="D1447" s="125">
        <v>5.3</v>
      </c>
      <c r="E1447" s="125">
        <v>1.5</v>
      </c>
      <c r="F1447" s="126">
        <v>0</v>
      </c>
      <c r="G1447" s="126"/>
      <c r="H1447" s="126">
        <f t="shared" si="22"/>
        <v>0.68100991033793745</v>
      </c>
      <c r="I1447" s="89">
        <v>329.58000000000004</v>
      </c>
      <c r="J1447" s="125">
        <v>85.834374999999994</v>
      </c>
    </row>
    <row r="1448" spans="1:10" x14ac:dyDescent="0.3">
      <c r="A1448" s="88" t="s">
        <v>482</v>
      </c>
      <c r="B1448" s="24">
        <v>39797</v>
      </c>
      <c r="C1448" s="32">
        <v>1.0575067680433154</v>
      </c>
      <c r="D1448" s="125">
        <v>4.0999999999999996</v>
      </c>
      <c r="E1448" s="125">
        <v>2.2999999999999998</v>
      </c>
      <c r="F1448" s="126">
        <v>0</v>
      </c>
      <c r="G1448" s="126"/>
      <c r="H1448" s="126">
        <f t="shared" si="22"/>
        <v>0.72117182708011951</v>
      </c>
      <c r="I1448" s="89">
        <v>242.10000000000002</v>
      </c>
      <c r="J1448" s="125">
        <v>87.980208333333351</v>
      </c>
    </row>
    <row r="1449" spans="1:10" x14ac:dyDescent="0.3">
      <c r="A1449" s="88" t="s">
        <v>482</v>
      </c>
      <c r="B1449" s="24">
        <v>39798</v>
      </c>
      <c r="C1449" s="32">
        <v>0.52200334082138133</v>
      </c>
      <c r="D1449" s="125">
        <v>3.6</v>
      </c>
      <c r="E1449" s="125">
        <v>2</v>
      </c>
      <c r="F1449" s="126">
        <v>0</v>
      </c>
      <c r="G1449" s="126"/>
      <c r="H1449" s="126">
        <f t="shared" si="22"/>
        <v>0.70587248896856769</v>
      </c>
      <c r="I1449" s="89">
        <v>73.259999999999991</v>
      </c>
      <c r="J1449" s="125">
        <v>91.746875000000003</v>
      </c>
    </row>
    <row r="1450" spans="1:10" x14ac:dyDescent="0.3">
      <c r="A1450" s="88" t="s">
        <v>482</v>
      </c>
      <c r="B1450" s="24">
        <v>39799</v>
      </c>
      <c r="C1450" s="32">
        <v>0.69030441794827491</v>
      </c>
      <c r="D1450" s="125">
        <v>3.5</v>
      </c>
      <c r="E1450" s="125">
        <v>0.8</v>
      </c>
      <c r="F1450" s="126">
        <v>8.5000000000000006E-2</v>
      </c>
      <c r="G1450" s="126"/>
      <c r="H1450" s="126">
        <f t="shared" si="22"/>
        <v>0.64750272279315535</v>
      </c>
      <c r="I1450" s="89">
        <v>138.59999999999997</v>
      </c>
      <c r="J1450" s="125">
        <v>87.56041666666664</v>
      </c>
    </row>
    <row r="1451" spans="1:10" x14ac:dyDescent="0.3">
      <c r="A1451" s="88" t="s">
        <v>482</v>
      </c>
      <c r="B1451" s="24">
        <v>39800</v>
      </c>
      <c r="C1451" s="32">
        <v>2.904318587638961</v>
      </c>
      <c r="D1451" s="125">
        <v>5</v>
      </c>
      <c r="E1451" s="125">
        <v>1</v>
      </c>
      <c r="F1451" s="126">
        <v>0.01</v>
      </c>
      <c r="G1451" s="126"/>
      <c r="H1451" s="126">
        <f t="shared" si="22"/>
        <v>0.65692419645928013</v>
      </c>
      <c r="I1451" s="89">
        <v>183.96000000000009</v>
      </c>
      <c r="J1451" s="125">
        <v>90.980208333333337</v>
      </c>
    </row>
    <row r="1452" spans="1:10" x14ac:dyDescent="0.3">
      <c r="A1452" s="88" t="s">
        <v>482</v>
      </c>
      <c r="B1452" s="24">
        <v>39801</v>
      </c>
      <c r="C1452" s="32">
        <v>1.445409250619204</v>
      </c>
      <c r="D1452" s="125">
        <v>6.5</v>
      </c>
      <c r="E1452" s="125">
        <v>2.2999999999999998</v>
      </c>
      <c r="F1452" s="126">
        <v>1.835</v>
      </c>
      <c r="G1452" s="126"/>
      <c r="H1452" s="126">
        <f t="shared" si="22"/>
        <v>0.72117182708011951</v>
      </c>
      <c r="I1452" s="89">
        <v>339.75</v>
      </c>
      <c r="J1452" s="125">
        <v>87.497916666666654</v>
      </c>
    </row>
    <row r="1453" spans="1:10" x14ac:dyDescent="0.3">
      <c r="A1453" s="88" t="s">
        <v>482</v>
      </c>
      <c r="B1453" s="24">
        <v>39802</v>
      </c>
      <c r="C1453" s="32">
        <v>1.2564080410114624</v>
      </c>
      <c r="D1453" s="125">
        <v>8.6</v>
      </c>
      <c r="E1453" s="125">
        <v>2.8</v>
      </c>
      <c r="F1453" s="126">
        <v>1.905</v>
      </c>
      <c r="G1453" s="126"/>
      <c r="H1453" s="126">
        <f t="shared" si="22"/>
        <v>0.74732216909166049</v>
      </c>
      <c r="I1453" s="89">
        <v>482.31000000000006</v>
      </c>
      <c r="J1453" s="125">
        <v>81.833333333333343</v>
      </c>
    </row>
    <row r="1454" spans="1:10" x14ac:dyDescent="0.3">
      <c r="A1454" s="88" t="s">
        <v>482</v>
      </c>
      <c r="B1454" s="24">
        <v>39803</v>
      </c>
      <c r="C1454" s="32">
        <v>0.49680317954034908</v>
      </c>
      <c r="D1454" s="125">
        <v>8.8000000000000007</v>
      </c>
      <c r="E1454" s="125">
        <v>2.6</v>
      </c>
      <c r="F1454" s="126">
        <v>0.39500000000000002</v>
      </c>
      <c r="G1454" s="126"/>
      <c r="H1454" s="126">
        <f t="shared" si="22"/>
        <v>0.73676325541308207</v>
      </c>
      <c r="I1454" s="89">
        <v>332.28000000000003</v>
      </c>
      <c r="J1454" s="125">
        <v>88.630208333333329</v>
      </c>
    </row>
    <row r="1455" spans="1:10" x14ac:dyDescent="0.3">
      <c r="A1455" s="88" t="s">
        <v>482</v>
      </c>
      <c r="B1455" s="24">
        <v>39804</v>
      </c>
      <c r="C1455" s="32">
        <v>1.9647125741604745</v>
      </c>
      <c r="D1455" s="125">
        <v>9.1999999999999993</v>
      </c>
      <c r="E1455" s="125">
        <v>5.7</v>
      </c>
      <c r="F1455" s="126">
        <v>0.51</v>
      </c>
      <c r="G1455" s="126"/>
      <c r="H1455" s="126">
        <f t="shared" si="22"/>
        <v>0.91616430843021424</v>
      </c>
      <c r="I1455" s="89">
        <v>549.0899999999998</v>
      </c>
      <c r="J1455" s="125">
        <v>81.279166666666669</v>
      </c>
    </row>
    <row r="1456" spans="1:10" x14ac:dyDescent="0.3">
      <c r="A1456" s="88" t="s">
        <v>482</v>
      </c>
      <c r="B1456" s="24">
        <v>39805</v>
      </c>
      <c r="C1456" s="32">
        <v>1.2744081562121998</v>
      </c>
      <c r="D1456" s="125">
        <v>6.2</v>
      </c>
      <c r="E1456" s="125">
        <v>5.2</v>
      </c>
      <c r="F1456" s="126">
        <v>0.495</v>
      </c>
      <c r="G1456" s="126"/>
      <c r="H1456" s="126">
        <f t="shared" si="22"/>
        <v>0.88485406434684233</v>
      </c>
      <c r="I1456" s="89">
        <v>310.8599999999999</v>
      </c>
      <c r="J1456" s="125">
        <v>92.469791666666694</v>
      </c>
    </row>
    <row r="1457" spans="1:10" x14ac:dyDescent="0.3">
      <c r="A1457" s="88" t="s">
        <v>482</v>
      </c>
      <c r="B1457" s="24">
        <v>39806</v>
      </c>
      <c r="C1457" s="32">
        <v>0.48870312770001728</v>
      </c>
      <c r="D1457" s="125">
        <v>6.5</v>
      </c>
      <c r="E1457" s="125">
        <v>4.9000000000000004</v>
      </c>
      <c r="F1457" s="126">
        <v>0.15</v>
      </c>
      <c r="G1457" s="126"/>
      <c r="H1457" s="126">
        <f t="shared" si="22"/>
        <v>0.86652418747176108</v>
      </c>
      <c r="I1457" s="89">
        <v>334.17000000000007</v>
      </c>
      <c r="J1457" s="125">
        <v>93.121875000000003</v>
      </c>
    </row>
    <row r="1458" spans="1:10" x14ac:dyDescent="0.3">
      <c r="A1458" s="88" t="s">
        <v>482</v>
      </c>
      <c r="B1458" s="24">
        <v>39807</v>
      </c>
      <c r="C1458" s="32">
        <v>2.7099173434709982</v>
      </c>
      <c r="D1458" s="125">
        <v>5.0999999999999996</v>
      </c>
      <c r="E1458" s="125">
        <v>-0.7</v>
      </c>
      <c r="F1458" s="126">
        <v>8.5000000000000006E-2</v>
      </c>
      <c r="G1458" s="126"/>
      <c r="H1458" s="126">
        <f t="shared" si="22"/>
        <v>0.58056530033118703</v>
      </c>
      <c r="I1458" s="89">
        <v>299.79000000000008</v>
      </c>
      <c r="J1458" s="125">
        <v>84.21875</v>
      </c>
    </row>
    <row r="1459" spans="1:10" x14ac:dyDescent="0.3">
      <c r="A1459" s="88" t="s">
        <v>482</v>
      </c>
      <c r="B1459" s="24">
        <v>39808</v>
      </c>
      <c r="C1459" s="32">
        <v>3.6144231323080471</v>
      </c>
      <c r="D1459" s="125">
        <v>-0.3</v>
      </c>
      <c r="E1459" s="125">
        <v>-4.2</v>
      </c>
      <c r="F1459" s="126">
        <v>0</v>
      </c>
      <c r="G1459" s="126"/>
      <c r="H1459" s="126">
        <f t="shared" si="22"/>
        <v>0.447611553404549</v>
      </c>
      <c r="I1459" s="89">
        <v>328.59000000000003</v>
      </c>
      <c r="J1459" s="125">
        <v>80.685416666666626</v>
      </c>
    </row>
    <row r="1460" spans="1:10" x14ac:dyDescent="0.3">
      <c r="A1460" s="88" t="s">
        <v>482</v>
      </c>
      <c r="B1460" s="24">
        <v>39809</v>
      </c>
      <c r="C1460" s="32">
        <v>2.652316974828639</v>
      </c>
      <c r="D1460" s="125">
        <v>0.7</v>
      </c>
      <c r="E1460" s="125">
        <v>-4.5999999999999996</v>
      </c>
      <c r="F1460" s="126">
        <v>0</v>
      </c>
      <c r="G1460" s="126"/>
      <c r="H1460" s="126">
        <f t="shared" si="22"/>
        <v>0.43428656685913181</v>
      </c>
      <c r="I1460" s="89">
        <v>212.57999999999993</v>
      </c>
      <c r="J1460" s="125">
        <v>95.132291666666674</v>
      </c>
    </row>
    <row r="1461" spans="1:10" x14ac:dyDescent="0.3">
      <c r="A1461" s="88" t="s">
        <v>482</v>
      </c>
      <c r="B1461" s="24">
        <v>39810</v>
      </c>
      <c r="C1461" s="32">
        <v>2.851218247796786</v>
      </c>
      <c r="D1461" s="125">
        <v>-1.7</v>
      </c>
      <c r="E1461" s="125">
        <v>-5.0999999999999996</v>
      </c>
      <c r="F1461" s="126">
        <v>0</v>
      </c>
      <c r="G1461" s="126"/>
      <c r="H1461" s="126">
        <f t="shared" si="22"/>
        <v>0.41812553637572114</v>
      </c>
      <c r="I1461" s="89">
        <v>286.64999999999992</v>
      </c>
      <c r="J1461" s="125">
        <v>98.666666666666643</v>
      </c>
    </row>
    <row r="1462" spans="1:10" x14ac:dyDescent="0.3">
      <c r="A1462" s="88" t="s">
        <v>482</v>
      </c>
      <c r="B1462" s="24">
        <v>39811</v>
      </c>
      <c r="C1462" s="32">
        <v>1.080006912044237</v>
      </c>
      <c r="D1462" s="125">
        <v>-3.4</v>
      </c>
      <c r="E1462" s="125">
        <v>-6.2</v>
      </c>
      <c r="F1462" s="126">
        <v>0</v>
      </c>
      <c r="G1462" s="126"/>
      <c r="H1462" s="126">
        <f t="shared" si="22"/>
        <v>0.38443461500304205</v>
      </c>
      <c r="I1462" s="89">
        <v>308.97000000000008</v>
      </c>
      <c r="J1462" s="125">
        <v>98.744791666666686</v>
      </c>
    </row>
    <row r="1463" spans="1:10" x14ac:dyDescent="0.3">
      <c r="A1463" s="88" t="s">
        <v>482</v>
      </c>
      <c r="B1463" s="24">
        <v>39812</v>
      </c>
      <c r="C1463" s="32">
        <v>2.638816888428086</v>
      </c>
      <c r="D1463" s="125">
        <v>-2.6</v>
      </c>
      <c r="E1463" s="125">
        <v>-8.6999999999999993</v>
      </c>
      <c r="F1463" s="126">
        <v>0</v>
      </c>
      <c r="G1463" s="126"/>
      <c r="H1463" s="126">
        <f t="shared" si="22"/>
        <v>0.31666351439151719</v>
      </c>
      <c r="I1463" s="89">
        <v>68.759999999999977</v>
      </c>
      <c r="J1463" s="125">
        <v>99.046875</v>
      </c>
    </row>
    <row r="1464" spans="1:10" x14ac:dyDescent="0.3">
      <c r="A1464" s="88" t="s">
        <v>482</v>
      </c>
      <c r="B1464" s="24">
        <v>39813</v>
      </c>
      <c r="C1464" s="32">
        <v>3.3102211854155867</v>
      </c>
      <c r="D1464" s="125">
        <v>-1.1000000000000001</v>
      </c>
      <c r="E1464" s="125">
        <v>-9.1</v>
      </c>
      <c r="F1464" s="126">
        <v>0</v>
      </c>
      <c r="G1464" s="126"/>
      <c r="H1464" s="126">
        <f t="shared" si="22"/>
        <v>0.30686747521888891</v>
      </c>
      <c r="I1464" s="89">
        <v>79.38</v>
      </c>
      <c r="J1464" s="125">
        <v>98.889583333333306</v>
      </c>
    </row>
    <row r="1465" spans="1:10" x14ac:dyDescent="0.3">
      <c r="A1465" s="88" t="s">
        <v>483</v>
      </c>
      <c r="B1465" s="24">
        <v>39083</v>
      </c>
      <c r="C1465" s="32">
        <v>1.5282097805425956</v>
      </c>
      <c r="D1465" s="1">
        <v>11.2</v>
      </c>
      <c r="E1465" s="1">
        <v>5.0999999999999996</v>
      </c>
      <c r="F1465" s="1">
        <v>2.48</v>
      </c>
      <c r="G1465" s="1"/>
      <c r="H1465" s="126">
        <f t="shared" si="22"/>
        <v>0.87870648225166126</v>
      </c>
      <c r="I1465" s="89">
        <v>542.97</v>
      </c>
      <c r="J1465" s="126">
        <v>85.731250000000003</v>
      </c>
    </row>
    <row r="1466" spans="1:10" x14ac:dyDescent="0.3">
      <c r="A1466" s="88" t="s">
        <v>483</v>
      </c>
      <c r="B1466" s="24">
        <v>39084</v>
      </c>
      <c r="C1466" s="32">
        <v>0.90630580035712238</v>
      </c>
      <c r="D1466" s="1">
        <v>6.1</v>
      </c>
      <c r="E1466" s="1">
        <v>4</v>
      </c>
      <c r="F1466" s="1">
        <v>1.615</v>
      </c>
      <c r="G1466" s="1"/>
      <c r="H1466" s="126">
        <f t="shared" si="22"/>
        <v>0.81352738957079329</v>
      </c>
      <c r="I1466" s="89">
        <v>398.43000000000006</v>
      </c>
      <c r="J1466" s="126">
        <v>89.953125</v>
      </c>
    </row>
    <row r="1467" spans="1:10" x14ac:dyDescent="0.3">
      <c r="A1467" s="88" t="s">
        <v>483</v>
      </c>
      <c r="B1467" s="24">
        <v>39085</v>
      </c>
      <c r="C1467" s="32">
        <v>2.1771139335291747</v>
      </c>
      <c r="D1467" s="1">
        <v>6.6</v>
      </c>
      <c r="E1467" s="1">
        <v>4.0999999999999996</v>
      </c>
      <c r="F1467" s="1">
        <v>1.115</v>
      </c>
      <c r="G1467" s="1"/>
      <c r="H1467" s="126">
        <f t="shared" si="22"/>
        <v>0.81927114982761395</v>
      </c>
      <c r="I1467" s="89">
        <v>365.58000000000004</v>
      </c>
      <c r="J1467" s="126">
        <v>91.71875</v>
      </c>
    </row>
    <row r="1468" spans="1:10" x14ac:dyDescent="0.3">
      <c r="A1468" s="88" t="s">
        <v>483</v>
      </c>
      <c r="B1468" s="24">
        <v>39086</v>
      </c>
      <c r="C1468" s="32">
        <v>0.722704625309602</v>
      </c>
      <c r="D1468" s="1">
        <v>8.9</v>
      </c>
      <c r="E1468" s="1">
        <v>6.2</v>
      </c>
      <c r="F1468" s="1">
        <v>2.8650000000000002</v>
      </c>
      <c r="G1468" s="1"/>
      <c r="H1468" s="126">
        <f t="shared" si="22"/>
        <v>0.94844700173703456</v>
      </c>
      <c r="I1468" s="89">
        <v>442.53000000000009</v>
      </c>
      <c r="J1468" s="126">
        <v>89.741666666666688</v>
      </c>
    </row>
    <row r="1469" spans="1:10" x14ac:dyDescent="0.3">
      <c r="A1469" s="88" t="s">
        <v>483</v>
      </c>
      <c r="B1469" s="24">
        <v>39087</v>
      </c>
      <c r="C1469" s="32">
        <v>0.85140544899487358</v>
      </c>
      <c r="D1469" s="1">
        <v>9.4</v>
      </c>
      <c r="E1469" s="1">
        <v>6.8</v>
      </c>
      <c r="F1469" s="1">
        <v>0.15</v>
      </c>
      <c r="G1469" s="1"/>
      <c r="H1469" s="126">
        <f t="shared" si="22"/>
        <v>0.98850615565901678</v>
      </c>
      <c r="I1469" s="89">
        <v>504.72000000000025</v>
      </c>
      <c r="J1469" s="126">
        <v>88.967708333333348</v>
      </c>
    </row>
    <row r="1470" spans="1:10" x14ac:dyDescent="0.3">
      <c r="A1470" s="88" t="s">
        <v>483</v>
      </c>
      <c r="B1470" s="24">
        <v>39088</v>
      </c>
      <c r="C1470" s="32">
        <v>1.804511548873913</v>
      </c>
      <c r="D1470" s="1">
        <v>9.6</v>
      </c>
      <c r="E1470" s="1">
        <v>6.4</v>
      </c>
      <c r="F1470" s="1">
        <v>9.17</v>
      </c>
      <c r="G1470" s="1"/>
      <c r="H1470" s="126">
        <f t="shared" si="22"/>
        <v>0.96163811340513428</v>
      </c>
      <c r="I1470" s="89">
        <v>222.75</v>
      </c>
      <c r="J1470" s="126">
        <v>92.739583333333357</v>
      </c>
    </row>
    <row r="1471" spans="1:10" x14ac:dyDescent="0.3">
      <c r="A1471" s="88" t="s">
        <v>483</v>
      </c>
      <c r="B1471" s="24">
        <v>39089</v>
      </c>
      <c r="C1471" s="32">
        <v>1.4481092678993146</v>
      </c>
      <c r="D1471" s="1">
        <v>9.5</v>
      </c>
      <c r="E1471" s="1">
        <v>5.0999999999999996</v>
      </c>
      <c r="F1471" s="1">
        <v>8.85</v>
      </c>
      <c r="G1471" s="1"/>
      <c r="H1471" s="126">
        <f t="shared" si="22"/>
        <v>0.87870648225166126</v>
      </c>
      <c r="I1471" s="89">
        <v>273.96000000000004</v>
      </c>
      <c r="J1471" s="126">
        <v>89.496875000000003</v>
      </c>
    </row>
    <row r="1472" spans="1:10" x14ac:dyDescent="0.3">
      <c r="A1472" s="88" t="s">
        <v>483</v>
      </c>
      <c r="B1472" s="24">
        <v>39090</v>
      </c>
      <c r="C1472" s="32">
        <v>0.87930562755601638</v>
      </c>
      <c r="D1472" s="1">
        <v>10.6</v>
      </c>
      <c r="E1472" s="1">
        <v>6.3</v>
      </c>
      <c r="F1472" s="1">
        <v>0.48</v>
      </c>
      <c r="G1472" s="1"/>
      <c r="H1472" s="126">
        <f t="shared" si="22"/>
        <v>0.95502249025252561</v>
      </c>
      <c r="I1472" s="89">
        <v>284.13</v>
      </c>
      <c r="J1472" s="126">
        <v>84.368750000000006</v>
      </c>
    </row>
    <row r="1473" spans="1:10" x14ac:dyDescent="0.3">
      <c r="A1473" s="88" t="s">
        <v>483</v>
      </c>
      <c r="B1473" s="24">
        <v>39091</v>
      </c>
      <c r="C1473" s="32">
        <v>0.64170410690628421</v>
      </c>
      <c r="D1473" s="1">
        <v>14</v>
      </c>
      <c r="E1473" s="1">
        <v>8.1</v>
      </c>
      <c r="F1473" s="1">
        <v>0.70499999999999996</v>
      </c>
      <c r="G1473" s="1"/>
      <c r="H1473" s="126">
        <f t="shared" si="22"/>
        <v>1.080450793034103</v>
      </c>
      <c r="I1473" s="89">
        <v>471.51000000000005</v>
      </c>
      <c r="J1473" s="126">
        <v>81.240624999999994</v>
      </c>
    </row>
    <row r="1474" spans="1:10" x14ac:dyDescent="0.3">
      <c r="A1474" s="88" t="s">
        <v>483</v>
      </c>
      <c r="B1474" s="24">
        <v>39092</v>
      </c>
      <c r="C1474" s="32">
        <v>2.2500144000921609</v>
      </c>
      <c r="D1474" s="1">
        <v>13.4</v>
      </c>
      <c r="E1474" s="1">
        <v>6.6</v>
      </c>
      <c r="F1474" s="1">
        <v>4.49</v>
      </c>
      <c r="G1474" s="1"/>
      <c r="H1474" s="126">
        <f t="shared" si="22"/>
        <v>0.97499060249070812</v>
      </c>
      <c r="I1474" s="89">
        <v>423.36</v>
      </c>
      <c r="J1474" s="126">
        <v>77.474999999999994</v>
      </c>
    </row>
    <row r="1475" spans="1:10" x14ac:dyDescent="0.3">
      <c r="A1475" s="88" t="s">
        <v>483</v>
      </c>
      <c r="B1475" s="24">
        <v>39093</v>
      </c>
      <c r="C1475" s="32">
        <v>0.39150250561603595</v>
      </c>
      <c r="D1475" s="1">
        <v>8.9</v>
      </c>
      <c r="E1475" s="1">
        <v>4.5999999999999996</v>
      </c>
      <c r="F1475" s="1">
        <v>6.26</v>
      </c>
      <c r="G1475" s="1"/>
      <c r="H1475" s="126">
        <f t="shared" si="22"/>
        <v>0.84852995914135099</v>
      </c>
      <c r="I1475" s="89">
        <v>616.86</v>
      </c>
      <c r="J1475" s="126">
        <v>82.347916666666677</v>
      </c>
    </row>
    <row r="1476" spans="1:10" x14ac:dyDescent="0.3">
      <c r="A1476" s="88" t="s">
        <v>483</v>
      </c>
      <c r="B1476" s="24">
        <v>39094</v>
      </c>
      <c r="C1476" s="32">
        <v>1.9935127584816543</v>
      </c>
      <c r="D1476" s="1">
        <v>11.6</v>
      </c>
      <c r="E1476" s="1">
        <v>6.3</v>
      </c>
      <c r="F1476" s="1">
        <v>0.55500000000000005</v>
      </c>
      <c r="G1476" s="1"/>
      <c r="H1476" s="126">
        <f t="shared" ref="H1476:H1539" si="23">0.611*EXP((17.27*E1476)/(E1476+237.3))</f>
        <v>0.95502249025252561</v>
      </c>
      <c r="I1476" s="89">
        <v>687.68999999999994</v>
      </c>
      <c r="J1476" s="126">
        <v>79.804166666666703</v>
      </c>
    </row>
    <row r="1477" spans="1:10" x14ac:dyDescent="0.3">
      <c r="A1477" s="88" t="s">
        <v>483</v>
      </c>
      <c r="B1477" s="24">
        <v>39095</v>
      </c>
      <c r="C1477" s="32">
        <v>0.83250532803409938</v>
      </c>
      <c r="D1477" s="1">
        <v>12.2</v>
      </c>
      <c r="E1477" s="1">
        <v>10.5</v>
      </c>
      <c r="F1477" s="1">
        <v>1.4999999999999999E-2</v>
      </c>
      <c r="G1477" s="1"/>
      <c r="H1477" s="126">
        <f t="shared" si="23"/>
        <v>1.2701326466613394</v>
      </c>
      <c r="I1477" s="89">
        <v>547.20000000000005</v>
      </c>
      <c r="J1477" s="126">
        <v>81.792708333333337</v>
      </c>
    </row>
    <row r="1478" spans="1:10" x14ac:dyDescent="0.3">
      <c r="A1478" s="88" t="s">
        <v>483</v>
      </c>
      <c r="B1478" s="24">
        <v>39096</v>
      </c>
      <c r="C1478" s="32">
        <v>3.3795216289384253</v>
      </c>
      <c r="D1478" s="1">
        <v>11.8</v>
      </c>
      <c r="E1478" s="1">
        <v>5</v>
      </c>
      <c r="F1478" s="1">
        <v>0.68500000000000005</v>
      </c>
      <c r="G1478" s="1"/>
      <c r="H1478" s="126">
        <f t="shared" si="23"/>
        <v>0.87259658934786222</v>
      </c>
      <c r="I1478" s="89">
        <v>614.16</v>
      </c>
      <c r="J1478" s="126">
        <v>76.560416666666654</v>
      </c>
    </row>
    <row r="1479" spans="1:10" x14ac:dyDescent="0.3">
      <c r="A1479" s="88" t="s">
        <v>483</v>
      </c>
      <c r="B1479" s="24">
        <v>39097</v>
      </c>
      <c r="C1479" s="32">
        <v>4.0383258452854101</v>
      </c>
      <c r="D1479" s="1">
        <v>7.8</v>
      </c>
      <c r="E1479" s="1">
        <v>2.4</v>
      </c>
      <c r="F1479" s="1">
        <v>0</v>
      </c>
      <c r="G1479" s="1"/>
      <c r="H1479" s="126">
        <f t="shared" si="23"/>
        <v>0.7263362808555901</v>
      </c>
      <c r="I1479" s="89">
        <v>252.71999999999997</v>
      </c>
      <c r="J1479" s="126">
        <v>81.232291666666654</v>
      </c>
    </row>
    <row r="1480" spans="1:10" x14ac:dyDescent="0.3">
      <c r="A1480" s="88" t="s">
        <v>483</v>
      </c>
      <c r="B1480" s="24">
        <v>39098</v>
      </c>
      <c r="C1480" s="32">
        <v>0.88020563331605328</v>
      </c>
      <c r="D1480" s="1">
        <v>7.1</v>
      </c>
      <c r="E1480" s="1">
        <v>2.2999999999999998</v>
      </c>
      <c r="F1480" s="1">
        <v>1.19</v>
      </c>
      <c r="G1480" s="1"/>
      <c r="H1480" s="126">
        <f t="shared" si="23"/>
        <v>0.72117182708011951</v>
      </c>
      <c r="I1480" s="89">
        <v>287.28000000000003</v>
      </c>
      <c r="J1480" s="126">
        <v>84.579166666666666</v>
      </c>
    </row>
    <row r="1481" spans="1:10" x14ac:dyDescent="0.3">
      <c r="A1481" s="88" t="s">
        <v>483</v>
      </c>
      <c r="B1481" s="24">
        <v>39099</v>
      </c>
      <c r="C1481" s="32">
        <v>2.4669157882610446</v>
      </c>
      <c r="D1481" s="1">
        <v>11.2</v>
      </c>
      <c r="E1481" s="1">
        <v>6.3</v>
      </c>
      <c r="F1481" s="1">
        <v>0.52500000000000002</v>
      </c>
      <c r="G1481" s="1"/>
      <c r="H1481" s="126">
        <f t="shared" si="23"/>
        <v>0.95502249025252561</v>
      </c>
      <c r="I1481" s="89">
        <v>353.78999999999985</v>
      </c>
      <c r="J1481" s="126">
        <v>81.556250000000006</v>
      </c>
    </row>
    <row r="1482" spans="1:10" x14ac:dyDescent="0.3">
      <c r="A1482" s="88" t="s">
        <v>483</v>
      </c>
      <c r="B1482" s="24">
        <v>39100</v>
      </c>
      <c r="C1482" s="32">
        <v>8.9100570243649563E-2</v>
      </c>
      <c r="D1482" s="1">
        <v>12.9</v>
      </c>
      <c r="E1482" s="1">
        <v>6.5</v>
      </c>
      <c r="F1482" s="1">
        <v>23.635000000000002</v>
      </c>
      <c r="G1482" s="1"/>
      <c r="H1482" s="126">
        <f t="shared" si="23"/>
        <v>0.96829408068935052</v>
      </c>
      <c r="I1482" s="89">
        <v>599.85000000000014</v>
      </c>
      <c r="J1482" s="126">
        <v>83.87604166666668</v>
      </c>
    </row>
    <row r="1483" spans="1:10" x14ac:dyDescent="0.3">
      <c r="A1483" s="88" t="s">
        <v>483</v>
      </c>
      <c r="B1483" s="24">
        <v>39101</v>
      </c>
      <c r="C1483" s="32">
        <v>1.683910777028973</v>
      </c>
      <c r="D1483" s="1">
        <v>9.6999999999999993</v>
      </c>
      <c r="E1483" s="1">
        <v>6.2</v>
      </c>
      <c r="F1483" s="1">
        <v>1.575</v>
      </c>
      <c r="G1483" s="1"/>
      <c r="H1483" s="126">
        <f t="shared" si="23"/>
        <v>0.94844700173703456</v>
      </c>
      <c r="I1483" s="89">
        <v>673.20000000000016</v>
      </c>
      <c r="J1483" s="126">
        <v>78.592708333333334</v>
      </c>
    </row>
    <row r="1484" spans="1:10" x14ac:dyDescent="0.3">
      <c r="A1484" s="88" t="s">
        <v>483</v>
      </c>
      <c r="B1484" s="24">
        <v>39102</v>
      </c>
      <c r="C1484" s="32">
        <v>1.152907378607223</v>
      </c>
      <c r="D1484" s="1">
        <v>13.9</v>
      </c>
      <c r="E1484" s="1">
        <v>6.6</v>
      </c>
      <c r="F1484" s="1">
        <v>3.6549999999999998</v>
      </c>
      <c r="G1484" s="1"/>
      <c r="H1484" s="126">
        <f t="shared" si="23"/>
        <v>0.97499060249070812</v>
      </c>
      <c r="I1484" s="89">
        <v>478.71000000000004</v>
      </c>
      <c r="J1484" s="126">
        <v>80.643749999999997</v>
      </c>
    </row>
    <row r="1485" spans="1:10" x14ac:dyDescent="0.3">
      <c r="A1485" s="88" t="s">
        <v>483</v>
      </c>
      <c r="B1485" s="24">
        <v>39103</v>
      </c>
      <c r="C1485" s="32">
        <v>1.3041083462934162</v>
      </c>
      <c r="D1485" s="1">
        <v>6.8</v>
      </c>
      <c r="E1485" s="1">
        <v>3.8</v>
      </c>
      <c r="F1485" s="1">
        <v>2.4350000000000001</v>
      </c>
      <c r="G1485" s="1"/>
      <c r="H1485" s="126">
        <f t="shared" si="23"/>
        <v>0.80214634758046521</v>
      </c>
      <c r="I1485" s="89">
        <v>534.96</v>
      </c>
      <c r="J1485" s="126">
        <v>78.643749999999997</v>
      </c>
    </row>
    <row r="1486" spans="1:10" x14ac:dyDescent="0.3">
      <c r="A1486" s="88" t="s">
        <v>483</v>
      </c>
      <c r="B1486" s="24">
        <v>39104</v>
      </c>
      <c r="C1486" s="32">
        <v>1.5093096595818214</v>
      </c>
      <c r="D1486" s="1">
        <v>4.7</v>
      </c>
      <c r="E1486" s="1">
        <v>-3.7</v>
      </c>
      <c r="F1486" s="1">
        <v>0.08</v>
      </c>
      <c r="G1486" s="1"/>
      <c r="H1486" s="126">
        <f t="shared" si="23"/>
        <v>0.46477653465671803</v>
      </c>
      <c r="I1486" s="89">
        <v>386.81999999999994</v>
      </c>
      <c r="J1486" s="126">
        <v>80.601041666666646</v>
      </c>
    </row>
    <row r="1487" spans="1:10" x14ac:dyDescent="0.3">
      <c r="A1487" s="88" t="s">
        <v>483</v>
      </c>
      <c r="B1487" s="24">
        <v>39105</v>
      </c>
      <c r="C1487" s="32">
        <v>5.8806376360808708</v>
      </c>
      <c r="D1487" s="1">
        <v>-1.1000000000000001</v>
      </c>
      <c r="E1487" s="1">
        <v>-7.3</v>
      </c>
      <c r="F1487" s="1">
        <v>0</v>
      </c>
      <c r="G1487" s="1"/>
      <c r="H1487" s="126">
        <f t="shared" si="23"/>
        <v>0.35317446732956626</v>
      </c>
      <c r="I1487" s="89">
        <v>93.870000000000019</v>
      </c>
      <c r="J1487" s="126">
        <v>88.554166666666632</v>
      </c>
    </row>
    <row r="1488" spans="1:10" x14ac:dyDescent="0.3">
      <c r="A1488" s="88" t="s">
        <v>483</v>
      </c>
      <c r="B1488" s="24">
        <v>39106</v>
      </c>
      <c r="C1488" s="32">
        <v>2.8467182189966014</v>
      </c>
      <c r="D1488" s="1">
        <v>-2.4</v>
      </c>
      <c r="E1488" s="1">
        <v>-8.1</v>
      </c>
      <c r="F1488" s="1">
        <v>0</v>
      </c>
      <c r="G1488" s="1"/>
      <c r="H1488" s="126">
        <f t="shared" si="23"/>
        <v>0.33187876416236572</v>
      </c>
      <c r="I1488" s="89">
        <v>194.49000000000004</v>
      </c>
      <c r="J1488" s="126">
        <v>92.821875000000006</v>
      </c>
    </row>
    <row r="1489" spans="1:10" x14ac:dyDescent="0.3">
      <c r="A1489" s="88" t="s">
        <v>483</v>
      </c>
      <c r="B1489" s="24">
        <v>39107</v>
      </c>
      <c r="C1489" s="32">
        <v>5.1030326594090205</v>
      </c>
      <c r="D1489" s="1">
        <v>-1.1000000000000001</v>
      </c>
      <c r="E1489" s="1">
        <v>-6.8</v>
      </c>
      <c r="F1489" s="1">
        <v>0</v>
      </c>
      <c r="G1489" s="1"/>
      <c r="H1489" s="126">
        <f t="shared" si="23"/>
        <v>0.36709226809247852</v>
      </c>
      <c r="I1489" s="89">
        <v>223.02</v>
      </c>
      <c r="J1489" s="126">
        <v>92.094791666666694</v>
      </c>
    </row>
    <row r="1490" spans="1:10" x14ac:dyDescent="0.3">
      <c r="A1490" s="88" t="s">
        <v>483</v>
      </c>
      <c r="B1490" s="24">
        <v>39108</v>
      </c>
      <c r="C1490" s="32">
        <v>1.7973115027936177</v>
      </c>
      <c r="D1490" s="1">
        <v>1.7</v>
      </c>
      <c r="E1490" s="1">
        <v>-6.9</v>
      </c>
      <c r="F1490" s="1">
        <v>0.46</v>
      </c>
      <c r="G1490" s="1"/>
      <c r="H1490" s="126">
        <f t="shared" si="23"/>
        <v>0.36427039611704592</v>
      </c>
      <c r="I1490" s="89">
        <v>389.88</v>
      </c>
      <c r="J1490" s="126">
        <v>92.030208333333292</v>
      </c>
    </row>
    <row r="1491" spans="1:10" x14ac:dyDescent="0.3">
      <c r="A1491" s="88" t="s">
        <v>483</v>
      </c>
      <c r="B1491" s="24">
        <v>39109</v>
      </c>
      <c r="C1491" s="32">
        <v>4.131026438569207</v>
      </c>
      <c r="D1491" s="1">
        <v>3</v>
      </c>
      <c r="E1491" s="1">
        <v>0.4</v>
      </c>
      <c r="F1491" s="1">
        <v>0</v>
      </c>
      <c r="G1491" s="1"/>
      <c r="H1491" s="126">
        <f t="shared" si="23"/>
        <v>0.62901732612537431</v>
      </c>
      <c r="I1491" s="89">
        <v>482.84999999999991</v>
      </c>
      <c r="J1491" s="126">
        <v>86.083333333333329</v>
      </c>
    </row>
    <row r="1492" spans="1:10" x14ac:dyDescent="0.3">
      <c r="A1492" s="88" t="s">
        <v>483</v>
      </c>
      <c r="B1492" s="24">
        <v>39110</v>
      </c>
      <c r="C1492" s="32">
        <v>0.7254046425897126</v>
      </c>
      <c r="D1492" s="1">
        <v>6.4</v>
      </c>
      <c r="E1492" s="1">
        <v>1.7</v>
      </c>
      <c r="F1492" s="1">
        <v>3.6549999999999998</v>
      </c>
      <c r="G1492" s="1"/>
      <c r="H1492" s="126">
        <f t="shared" si="23"/>
        <v>0.69086052853268343</v>
      </c>
      <c r="I1492" s="89">
        <v>602.46</v>
      </c>
      <c r="J1492" s="126">
        <v>89</v>
      </c>
    </row>
    <row r="1493" spans="1:10" x14ac:dyDescent="0.3">
      <c r="A1493" s="88" t="s">
        <v>483</v>
      </c>
      <c r="B1493" s="24">
        <v>39111</v>
      </c>
      <c r="C1493" s="32">
        <v>2.9754190426818732</v>
      </c>
      <c r="D1493" s="1">
        <v>6.9</v>
      </c>
      <c r="E1493" s="1">
        <v>3.4</v>
      </c>
      <c r="F1493" s="1">
        <v>6.665</v>
      </c>
      <c r="G1493" s="1"/>
      <c r="H1493" s="126">
        <f t="shared" si="23"/>
        <v>0.77980491618110859</v>
      </c>
      <c r="I1493" s="89">
        <v>452.87999999999994</v>
      </c>
      <c r="J1493" s="126">
        <v>84.248958333333334</v>
      </c>
    </row>
    <row r="1494" spans="1:10" x14ac:dyDescent="0.3">
      <c r="A1494" s="88" t="s">
        <v>483</v>
      </c>
      <c r="B1494" s="24">
        <v>39112</v>
      </c>
      <c r="C1494" s="32">
        <v>1.7199110074304476</v>
      </c>
      <c r="D1494" s="1">
        <v>7.7</v>
      </c>
      <c r="E1494" s="1">
        <v>3.3</v>
      </c>
      <c r="F1494" s="1">
        <v>0.215</v>
      </c>
      <c r="G1494" s="1"/>
      <c r="H1494" s="126">
        <f t="shared" si="23"/>
        <v>0.77430610767805441</v>
      </c>
      <c r="I1494" s="89">
        <v>387.36000000000018</v>
      </c>
      <c r="J1494" s="126">
        <v>84.856250000000003</v>
      </c>
    </row>
    <row r="1495" spans="1:10" x14ac:dyDescent="0.3">
      <c r="A1495" s="88" t="s">
        <v>483</v>
      </c>
      <c r="B1495" s="24">
        <v>39113</v>
      </c>
      <c r="C1495" s="32">
        <v>3.6198231668682683</v>
      </c>
      <c r="D1495" s="1">
        <v>7.7</v>
      </c>
      <c r="E1495" s="1">
        <v>5.7</v>
      </c>
      <c r="F1495" s="1">
        <v>0.04</v>
      </c>
      <c r="G1495" s="1"/>
      <c r="H1495" s="126">
        <f t="shared" si="23"/>
        <v>0.91616430843021424</v>
      </c>
      <c r="I1495" s="89">
        <v>561.51</v>
      </c>
      <c r="J1495" s="126">
        <v>79.887500000000003</v>
      </c>
    </row>
    <row r="1496" spans="1:10" x14ac:dyDescent="0.3">
      <c r="A1496" s="88" t="s">
        <v>483</v>
      </c>
      <c r="B1496" s="24">
        <v>39114</v>
      </c>
      <c r="C1496" s="32">
        <v>3.1104199066874028</v>
      </c>
      <c r="D1496" s="1">
        <v>7.8</v>
      </c>
      <c r="E1496" s="1">
        <v>5.5</v>
      </c>
      <c r="F1496" s="1">
        <v>0.68</v>
      </c>
      <c r="G1496" s="1"/>
      <c r="H1496" s="126">
        <f t="shared" si="23"/>
        <v>0.90352494025987484</v>
      </c>
      <c r="I1496" s="89">
        <v>330.92999999999995</v>
      </c>
      <c r="J1496" s="126">
        <v>86.661458333333314</v>
      </c>
    </row>
    <row r="1497" spans="1:10" x14ac:dyDescent="0.3">
      <c r="A1497" s="88" t="s">
        <v>483</v>
      </c>
      <c r="B1497" s="24">
        <v>39115</v>
      </c>
      <c r="C1497" s="32">
        <v>1.2168077875698404</v>
      </c>
      <c r="D1497" s="1">
        <v>8.6</v>
      </c>
      <c r="E1497" s="1">
        <v>6.1</v>
      </c>
      <c r="F1497" s="1">
        <v>1.1599999999999999</v>
      </c>
      <c r="G1497" s="1"/>
      <c r="H1497" s="126">
        <f t="shared" si="23"/>
        <v>0.94191143925241705</v>
      </c>
      <c r="I1497" s="89">
        <v>388.43999999999988</v>
      </c>
      <c r="J1497" s="126">
        <v>93.151041666666643</v>
      </c>
    </row>
    <row r="1498" spans="1:10" x14ac:dyDescent="0.3">
      <c r="A1498" s="88" t="s">
        <v>483</v>
      </c>
      <c r="B1498" s="24">
        <v>39116</v>
      </c>
      <c r="C1498" s="32">
        <v>1.5201097287022638</v>
      </c>
      <c r="D1498" s="1">
        <v>7.8</v>
      </c>
      <c r="E1498" s="1">
        <v>5.5</v>
      </c>
      <c r="F1498" s="1">
        <v>1.425</v>
      </c>
      <c r="G1498" s="1"/>
      <c r="H1498" s="126">
        <f t="shared" si="23"/>
        <v>0.90352494025987484</v>
      </c>
      <c r="I1498" s="89">
        <v>409.94999999999993</v>
      </c>
      <c r="J1498" s="126">
        <v>88.445833333333326</v>
      </c>
    </row>
    <row r="1499" spans="1:10" x14ac:dyDescent="0.3">
      <c r="A1499" s="88" t="s">
        <v>483</v>
      </c>
      <c r="B1499" s="24">
        <v>39117</v>
      </c>
      <c r="C1499" s="32">
        <v>3.1824203674903524</v>
      </c>
      <c r="D1499" s="1">
        <v>6.7</v>
      </c>
      <c r="E1499" s="1">
        <v>1.4</v>
      </c>
      <c r="F1499" s="1">
        <v>1.4999999999999999E-2</v>
      </c>
      <c r="G1499" s="1"/>
      <c r="H1499" s="126">
        <f t="shared" si="23"/>
        <v>0.67613129580825593</v>
      </c>
      <c r="I1499" s="89">
        <v>267.48</v>
      </c>
      <c r="J1499" s="126">
        <v>89.05</v>
      </c>
    </row>
    <row r="1500" spans="1:10" x14ac:dyDescent="0.3">
      <c r="A1500" s="88" t="s">
        <v>483</v>
      </c>
      <c r="B1500" s="24">
        <v>39118</v>
      </c>
      <c r="C1500" s="32">
        <v>2.6037166637866482</v>
      </c>
      <c r="D1500" s="1">
        <v>4.0999999999999996</v>
      </c>
      <c r="E1500" s="1">
        <v>0.1</v>
      </c>
      <c r="F1500" s="1">
        <v>0.21</v>
      </c>
      <c r="G1500" s="1"/>
      <c r="H1500" s="126">
        <f t="shared" si="23"/>
        <v>0.61546101269605991</v>
      </c>
      <c r="I1500" s="89">
        <v>251.36999999999998</v>
      </c>
      <c r="J1500" s="126">
        <v>93.837500000000048</v>
      </c>
    </row>
    <row r="1501" spans="1:10" x14ac:dyDescent="0.3">
      <c r="A1501" s="88" t="s">
        <v>483</v>
      </c>
      <c r="B1501" s="24">
        <v>39119</v>
      </c>
      <c r="C1501" s="32">
        <v>3.5532227406255399</v>
      </c>
      <c r="D1501" s="1">
        <v>3.9</v>
      </c>
      <c r="E1501" s="1">
        <v>0.1</v>
      </c>
      <c r="F1501" s="1">
        <v>0.19500000000000001</v>
      </c>
      <c r="G1501" s="1"/>
      <c r="H1501" s="126">
        <f t="shared" si="23"/>
        <v>0.61546101269605991</v>
      </c>
      <c r="I1501" s="89">
        <v>238.85999999999979</v>
      </c>
      <c r="J1501" s="126">
        <v>86.713541666666643</v>
      </c>
    </row>
    <row r="1502" spans="1:10" x14ac:dyDescent="0.3">
      <c r="A1502" s="88" t="s">
        <v>483</v>
      </c>
      <c r="B1502" s="24">
        <v>39120</v>
      </c>
      <c r="C1502" s="32">
        <v>6.1803395541731465</v>
      </c>
      <c r="D1502" s="1">
        <v>3.6</v>
      </c>
      <c r="E1502" s="1">
        <v>0</v>
      </c>
      <c r="F1502" s="1">
        <v>0</v>
      </c>
      <c r="G1502" s="1"/>
      <c r="H1502" s="126">
        <f t="shared" si="23"/>
        <v>0.61099999999999999</v>
      </c>
      <c r="I1502" s="89">
        <v>136.89000000000001</v>
      </c>
      <c r="J1502" s="126">
        <v>86.282291666666666</v>
      </c>
    </row>
    <row r="1503" spans="1:10" x14ac:dyDescent="0.3">
      <c r="A1503" s="88" t="s">
        <v>483</v>
      </c>
      <c r="B1503" s="24">
        <v>39121</v>
      </c>
      <c r="C1503" s="32">
        <v>1.8108115891941707</v>
      </c>
      <c r="D1503" s="1">
        <v>3</v>
      </c>
      <c r="E1503" s="1">
        <v>0</v>
      </c>
      <c r="F1503" s="1">
        <v>4.5750000000000002</v>
      </c>
      <c r="G1503" s="1"/>
      <c r="H1503" s="126">
        <f t="shared" si="23"/>
        <v>0.61099999999999999</v>
      </c>
      <c r="I1503" s="89">
        <v>221.57999999999998</v>
      </c>
      <c r="J1503" s="126">
        <v>92.679166666666632</v>
      </c>
    </row>
    <row r="1504" spans="1:10" x14ac:dyDescent="0.3">
      <c r="A1504" s="88" t="s">
        <v>483</v>
      </c>
      <c r="B1504" s="24">
        <v>39122</v>
      </c>
      <c r="C1504" s="32">
        <v>1.3266084902943378</v>
      </c>
      <c r="D1504" s="1">
        <v>3.8</v>
      </c>
      <c r="E1504" s="1">
        <v>0</v>
      </c>
      <c r="F1504" s="1">
        <v>2.0249999999999999</v>
      </c>
      <c r="G1504" s="1"/>
      <c r="H1504" s="126">
        <f t="shared" si="23"/>
        <v>0.61099999999999999</v>
      </c>
      <c r="I1504" s="89">
        <v>175.05000000000007</v>
      </c>
      <c r="J1504" s="126">
        <v>92.698958333333351</v>
      </c>
    </row>
    <row r="1505" spans="1:10" x14ac:dyDescent="0.3">
      <c r="A1505" s="88" t="s">
        <v>483</v>
      </c>
      <c r="B1505" s="24">
        <v>39123</v>
      </c>
      <c r="C1505" s="32">
        <v>0.84060537987443118</v>
      </c>
      <c r="D1505" s="1">
        <v>2.2999999999999998</v>
      </c>
      <c r="E1505" s="1">
        <v>0.1</v>
      </c>
      <c r="F1505" s="1">
        <v>5.0000000000000001E-3</v>
      </c>
      <c r="G1505" s="1"/>
      <c r="H1505" s="126">
        <f t="shared" si="23"/>
        <v>0.61546101269605991</v>
      </c>
      <c r="I1505" s="89">
        <v>446.22</v>
      </c>
      <c r="J1505" s="126">
        <v>94.826041666666626</v>
      </c>
    </row>
    <row r="1506" spans="1:10" x14ac:dyDescent="0.3">
      <c r="A1506" s="88" t="s">
        <v>483</v>
      </c>
      <c r="B1506" s="24">
        <v>39124</v>
      </c>
      <c r="C1506" s="32">
        <v>2.6496169575485284</v>
      </c>
      <c r="D1506" s="1">
        <v>5.5</v>
      </c>
      <c r="E1506" s="1">
        <v>0.2</v>
      </c>
      <c r="F1506" s="1">
        <v>2.2999999999999998</v>
      </c>
      <c r="G1506" s="1"/>
      <c r="H1506" s="126">
        <f t="shared" si="23"/>
        <v>0.61995079814923992</v>
      </c>
      <c r="I1506" s="89">
        <v>328.77</v>
      </c>
      <c r="J1506" s="126">
        <v>92.719791666666609</v>
      </c>
    </row>
    <row r="1507" spans="1:10" x14ac:dyDescent="0.3">
      <c r="A1507" s="88" t="s">
        <v>483</v>
      </c>
      <c r="B1507" s="24">
        <v>39125</v>
      </c>
      <c r="C1507" s="32">
        <v>2.0907133805656359</v>
      </c>
      <c r="D1507" s="1">
        <v>7.5</v>
      </c>
      <c r="E1507" s="1">
        <v>2.7</v>
      </c>
      <c r="F1507" s="1">
        <v>6.2249999999999996</v>
      </c>
      <c r="G1507" s="1"/>
      <c r="H1507" s="126">
        <f t="shared" si="23"/>
        <v>0.74202613073523482</v>
      </c>
      <c r="I1507" s="89">
        <v>156.78000000000006</v>
      </c>
      <c r="J1507" s="126">
        <v>91.915625000000006</v>
      </c>
    </row>
    <row r="1508" spans="1:10" x14ac:dyDescent="0.3">
      <c r="A1508" s="88" t="s">
        <v>483</v>
      </c>
      <c r="B1508" s="24">
        <v>39126</v>
      </c>
      <c r="C1508" s="32">
        <v>1.0296065894821727</v>
      </c>
      <c r="D1508" s="1">
        <v>7.4</v>
      </c>
      <c r="E1508" s="1">
        <v>5.5</v>
      </c>
      <c r="F1508" s="1">
        <v>5.22</v>
      </c>
      <c r="G1508" s="1"/>
      <c r="H1508" s="126">
        <f t="shared" si="23"/>
        <v>0.90352494025987484</v>
      </c>
      <c r="I1508" s="89">
        <v>387.98999999999995</v>
      </c>
      <c r="J1508" s="126">
        <v>89.63333333333334</v>
      </c>
    </row>
    <row r="1509" spans="1:10" x14ac:dyDescent="0.3">
      <c r="A1509" s="88" t="s">
        <v>483</v>
      </c>
      <c r="B1509" s="24">
        <v>39127</v>
      </c>
      <c r="C1509" s="32">
        <v>3.1815203617303149</v>
      </c>
      <c r="D1509" s="1">
        <v>8.3000000000000007</v>
      </c>
      <c r="E1509" s="1">
        <v>3</v>
      </c>
      <c r="F1509" s="1">
        <v>3.9649999999999999</v>
      </c>
      <c r="G1509" s="1"/>
      <c r="H1509" s="126">
        <f t="shared" si="23"/>
        <v>0.75801445266818901</v>
      </c>
      <c r="I1509" s="89">
        <v>193.59</v>
      </c>
      <c r="J1509" s="126">
        <v>87.401041666666671</v>
      </c>
    </row>
    <row r="1510" spans="1:10" x14ac:dyDescent="0.3">
      <c r="A1510" s="88" t="s">
        <v>483</v>
      </c>
      <c r="B1510" s="24">
        <v>39128</v>
      </c>
      <c r="C1510" s="32">
        <v>1.4229091066182824</v>
      </c>
      <c r="D1510" s="1">
        <v>6.5</v>
      </c>
      <c r="E1510" s="1">
        <v>3.1</v>
      </c>
      <c r="F1510" s="1">
        <v>0.2</v>
      </c>
      <c r="G1510" s="1"/>
      <c r="H1510" s="126">
        <f t="shared" si="23"/>
        <v>0.76341105875491733</v>
      </c>
      <c r="I1510" s="89">
        <v>305.28000000000003</v>
      </c>
      <c r="J1510" s="126">
        <v>90.170833333333292</v>
      </c>
    </row>
    <row r="1511" spans="1:10" x14ac:dyDescent="0.3">
      <c r="A1511" s="88" t="s">
        <v>483</v>
      </c>
      <c r="B1511" s="24">
        <v>39129</v>
      </c>
      <c r="C1511" s="32">
        <v>7.806649962559761</v>
      </c>
      <c r="D1511" s="1">
        <v>5.5</v>
      </c>
      <c r="E1511" s="1">
        <v>0.9</v>
      </c>
      <c r="F1511" s="1">
        <v>0</v>
      </c>
      <c r="G1511" s="1"/>
      <c r="H1511" s="126">
        <f t="shared" si="23"/>
        <v>0.65219842492921176</v>
      </c>
      <c r="I1511" s="89">
        <v>399.24</v>
      </c>
      <c r="J1511" s="126">
        <v>84.597916666666649</v>
      </c>
    </row>
    <row r="1512" spans="1:10" x14ac:dyDescent="0.3">
      <c r="A1512" s="88" t="s">
        <v>483</v>
      </c>
      <c r="B1512" s="24">
        <v>39130</v>
      </c>
      <c r="C1512" s="32">
        <v>7.9326507689649217</v>
      </c>
      <c r="D1512" s="1">
        <v>8.4</v>
      </c>
      <c r="E1512" s="1">
        <v>2.4</v>
      </c>
      <c r="F1512" s="1">
        <v>0</v>
      </c>
      <c r="G1512" s="1"/>
      <c r="H1512" s="126">
        <f t="shared" si="23"/>
        <v>0.7263362808555901</v>
      </c>
      <c r="I1512" s="89">
        <v>430.38</v>
      </c>
      <c r="J1512" s="126">
        <v>78.841666666666697</v>
      </c>
    </row>
    <row r="1513" spans="1:10" x14ac:dyDescent="0.3">
      <c r="A1513" s="88" t="s">
        <v>483</v>
      </c>
      <c r="B1513" s="24">
        <v>39131</v>
      </c>
      <c r="C1513" s="32">
        <v>8.2782529808190777</v>
      </c>
      <c r="D1513" s="1">
        <v>9.8000000000000007</v>
      </c>
      <c r="E1513" s="1">
        <v>0</v>
      </c>
      <c r="F1513" s="1">
        <v>0</v>
      </c>
      <c r="G1513" s="1"/>
      <c r="H1513" s="126">
        <f t="shared" si="23"/>
        <v>0.61099999999999999</v>
      </c>
      <c r="I1513" s="89">
        <v>237.95999999999998</v>
      </c>
      <c r="J1513" s="126">
        <v>80.955208333333317</v>
      </c>
    </row>
    <row r="1514" spans="1:10" x14ac:dyDescent="0.3">
      <c r="A1514" s="88" t="s">
        <v>483</v>
      </c>
      <c r="B1514" s="24">
        <v>39132</v>
      </c>
      <c r="C1514" s="32">
        <v>3.6135231265480097</v>
      </c>
      <c r="D1514" s="1">
        <v>5.7</v>
      </c>
      <c r="E1514" s="1">
        <v>0.9</v>
      </c>
      <c r="F1514" s="1">
        <v>0.03</v>
      </c>
      <c r="G1514" s="1"/>
      <c r="H1514" s="126">
        <f t="shared" si="23"/>
        <v>0.65219842492921176</v>
      </c>
      <c r="I1514" s="89">
        <v>100.62000000000003</v>
      </c>
      <c r="J1514" s="126">
        <v>80.221874999999997</v>
      </c>
    </row>
    <row r="1515" spans="1:10" x14ac:dyDescent="0.3">
      <c r="A1515" s="88" t="s">
        <v>483</v>
      </c>
      <c r="B1515" s="24">
        <v>39133</v>
      </c>
      <c r="C1515" s="32">
        <v>3.1410201025286559</v>
      </c>
      <c r="D1515" s="1">
        <v>7.3</v>
      </c>
      <c r="E1515" s="1">
        <v>0.6</v>
      </c>
      <c r="F1515" s="1">
        <v>0.02</v>
      </c>
      <c r="G1515" s="1"/>
      <c r="H1515" s="126">
        <f t="shared" si="23"/>
        <v>0.63820086880942895</v>
      </c>
      <c r="I1515" s="89">
        <v>117.35999999999999</v>
      </c>
      <c r="J1515" s="126">
        <v>81.045833333333348</v>
      </c>
    </row>
    <row r="1516" spans="1:10" x14ac:dyDescent="0.3">
      <c r="A1516" s="88" t="s">
        <v>483</v>
      </c>
      <c r="B1516" s="24">
        <v>39134</v>
      </c>
      <c r="C1516" s="32">
        <v>5.4738350325442084</v>
      </c>
      <c r="D1516" s="1">
        <v>9.9</v>
      </c>
      <c r="E1516" s="1">
        <v>0.3</v>
      </c>
      <c r="F1516" s="1">
        <v>4.03</v>
      </c>
      <c r="G1516" s="1"/>
      <c r="H1516" s="126">
        <f t="shared" si="23"/>
        <v>0.62446951587741306</v>
      </c>
      <c r="I1516" s="89">
        <v>195.84000000000003</v>
      </c>
      <c r="J1516" s="126">
        <v>80.107291666666654</v>
      </c>
    </row>
    <row r="1517" spans="1:10" x14ac:dyDescent="0.3">
      <c r="A1517" s="88" t="s">
        <v>483</v>
      </c>
      <c r="B1517" s="24">
        <v>39135</v>
      </c>
      <c r="C1517" s="32">
        <v>8.1090518979321473</v>
      </c>
      <c r="D1517" s="1">
        <v>9.9</v>
      </c>
      <c r="E1517" s="1">
        <v>0.1</v>
      </c>
      <c r="F1517" s="1">
        <v>1.6850000000000001</v>
      </c>
      <c r="G1517" s="1"/>
      <c r="H1517" s="126">
        <f t="shared" si="23"/>
        <v>0.61546101269605991</v>
      </c>
      <c r="I1517" s="89">
        <v>204.57</v>
      </c>
      <c r="J1517" s="126">
        <v>78.89791666666666</v>
      </c>
    </row>
    <row r="1518" spans="1:10" x14ac:dyDescent="0.3">
      <c r="A1518" s="88" t="s">
        <v>483</v>
      </c>
      <c r="B1518" s="24">
        <v>39136</v>
      </c>
      <c r="C1518" s="32">
        <v>3.4146218535798631</v>
      </c>
      <c r="D1518" s="1">
        <v>7.1</v>
      </c>
      <c r="E1518" s="1">
        <v>2.2000000000000002</v>
      </c>
      <c r="F1518" s="1">
        <v>0</v>
      </c>
      <c r="G1518" s="1"/>
      <c r="H1518" s="126">
        <f t="shared" si="23"/>
        <v>0.71603982725344328</v>
      </c>
      <c r="I1518" s="89">
        <v>345.51</v>
      </c>
      <c r="J1518" s="126">
        <v>83.072916666666671</v>
      </c>
    </row>
    <row r="1519" spans="1:10" x14ac:dyDescent="0.3">
      <c r="A1519" s="88" t="s">
        <v>483</v>
      </c>
      <c r="B1519" s="24">
        <v>39137</v>
      </c>
      <c r="C1519" s="32">
        <v>5.2812337998963192</v>
      </c>
      <c r="D1519" s="1">
        <v>9.9</v>
      </c>
      <c r="E1519" s="1">
        <v>0.1</v>
      </c>
      <c r="F1519" s="1">
        <v>0.59</v>
      </c>
      <c r="G1519" s="1"/>
      <c r="H1519" s="126">
        <f t="shared" si="23"/>
        <v>0.61546101269605991</v>
      </c>
      <c r="I1519" s="89">
        <v>294.03000000000003</v>
      </c>
      <c r="J1519" s="126">
        <v>78.904166666666626</v>
      </c>
    </row>
    <row r="1520" spans="1:10" x14ac:dyDescent="0.3">
      <c r="A1520" s="88" t="s">
        <v>483</v>
      </c>
      <c r="B1520" s="24">
        <v>39138</v>
      </c>
      <c r="C1520" s="32">
        <v>1.7829114106330282</v>
      </c>
      <c r="D1520" s="1">
        <v>9.9</v>
      </c>
      <c r="E1520" s="1">
        <v>0.1</v>
      </c>
      <c r="F1520" s="1">
        <v>2.61</v>
      </c>
      <c r="G1520" s="1"/>
      <c r="H1520" s="126">
        <f t="shared" si="23"/>
        <v>0.61546101269605991</v>
      </c>
      <c r="I1520" s="89">
        <v>188.37000000000009</v>
      </c>
      <c r="J1520" s="126">
        <v>82.493750000000006</v>
      </c>
    </row>
    <row r="1521" spans="1:10" x14ac:dyDescent="0.3">
      <c r="A1521" s="88" t="s">
        <v>483</v>
      </c>
      <c r="B1521" s="24">
        <v>39139</v>
      </c>
      <c r="C1521" s="32">
        <v>1.325708484534301</v>
      </c>
      <c r="D1521" s="1">
        <v>7.5</v>
      </c>
      <c r="E1521" s="1">
        <v>4.7</v>
      </c>
      <c r="F1521" s="1">
        <v>3.78</v>
      </c>
      <c r="G1521" s="1"/>
      <c r="H1521" s="126">
        <f t="shared" si="23"/>
        <v>0.85449106840682587</v>
      </c>
      <c r="I1521" s="89">
        <v>425.25</v>
      </c>
      <c r="J1521" s="126">
        <v>87.057291666666671</v>
      </c>
    </row>
    <row r="1522" spans="1:10" x14ac:dyDescent="0.3">
      <c r="A1522" s="88" t="s">
        <v>483</v>
      </c>
      <c r="B1522" s="24">
        <v>39140</v>
      </c>
      <c r="C1522" s="32">
        <v>4.1301264328091705</v>
      </c>
      <c r="D1522" s="1">
        <v>6.5</v>
      </c>
      <c r="E1522" s="1">
        <v>3.1</v>
      </c>
      <c r="F1522" s="1">
        <v>7.3049999999999997</v>
      </c>
      <c r="G1522" s="1"/>
      <c r="H1522" s="126">
        <f t="shared" si="23"/>
        <v>0.76341105875491733</v>
      </c>
      <c r="I1522" s="89">
        <v>381.24</v>
      </c>
      <c r="J1522" s="126">
        <v>80.287499999999994</v>
      </c>
    </row>
    <row r="1523" spans="1:10" x14ac:dyDescent="0.3">
      <c r="A1523" s="88" t="s">
        <v>483</v>
      </c>
      <c r="B1523" s="24">
        <v>39141</v>
      </c>
      <c r="C1523" s="32">
        <v>5.4063346005414434</v>
      </c>
      <c r="D1523" s="1">
        <v>9.9</v>
      </c>
      <c r="E1523" s="1">
        <v>0</v>
      </c>
      <c r="F1523" s="1">
        <v>6.0049999999999999</v>
      </c>
      <c r="G1523" s="1"/>
      <c r="H1523" s="126">
        <f t="shared" si="23"/>
        <v>0.61099999999999999</v>
      </c>
      <c r="I1523" s="89">
        <v>403.46999999999991</v>
      </c>
      <c r="J1523" s="126">
        <v>82.007291666666674</v>
      </c>
    </row>
    <row r="1524" spans="1:10" x14ac:dyDescent="0.3">
      <c r="A1524" s="88" t="s">
        <v>483</v>
      </c>
      <c r="B1524" s="24">
        <v>39142</v>
      </c>
      <c r="C1524" s="32">
        <v>5.5503355221473418</v>
      </c>
      <c r="D1524" s="1">
        <v>9.6999999999999993</v>
      </c>
      <c r="E1524" s="1">
        <v>6.5</v>
      </c>
      <c r="F1524" s="1">
        <v>3.145</v>
      </c>
      <c r="G1524" s="1"/>
      <c r="H1524" s="126">
        <f t="shared" si="23"/>
        <v>0.96829408068935052</v>
      </c>
      <c r="I1524" s="89">
        <v>400.95000000000005</v>
      </c>
      <c r="J1524" s="126">
        <v>78.210416666666688</v>
      </c>
    </row>
    <row r="1525" spans="1:10" x14ac:dyDescent="0.3">
      <c r="A1525" s="88" t="s">
        <v>483</v>
      </c>
      <c r="B1525" s="24">
        <v>39143</v>
      </c>
      <c r="C1525" s="32">
        <v>3.2031204999711997</v>
      </c>
      <c r="D1525" s="1">
        <v>7.3</v>
      </c>
      <c r="E1525" s="1">
        <v>3</v>
      </c>
      <c r="F1525" s="1">
        <v>3.13</v>
      </c>
      <c r="G1525" s="1"/>
      <c r="H1525" s="126">
        <f t="shared" si="23"/>
        <v>0.75801445266818901</v>
      </c>
      <c r="I1525" s="89">
        <v>516.96</v>
      </c>
      <c r="J1525" s="126">
        <v>80.587500000000006</v>
      </c>
    </row>
    <row r="1526" spans="1:10" x14ac:dyDescent="0.3">
      <c r="A1526" s="88" t="s">
        <v>483</v>
      </c>
      <c r="B1526" s="24">
        <v>39144</v>
      </c>
      <c r="C1526" s="32">
        <v>1.0647068141236105</v>
      </c>
      <c r="D1526" s="1">
        <v>4.2</v>
      </c>
      <c r="E1526" s="1">
        <v>1.6</v>
      </c>
      <c r="F1526" s="1">
        <v>5.58</v>
      </c>
      <c r="G1526" s="1"/>
      <c r="H1526" s="126">
        <f t="shared" si="23"/>
        <v>0.68591959793818613</v>
      </c>
      <c r="I1526" s="89">
        <v>259.92</v>
      </c>
      <c r="J1526" s="126">
        <v>89.559375000000003</v>
      </c>
    </row>
    <row r="1527" spans="1:10" x14ac:dyDescent="0.3">
      <c r="A1527" s="88" t="s">
        <v>483</v>
      </c>
      <c r="B1527" s="24">
        <v>39145</v>
      </c>
      <c r="C1527" s="32">
        <v>9.1341584586141344</v>
      </c>
      <c r="D1527" s="1">
        <v>9.9</v>
      </c>
      <c r="E1527" s="1">
        <v>0.1</v>
      </c>
      <c r="F1527" s="1">
        <v>5.0000000000000001E-3</v>
      </c>
      <c r="G1527" s="1"/>
      <c r="H1527" s="126">
        <f t="shared" si="23"/>
        <v>0.61546101269605991</v>
      </c>
      <c r="I1527" s="89">
        <v>191.25</v>
      </c>
      <c r="J1527" s="126">
        <v>83.590625000000003</v>
      </c>
    </row>
    <row r="1528" spans="1:10" x14ac:dyDescent="0.3">
      <c r="A1528" s="88" t="s">
        <v>483</v>
      </c>
      <c r="B1528" s="24">
        <v>39146</v>
      </c>
      <c r="C1528" s="32">
        <v>4.8312309198778873</v>
      </c>
      <c r="D1528" s="1">
        <v>9.9</v>
      </c>
      <c r="E1528" s="1">
        <v>0</v>
      </c>
      <c r="F1528" s="1">
        <v>1.7450000000000001</v>
      </c>
      <c r="G1528" s="1"/>
      <c r="H1528" s="126">
        <f t="shared" si="23"/>
        <v>0.61099999999999999</v>
      </c>
      <c r="I1528" s="89">
        <v>293.57999999999993</v>
      </c>
      <c r="J1528" s="126">
        <v>73.856250000000003</v>
      </c>
    </row>
    <row r="1529" spans="1:10" x14ac:dyDescent="0.3">
      <c r="A1529" s="88" t="s">
        <v>483</v>
      </c>
      <c r="B1529" s="24">
        <v>39147</v>
      </c>
      <c r="C1529" s="32">
        <v>5.8041371464777374</v>
      </c>
      <c r="D1529" s="1">
        <v>9.9</v>
      </c>
      <c r="E1529" s="1">
        <v>0</v>
      </c>
      <c r="F1529" s="1">
        <v>0</v>
      </c>
      <c r="G1529" s="1"/>
      <c r="H1529" s="126">
        <f t="shared" si="23"/>
        <v>0.61099999999999999</v>
      </c>
      <c r="I1529" s="89">
        <v>252.90000000000009</v>
      </c>
      <c r="J1529" s="126">
        <v>63.632291666666674</v>
      </c>
    </row>
    <row r="1530" spans="1:10" x14ac:dyDescent="0.3">
      <c r="A1530" s="88" t="s">
        <v>483</v>
      </c>
      <c r="B1530" s="24">
        <v>39148</v>
      </c>
      <c r="C1530" s="32">
        <v>4.3515278497782388</v>
      </c>
      <c r="D1530" s="1">
        <v>9.9</v>
      </c>
      <c r="E1530" s="1">
        <v>0.1</v>
      </c>
      <c r="F1530" s="1">
        <v>1.48</v>
      </c>
      <c r="G1530" s="1"/>
      <c r="H1530" s="126">
        <f t="shared" si="23"/>
        <v>0.61546101269605991</v>
      </c>
      <c r="I1530" s="89">
        <v>211.59000000000003</v>
      </c>
      <c r="J1530" s="126">
        <v>74.137500000000003</v>
      </c>
    </row>
    <row r="1531" spans="1:10" x14ac:dyDescent="0.3">
      <c r="A1531" s="88" t="s">
        <v>483</v>
      </c>
      <c r="B1531" s="24">
        <v>39149</v>
      </c>
      <c r="C1531" s="32">
        <v>3.115819941247624</v>
      </c>
      <c r="D1531" s="1">
        <v>8.8000000000000007</v>
      </c>
      <c r="E1531" s="1">
        <v>3.3</v>
      </c>
      <c r="F1531" s="1">
        <v>0.3</v>
      </c>
      <c r="G1531" s="1"/>
      <c r="H1531" s="126">
        <f t="shared" si="23"/>
        <v>0.77430610767805441</v>
      </c>
      <c r="I1531" s="89">
        <v>229.1399999999999</v>
      </c>
      <c r="J1531" s="126">
        <v>83.855208333333323</v>
      </c>
    </row>
    <row r="1532" spans="1:10" x14ac:dyDescent="0.3">
      <c r="A1532" s="88" t="s">
        <v>483</v>
      </c>
      <c r="B1532" s="24">
        <v>39150</v>
      </c>
      <c r="C1532" s="32">
        <v>6.7968434997983991</v>
      </c>
      <c r="D1532" s="1">
        <v>9.9</v>
      </c>
      <c r="E1532" s="1">
        <v>0.1</v>
      </c>
      <c r="F1532" s="1">
        <v>3.5950000000000002</v>
      </c>
      <c r="G1532" s="1"/>
      <c r="H1532" s="126">
        <f t="shared" si="23"/>
        <v>0.61546101269605991</v>
      </c>
      <c r="I1532" s="89">
        <v>244.26000000000005</v>
      </c>
      <c r="J1532" s="126">
        <v>80.814583333333346</v>
      </c>
    </row>
    <row r="1533" spans="1:10" x14ac:dyDescent="0.3">
      <c r="A1533" s="88" t="s">
        <v>483</v>
      </c>
      <c r="B1533" s="24">
        <v>39151</v>
      </c>
      <c r="C1533" s="32">
        <v>10.26096567018029</v>
      </c>
      <c r="D1533" s="1">
        <v>9.9</v>
      </c>
      <c r="E1533" s="1">
        <v>0</v>
      </c>
      <c r="F1533" s="1">
        <v>0</v>
      </c>
      <c r="G1533" s="1"/>
      <c r="H1533" s="126">
        <f t="shared" si="23"/>
        <v>0.61099999999999999</v>
      </c>
      <c r="I1533" s="89">
        <v>290.07000000000005</v>
      </c>
      <c r="J1533" s="126">
        <v>78.61770833333334</v>
      </c>
    </row>
    <row r="1534" spans="1:10" x14ac:dyDescent="0.3">
      <c r="A1534" s="88" t="s">
        <v>483</v>
      </c>
      <c r="B1534" s="24">
        <v>39152</v>
      </c>
      <c r="C1534" s="32">
        <v>13.712487759921665</v>
      </c>
      <c r="D1534" s="1">
        <v>9.9</v>
      </c>
      <c r="E1534" s="1">
        <v>0.2</v>
      </c>
      <c r="F1534" s="1">
        <v>0.06</v>
      </c>
      <c r="G1534" s="1"/>
      <c r="H1534" s="126">
        <f t="shared" si="23"/>
        <v>0.61995079814923992</v>
      </c>
      <c r="I1534" s="89">
        <v>256.68</v>
      </c>
      <c r="J1534" s="126">
        <v>72.0625</v>
      </c>
    </row>
    <row r="1535" spans="1:10" x14ac:dyDescent="0.3">
      <c r="A1535" s="88" t="s">
        <v>483</v>
      </c>
      <c r="B1535" s="24">
        <v>39153</v>
      </c>
      <c r="C1535" s="32">
        <v>14.436092390991304</v>
      </c>
      <c r="D1535" s="1">
        <v>9.6999999999999993</v>
      </c>
      <c r="E1535" s="1">
        <v>0.1</v>
      </c>
      <c r="F1535" s="1">
        <v>0.01</v>
      </c>
      <c r="G1535" s="1"/>
      <c r="H1535" s="126">
        <f t="shared" si="23"/>
        <v>0.61546101269605991</v>
      </c>
      <c r="I1535" s="89">
        <v>120.96000000000001</v>
      </c>
      <c r="J1535" s="126">
        <v>70.521874999999994</v>
      </c>
    </row>
    <row r="1536" spans="1:10" x14ac:dyDescent="0.3">
      <c r="A1536" s="88" t="s">
        <v>483</v>
      </c>
      <c r="B1536" s="24">
        <v>39154</v>
      </c>
      <c r="C1536" s="32">
        <v>12.109577501296009</v>
      </c>
      <c r="D1536" s="1">
        <v>9.8000000000000007</v>
      </c>
      <c r="E1536" s="1">
        <v>0.1</v>
      </c>
      <c r="F1536" s="1">
        <v>5.0000000000000001E-3</v>
      </c>
      <c r="G1536" s="1"/>
      <c r="H1536" s="126">
        <f t="shared" si="23"/>
        <v>0.61546101269605991</v>
      </c>
      <c r="I1536" s="89">
        <v>162.09</v>
      </c>
      <c r="J1536" s="126">
        <v>78.198958333333337</v>
      </c>
    </row>
    <row r="1537" spans="1:10" x14ac:dyDescent="0.3">
      <c r="A1537" s="88" t="s">
        <v>483</v>
      </c>
      <c r="B1537" s="24">
        <v>39155</v>
      </c>
      <c r="C1537" s="32">
        <v>11.8188756408041</v>
      </c>
      <c r="D1537" s="1">
        <v>9.9</v>
      </c>
      <c r="E1537" s="1">
        <v>0.1</v>
      </c>
      <c r="F1537" s="1">
        <v>0</v>
      </c>
      <c r="G1537" s="1"/>
      <c r="H1537" s="126">
        <f t="shared" si="23"/>
        <v>0.61546101269605991</v>
      </c>
      <c r="I1537" s="89">
        <v>212.93999999999997</v>
      </c>
      <c r="J1537" s="126">
        <v>73.856250000000003</v>
      </c>
    </row>
    <row r="1538" spans="1:10" x14ac:dyDescent="0.3">
      <c r="A1538" s="88" t="s">
        <v>483</v>
      </c>
      <c r="B1538" s="24">
        <v>39156</v>
      </c>
      <c r="C1538" s="32">
        <v>14.609793502678418</v>
      </c>
      <c r="D1538" s="1">
        <v>9.9</v>
      </c>
      <c r="E1538" s="1">
        <v>0</v>
      </c>
      <c r="F1538" s="1">
        <v>0</v>
      </c>
      <c r="G1538" s="1"/>
      <c r="H1538" s="126">
        <f t="shared" si="23"/>
        <v>0.61099999999999999</v>
      </c>
      <c r="I1538" s="89">
        <v>157.68</v>
      </c>
      <c r="J1538" s="126">
        <v>75.884375000000006</v>
      </c>
    </row>
    <row r="1539" spans="1:10" x14ac:dyDescent="0.3">
      <c r="A1539" s="88" t="s">
        <v>483</v>
      </c>
      <c r="B1539" s="24">
        <v>39157</v>
      </c>
      <c r="C1539" s="32">
        <v>6.0669388284085022</v>
      </c>
      <c r="D1539" s="1">
        <v>9.9</v>
      </c>
      <c r="E1539" s="1">
        <v>0</v>
      </c>
      <c r="F1539" s="1">
        <v>0</v>
      </c>
      <c r="G1539" s="1"/>
      <c r="H1539" s="126">
        <f t="shared" si="23"/>
        <v>0.61099999999999999</v>
      </c>
      <c r="I1539" s="89">
        <v>295.19999999999993</v>
      </c>
      <c r="J1539" s="126">
        <v>80.378124999999997</v>
      </c>
    </row>
    <row r="1540" spans="1:10" x14ac:dyDescent="0.3">
      <c r="A1540" s="88" t="s">
        <v>483</v>
      </c>
      <c r="B1540" s="24">
        <v>39158</v>
      </c>
      <c r="C1540" s="32">
        <v>2.7018172916306664</v>
      </c>
      <c r="D1540" s="1">
        <v>9.9</v>
      </c>
      <c r="E1540" s="1">
        <v>6.9</v>
      </c>
      <c r="F1540" s="1">
        <v>1.835</v>
      </c>
      <c r="G1540" s="1"/>
      <c r="H1540" s="126">
        <f t="shared" ref="H1540:H1603" si="24">0.611*EXP((17.27*E1540)/(E1540+237.3))</f>
        <v>0.99532561227749294</v>
      </c>
      <c r="I1540" s="89">
        <v>514.97999999999979</v>
      </c>
      <c r="J1540" s="126">
        <v>84.025000000000006</v>
      </c>
    </row>
    <row r="1541" spans="1:10" x14ac:dyDescent="0.3">
      <c r="A1541" s="88" t="s">
        <v>483</v>
      </c>
      <c r="B1541" s="24">
        <v>39159</v>
      </c>
      <c r="C1541" s="32">
        <v>3.3210212545360291</v>
      </c>
      <c r="D1541" s="1">
        <v>9.9</v>
      </c>
      <c r="E1541" s="1">
        <v>0</v>
      </c>
      <c r="F1541" s="1">
        <v>4.4450000000000003</v>
      </c>
      <c r="G1541" s="1"/>
      <c r="H1541" s="126">
        <f t="shared" si="24"/>
        <v>0.61099999999999999</v>
      </c>
      <c r="I1541" s="89">
        <v>560.70000000000005</v>
      </c>
      <c r="J1541" s="126">
        <v>79.932291666666671</v>
      </c>
    </row>
    <row r="1542" spans="1:10" x14ac:dyDescent="0.3">
      <c r="A1542" s="88" t="s">
        <v>483</v>
      </c>
      <c r="B1542" s="24">
        <v>39160</v>
      </c>
      <c r="C1542" s="32">
        <v>12.114077530096194</v>
      </c>
      <c r="D1542" s="1">
        <v>6.6</v>
      </c>
      <c r="E1542" s="1">
        <v>0</v>
      </c>
      <c r="F1542" s="1">
        <v>0.01</v>
      </c>
      <c r="G1542" s="1"/>
      <c r="H1542" s="126">
        <f t="shared" si="24"/>
        <v>0.61099999999999999</v>
      </c>
      <c r="I1542" s="89">
        <v>303.92999999999995</v>
      </c>
      <c r="J1542" s="126">
        <v>75.657291666666666</v>
      </c>
    </row>
    <row r="1543" spans="1:10" x14ac:dyDescent="0.3">
      <c r="A1543" s="88" t="s">
        <v>483</v>
      </c>
      <c r="B1543" s="24">
        <v>39161</v>
      </c>
      <c r="C1543" s="32">
        <v>12.852982259086458</v>
      </c>
      <c r="D1543" s="1">
        <v>8.4</v>
      </c>
      <c r="E1543" s="1">
        <v>0</v>
      </c>
      <c r="F1543" s="1">
        <v>0.05</v>
      </c>
      <c r="G1543" s="1"/>
      <c r="H1543" s="126">
        <f t="shared" si="24"/>
        <v>0.61099999999999999</v>
      </c>
      <c r="I1543" s="89">
        <v>287.45999999999998</v>
      </c>
      <c r="J1543" s="126">
        <v>82.03125</v>
      </c>
    </row>
    <row r="1544" spans="1:10" x14ac:dyDescent="0.3">
      <c r="A1544" s="88" t="s">
        <v>483</v>
      </c>
      <c r="B1544" s="24">
        <v>39162</v>
      </c>
      <c r="C1544" s="32">
        <v>3.7278238580726919</v>
      </c>
      <c r="D1544" s="1">
        <v>4.7</v>
      </c>
      <c r="E1544" s="1">
        <v>0</v>
      </c>
      <c r="F1544" s="1">
        <v>3.11</v>
      </c>
      <c r="G1544" s="1"/>
      <c r="H1544" s="126">
        <f t="shared" si="24"/>
        <v>0.61099999999999999</v>
      </c>
      <c r="I1544" s="89">
        <v>381.78000000000003</v>
      </c>
      <c r="J1544" s="126">
        <v>87.224999999999994</v>
      </c>
    </row>
    <row r="1545" spans="1:10" x14ac:dyDescent="0.3">
      <c r="A1545" s="88" t="s">
        <v>483</v>
      </c>
      <c r="B1545" s="24">
        <v>39163</v>
      </c>
      <c r="C1545" s="32">
        <v>1.411209031737803</v>
      </c>
      <c r="D1545" s="1">
        <v>4.5999999999999996</v>
      </c>
      <c r="E1545" s="1">
        <v>0.1</v>
      </c>
      <c r="F1545" s="1">
        <v>26.98</v>
      </c>
      <c r="G1545" s="1"/>
      <c r="H1545" s="126">
        <f t="shared" si="24"/>
        <v>0.61546101269605991</v>
      </c>
      <c r="I1545" s="89">
        <v>352.35</v>
      </c>
      <c r="J1545" s="126">
        <v>96.993750000000006</v>
      </c>
    </row>
    <row r="1546" spans="1:10" x14ac:dyDescent="0.3">
      <c r="A1546" s="88" t="s">
        <v>483</v>
      </c>
      <c r="B1546" s="24">
        <v>39164</v>
      </c>
      <c r="C1546" s="32">
        <v>11.806862932343819</v>
      </c>
      <c r="D1546" s="1">
        <v>9.9</v>
      </c>
      <c r="E1546" s="1">
        <v>0</v>
      </c>
      <c r="F1546" s="1">
        <v>0.97499999999999998</v>
      </c>
      <c r="G1546" s="1"/>
      <c r="H1546" s="126">
        <f t="shared" si="24"/>
        <v>0.61099999999999999</v>
      </c>
      <c r="I1546" s="89">
        <v>532.58778947368432</v>
      </c>
      <c r="J1546" s="126">
        <v>80.534736842105247</v>
      </c>
    </row>
    <row r="1547" spans="1:10" x14ac:dyDescent="0.3">
      <c r="A1547" s="88" t="s">
        <v>483</v>
      </c>
      <c r="B1547" s="24">
        <v>39165</v>
      </c>
      <c r="C1547" s="32">
        <v>12.150077760497668</v>
      </c>
      <c r="D1547" s="1">
        <v>9.8000000000000007</v>
      </c>
      <c r="E1547" s="1">
        <v>0.1</v>
      </c>
      <c r="F1547" s="1">
        <v>1.675</v>
      </c>
      <c r="G1547" s="1"/>
      <c r="H1547" s="126">
        <f t="shared" si="24"/>
        <v>0.61546101269605991</v>
      </c>
      <c r="I1547" s="89">
        <v>467.28000000000014</v>
      </c>
      <c r="J1547" s="126">
        <v>72.3072916666667</v>
      </c>
    </row>
    <row r="1548" spans="1:10" x14ac:dyDescent="0.3">
      <c r="A1548" s="88" t="s">
        <v>483</v>
      </c>
      <c r="B1548" s="24">
        <v>39166</v>
      </c>
      <c r="C1548" s="32">
        <v>16.438605207073326</v>
      </c>
      <c r="D1548" s="1">
        <v>9.9</v>
      </c>
      <c r="E1548" s="1">
        <v>0</v>
      </c>
      <c r="F1548" s="1">
        <v>0</v>
      </c>
      <c r="G1548" s="1"/>
      <c r="H1548" s="126">
        <f t="shared" si="24"/>
        <v>0.61099999999999999</v>
      </c>
      <c r="I1548" s="89">
        <v>452.97</v>
      </c>
      <c r="J1548" s="126">
        <v>61.515625</v>
      </c>
    </row>
    <row r="1549" spans="1:10" x14ac:dyDescent="0.3">
      <c r="A1549" s="88" t="s">
        <v>483</v>
      </c>
      <c r="B1549" s="24">
        <v>39167</v>
      </c>
      <c r="C1549" s="32">
        <v>16.850807845170209</v>
      </c>
      <c r="D1549" s="1">
        <v>9.8000000000000007</v>
      </c>
      <c r="E1549" s="1">
        <v>0</v>
      </c>
      <c r="F1549" s="1">
        <v>0</v>
      </c>
      <c r="G1549" s="1"/>
      <c r="H1549" s="126">
        <f t="shared" si="24"/>
        <v>0.61099999999999999</v>
      </c>
      <c r="I1549" s="89">
        <v>418.95000000000016</v>
      </c>
      <c r="J1549" s="126">
        <v>62.040624999999999</v>
      </c>
    </row>
    <row r="1550" spans="1:10" x14ac:dyDescent="0.3">
      <c r="A1550" s="88" t="s">
        <v>483</v>
      </c>
      <c r="B1550" s="24">
        <v>39168</v>
      </c>
      <c r="C1550" s="32">
        <v>16.807607568688439</v>
      </c>
      <c r="D1550" s="1">
        <v>9.9</v>
      </c>
      <c r="E1550" s="1">
        <v>0.1</v>
      </c>
      <c r="F1550" s="1">
        <v>0</v>
      </c>
      <c r="G1550" s="1"/>
      <c r="H1550" s="126">
        <f t="shared" si="24"/>
        <v>0.61546101269605991</v>
      </c>
      <c r="I1550" s="89">
        <v>330.93000000000006</v>
      </c>
      <c r="J1550" s="126">
        <v>64.620833333333337</v>
      </c>
    </row>
    <row r="1551" spans="1:10" x14ac:dyDescent="0.3">
      <c r="A1551" s="88" t="s">
        <v>483</v>
      </c>
      <c r="B1551" s="24">
        <v>39169</v>
      </c>
      <c r="C1551" s="32">
        <v>15.634000057600367</v>
      </c>
      <c r="D1551" s="1">
        <v>9.6999999999999993</v>
      </c>
      <c r="E1551" s="1">
        <v>0</v>
      </c>
      <c r="F1551" s="1">
        <v>0</v>
      </c>
      <c r="G1551" s="1"/>
      <c r="H1551" s="126">
        <f t="shared" si="24"/>
        <v>0.61099999999999999</v>
      </c>
      <c r="I1551" s="89">
        <v>247.77</v>
      </c>
      <c r="J1551" s="126">
        <v>69.394791666666649</v>
      </c>
    </row>
    <row r="1552" spans="1:10" x14ac:dyDescent="0.3">
      <c r="A1552" s="88" t="s">
        <v>483</v>
      </c>
      <c r="B1552" s="24">
        <v>39170</v>
      </c>
      <c r="C1552" s="32">
        <v>15.925601923852312</v>
      </c>
      <c r="D1552" s="1">
        <v>9.8000000000000007</v>
      </c>
      <c r="E1552" s="1">
        <v>0.1</v>
      </c>
      <c r="F1552" s="1">
        <v>0</v>
      </c>
      <c r="G1552" s="1"/>
      <c r="H1552" s="126">
        <f t="shared" si="24"/>
        <v>0.61546101269605991</v>
      </c>
      <c r="I1552" s="89">
        <v>273.69</v>
      </c>
      <c r="J1552" s="126">
        <v>70.645833333333329</v>
      </c>
    </row>
    <row r="1553" spans="1:10" x14ac:dyDescent="0.3">
      <c r="A1553" s="88" t="s">
        <v>483</v>
      </c>
      <c r="B1553" s="24">
        <v>39171</v>
      </c>
      <c r="C1553" s="32">
        <v>15.159697022060943</v>
      </c>
      <c r="D1553" s="1">
        <v>9.9</v>
      </c>
      <c r="E1553" s="1">
        <v>0.1</v>
      </c>
      <c r="F1553" s="1">
        <v>0</v>
      </c>
      <c r="G1553" s="1"/>
      <c r="H1553" s="126">
        <f t="shared" si="24"/>
        <v>0.61546101269605991</v>
      </c>
      <c r="I1553" s="89">
        <v>233.82</v>
      </c>
      <c r="J1553" s="126">
        <v>79.523958333333326</v>
      </c>
    </row>
    <row r="1554" spans="1:10" x14ac:dyDescent="0.3">
      <c r="A1554" s="88" t="s">
        <v>483</v>
      </c>
      <c r="B1554" s="24">
        <v>39172</v>
      </c>
      <c r="C1554" s="32">
        <v>15.174997119981567</v>
      </c>
      <c r="D1554" s="1">
        <v>9.9</v>
      </c>
      <c r="E1554" s="1">
        <v>0.4</v>
      </c>
      <c r="F1554" s="1">
        <v>0</v>
      </c>
      <c r="G1554" s="1"/>
      <c r="H1554" s="126">
        <f t="shared" si="24"/>
        <v>0.62901732612537431</v>
      </c>
      <c r="I1554" s="89">
        <v>330.93000000000012</v>
      </c>
      <c r="J1554" s="126">
        <v>74.710416666666674</v>
      </c>
    </row>
    <row r="1555" spans="1:10" x14ac:dyDescent="0.3">
      <c r="A1555" s="88" t="s">
        <v>483</v>
      </c>
      <c r="B1555" s="24">
        <v>39173</v>
      </c>
      <c r="C1555" s="32">
        <v>17.563612407119408</v>
      </c>
      <c r="D1555" s="1">
        <v>16.899999999999999</v>
      </c>
      <c r="E1555" s="1">
        <v>3.5</v>
      </c>
      <c r="F1555" s="1">
        <v>0</v>
      </c>
      <c r="G1555" s="1"/>
      <c r="H1555" s="126">
        <f t="shared" si="24"/>
        <v>0.78533815916549388</v>
      </c>
      <c r="I1555" s="89">
        <v>359.7299999999999</v>
      </c>
      <c r="J1555" s="126">
        <v>65.830208333333346</v>
      </c>
    </row>
    <row r="1556" spans="1:10" x14ac:dyDescent="0.3">
      <c r="A1556" s="88" t="s">
        <v>483</v>
      </c>
      <c r="B1556" s="24">
        <v>39174</v>
      </c>
      <c r="C1556" s="32">
        <v>16.674406716202984</v>
      </c>
      <c r="D1556" s="1">
        <v>17.2</v>
      </c>
      <c r="E1556" s="1">
        <v>2.6</v>
      </c>
      <c r="F1556" s="1">
        <v>0</v>
      </c>
      <c r="G1556" s="1"/>
      <c r="H1556" s="126">
        <f t="shared" si="24"/>
        <v>0.73676325541308207</v>
      </c>
      <c r="I1556" s="89">
        <v>151.47</v>
      </c>
      <c r="J1556" s="126">
        <v>70.166666666666671</v>
      </c>
    </row>
    <row r="1557" spans="1:10" x14ac:dyDescent="0.3">
      <c r="A1557" s="88" t="s">
        <v>483</v>
      </c>
      <c r="B1557" s="24">
        <v>39175</v>
      </c>
      <c r="C1557" s="32">
        <v>4.7691305224353435</v>
      </c>
      <c r="D1557" s="1">
        <v>7.5</v>
      </c>
      <c r="E1557" s="1">
        <v>2.2999999999999998</v>
      </c>
      <c r="F1557" s="1">
        <v>2.79</v>
      </c>
      <c r="G1557" s="1"/>
      <c r="H1557" s="126">
        <f t="shared" si="24"/>
        <v>0.72117182708011951</v>
      </c>
      <c r="I1557" s="89">
        <v>301.59000000000003</v>
      </c>
      <c r="J1557" s="126">
        <v>88.058333333333351</v>
      </c>
    </row>
    <row r="1558" spans="1:10" x14ac:dyDescent="0.3">
      <c r="A1558" s="88" t="s">
        <v>483</v>
      </c>
      <c r="B1558" s="24">
        <v>39176</v>
      </c>
      <c r="C1558" s="32">
        <v>20.193429237947122</v>
      </c>
      <c r="D1558" s="1">
        <v>9.4</v>
      </c>
      <c r="E1558" s="1">
        <v>-1</v>
      </c>
      <c r="F1558" s="1">
        <v>0</v>
      </c>
      <c r="G1558" s="1"/>
      <c r="H1558" s="126">
        <f t="shared" si="24"/>
        <v>0.5679377955282604</v>
      </c>
      <c r="I1558" s="89">
        <v>186.57</v>
      </c>
      <c r="J1558" s="126">
        <v>76.847916666666691</v>
      </c>
    </row>
    <row r="1559" spans="1:10" x14ac:dyDescent="0.3">
      <c r="A1559" s="88" t="s">
        <v>483</v>
      </c>
      <c r="B1559" s="24">
        <v>39177</v>
      </c>
      <c r="C1559" s="32">
        <v>8.7714561373192783</v>
      </c>
      <c r="D1559" s="1">
        <v>14.4</v>
      </c>
      <c r="E1559" s="1">
        <v>1.2</v>
      </c>
      <c r="F1559" s="1">
        <v>0</v>
      </c>
      <c r="G1559" s="1"/>
      <c r="H1559" s="126">
        <f t="shared" si="24"/>
        <v>0.66646661006207619</v>
      </c>
      <c r="I1559" s="89">
        <v>370.8</v>
      </c>
      <c r="J1559" s="126">
        <v>82.403125000000003</v>
      </c>
    </row>
    <row r="1560" spans="1:10" x14ac:dyDescent="0.3">
      <c r="A1560" s="88" t="s">
        <v>483</v>
      </c>
      <c r="B1560" s="24">
        <v>39178</v>
      </c>
      <c r="C1560" s="32">
        <v>7.7589496572778058</v>
      </c>
      <c r="D1560" s="1">
        <v>11.3</v>
      </c>
      <c r="E1560" s="1">
        <v>5.3</v>
      </c>
      <c r="F1560" s="1">
        <v>0</v>
      </c>
      <c r="G1560" s="1"/>
      <c r="H1560" s="126">
        <f t="shared" si="24"/>
        <v>0.89103953465215091</v>
      </c>
      <c r="I1560" s="89">
        <v>257.66999999999996</v>
      </c>
      <c r="J1560" s="126">
        <v>85.629166666666663</v>
      </c>
    </row>
    <row r="1561" spans="1:10" x14ac:dyDescent="0.3">
      <c r="A1561" s="88" t="s">
        <v>483</v>
      </c>
      <c r="B1561" s="24">
        <v>39179</v>
      </c>
      <c r="C1561" s="32">
        <v>16.356704682909971</v>
      </c>
      <c r="D1561" s="1">
        <v>12.3</v>
      </c>
      <c r="E1561" s="1">
        <v>2</v>
      </c>
      <c r="F1561" s="1">
        <v>5.0000000000000001E-3</v>
      </c>
      <c r="G1561" s="1"/>
      <c r="H1561" s="126">
        <f t="shared" si="24"/>
        <v>0.70587248896856769</v>
      </c>
      <c r="I1561" s="89">
        <v>218.06999999999991</v>
      </c>
      <c r="J1561" s="126">
        <v>80.28125</v>
      </c>
    </row>
    <row r="1562" spans="1:10" x14ac:dyDescent="0.3">
      <c r="A1562" s="88" t="s">
        <v>483</v>
      </c>
      <c r="B1562" s="24">
        <v>39180</v>
      </c>
      <c r="C1562" s="32">
        <v>10.515667300270721</v>
      </c>
      <c r="D1562" s="1">
        <v>13.5</v>
      </c>
      <c r="E1562" s="1">
        <v>5.3</v>
      </c>
      <c r="F1562" s="1">
        <v>0</v>
      </c>
      <c r="G1562" s="1"/>
      <c r="H1562" s="126">
        <f t="shared" si="24"/>
        <v>0.89103953465215091</v>
      </c>
      <c r="I1562" s="89">
        <v>312.48000000000008</v>
      </c>
      <c r="J1562" s="126">
        <v>79.784374999999997</v>
      </c>
    </row>
    <row r="1563" spans="1:10" x14ac:dyDescent="0.3">
      <c r="A1563" s="88" t="s">
        <v>483</v>
      </c>
      <c r="B1563" s="24">
        <v>39181</v>
      </c>
      <c r="C1563" s="32">
        <v>10.994470364610333</v>
      </c>
      <c r="D1563" s="1">
        <v>13.2</v>
      </c>
      <c r="E1563" s="1">
        <v>7.9</v>
      </c>
      <c r="F1563" s="1">
        <v>0</v>
      </c>
      <c r="G1563" s="1"/>
      <c r="H1563" s="126">
        <f t="shared" si="24"/>
        <v>1.0658332114824252</v>
      </c>
      <c r="I1563" s="89">
        <v>406.2600000000001</v>
      </c>
      <c r="J1563" s="126">
        <v>75.443749999999994</v>
      </c>
    </row>
    <row r="1564" spans="1:10" x14ac:dyDescent="0.3">
      <c r="A1564" s="88" t="s">
        <v>483</v>
      </c>
      <c r="B1564" s="24">
        <v>39182</v>
      </c>
      <c r="C1564" s="32">
        <v>8.4123538390645702</v>
      </c>
      <c r="D1564" s="1">
        <v>15.1</v>
      </c>
      <c r="E1564" s="1">
        <v>9.4</v>
      </c>
      <c r="F1564" s="1">
        <v>0.03</v>
      </c>
      <c r="G1564" s="1"/>
      <c r="H1564" s="126">
        <f t="shared" si="24"/>
        <v>1.1798411174091483</v>
      </c>
      <c r="I1564" s="89">
        <v>381.32999999999993</v>
      </c>
      <c r="J1564" s="126">
        <v>79.817708333333314</v>
      </c>
    </row>
    <row r="1565" spans="1:10" x14ac:dyDescent="0.3">
      <c r="A1565" s="88" t="s">
        <v>483</v>
      </c>
      <c r="B1565" s="24">
        <v>39183</v>
      </c>
      <c r="C1565" s="32">
        <v>10.561567594032601</v>
      </c>
      <c r="D1565" s="1">
        <v>14.7</v>
      </c>
      <c r="E1565" s="1">
        <v>7.2</v>
      </c>
      <c r="F1565" s="1">
        <v>0</v>
      </c>
      <c r="G1565" s="1"/>
      <c r="H1565" s="126">
        <f t="shared" si="24"/>
        <v>1.0160332727272676</v>
      </c>
      <c r="I1565" s="89">
        <v>219.96000000000009</v>
      </c>
      <c r="J1565" s="126">
        <v>79.392708333333275</v>
      </c>
    </row>
    <row r="1566" spans="1:10" x14ac:dyDescent="0.3">
      <c r="A1566" s="88" t="s">
        <v>483</v>
      </c>
      <c r="B1566" s="24">
        <v>39184</v>
      </c>
      <c r="C1566" s="32">
        <v>20.414830654916191</v>
      </c>
      <c r="D1566" s="1">
        <v>18.7</v>
      </c>
      <c r="E1566" s="1">
        <v>2.7</v>
      </c>
      <c r="F1566" s="1">
        <v>0</v>
      </c>
      <c r="G1566" s="1"/>
      <c r="H1566" s="126">
        <f t="shared" si="24"/>
        <v>0.74202613073523482</v>
      </c>
      <c r="I1566" s="89">
        <v>186.93000000000009</v>
      </c>
      <c r="J1566" s="126">
        <v>80.889583333333363</v>
      </c>
    </row>
    <row r="1567" spans="1:10" x14ac:dyDescent="0.3">
      <c r="A1567" s="88" t="s">
        <v>483</v>
      </c>
      <c r="B1567" s="24">
        <v>39185</v>
      </c>
      <c r="C1567" s="32">
        <v>20.020628132020047</v>
      </c>
      <c r="D1567" s="1">
        <v>22.2</v>
      </c>
      <c r="E1567" s="1">
        <v>6.9</v>
      </c>
      <c r="F1567" s="1">
        <v>0</v>
      </c>
      <c r="G1567" s="1"/>
      <c r="H1567" s="126">
        <f t="shared" si="24"/>
        <v>0.99532561227749294</v>
      </c>
      <c r="I1567" s="89">
        <v>313.64999999999998</v>
      </c>
      <c r="J1567" s="126">
        <v>65.301041666666649</v>
      </c>
    </row>
    <row r="1568" spans="1:10" x14ac:dyDescent="0.3">
      <c r="A1568" s="88" t="s">
        <v>483</v>
      </c>
      <c r="B1568" s="24">
        <v>39186</v>
      </c>
      <c r="C1568" s="32">
        <v>21.564138010483269</v>
      </c>
      <c r="D1568" s="1">
        <v>23.6</v>
      </c>
      <c r="E1568" s="1">
        <v>7.7</v>
      </c>
      <c r="F1568" s="1">
        <v>0</v>
      </c>
      <c r="G1568" s="1"/>
      <c r="H1568" s="126">
        <f t="shared" si="24"/>
        <v>1.0513900110721115</v>
      </c>
      <c r="I1568" s="89">
        <v>260.01</v>
      </c>
      <c r="J1568" s="126">
        <v>51.85</v>
      </c>
    </row>
    <row r="1569" spans="1:10" x14ac:dyDescent="0.3">
      <c r="A1569" s="88" t="s">
        <v>483</v>
      </c>
      <c r="B1569" s="24">
        <v>39187</v>
      </c>
      <c r="C1569" s="32">
        <v>22.130241633546458</v>
      </c>
      <c r="D1569" s="1">
        <v>23.3</v>
      </c>
      <c r="E1569" s="1">
        <v>6.3</v>
      </c>
      <c r="F1569" s="1">
        <v>0</v>
      </c>
      <c r="G1569" s="1"/>
      <c r="H1569" s="126">
        <f t="shared" si="24"/>
        <v>0.95502249025252561</v>
      </c>
      <c r="I1569" s="89">
        <v>236.88000000000005</v>
      </c>
      <c r="J1569" s="126">
        <v>48.173958333333324</v>
      </c>
    </row>
    <row r="1570" spans="1:10" x14ac:dyDescent="0.3">
      <c r="A1570" s="88" t="s">
        <v>483</v>
      </c>
      <c r="B1570" s="24">
        <v>39188</v>
      </c>
      <c r="C1570" s="32">
        <v>20.579531709002939</v>
      </c>
      <c r="D1570" s="1">
        <v>26</v>
      </c>
      <c r="E1570" s="1">
        <v>10</v>
      </c>
      <c r="F1570" s="1">
        <v>5.0000000000000001E-3</v>
      </c>
      <c r="G1570" s="1"/>
      <c r="H1570" s="126">
        <f t="shared" si="24"/>
        <v>1.2283647027117881</v>
      </c>
      <c r="I1570" s="89">
        <v>158.58000000000001</v>
      </c>
      <c r="J1570" s="126">
        <v>46.376041666666652</v>
      </c>
    </row>
    <row r="1571" spans="1:10" x14ac:dyDescent="0.3">
      <c r="A1571" s="88" t="s">
        <v>483</v>
      </c>
      <c r="B1571" s="24">
        <v>39189</v>
      </c>
      <c r="C1571" s="32">
        <v>11.771175335522148</v>
      </c>
      <c r="D1571" s="1">
        <v>16.399999999999999</v>
      </c>
      <c r="E1571" s="1">
        <v>6.1</v>
      </c>
      <c r="F1571" s="1">
        <v>0</v>
      </c>
      <c r="G1571" s="1"/>
      <c r="H1571" s="126">
        <f t="shared" si="24"/>
        <v>0.94191143925241705</v>
      </c>
      <c r="I1571" s="89">
        <v>277.46999999999997</v>
      </c>
      <c r="J1571" s="126">
        <v>67.667708333333351</v>
      </c>
    </row>
    <row r="1572" spans="1:10" x14ac:dyDescent="0.3">
      <c r="A1572" s="88" t="s">
        <v>483</v>
      </c>
      <c r="B1572" s="24">
        <v>39190</v>
      </c>
      <c r="C1572" s="32">
        <v>15.110196705258913</v>
      </c>
      <c r="D1572" s="1">
        <v>12.7</v>
      </c>
      <c r="E1572" s="1">
        <v>4.7</v>
      </c>
      <c r="F1572" s="1">
        <v>0</v>
      </c>
      <c r="G1572" s="1"/>
      <c r="H1572" s="126">
        <f t="shared" si="24"/>
        <v>0.85449106840682587</v>
      </c>
      <c r="I1572" s="89">
        <v>359.81999999999994</v>
      </c>
      <c r="J1572" s="126">
        <v>62.661458333333364</v>
      </c>
    </row>
    <row r="1573" spans="1:10" x14ac:dyDescent="0.3">
      <c r="A1573" s="88" t="s">
        <v>483</v>
      </c>
      <c r="B1573" s="24">
        <v>39191</v>
      </c>
      <c r="C1573" s="32">
        <v>21.306736363112723</v>
      </c>
      <c r="D1573" s="1">
        <v>16.7</v>
      </c>
      <c r="E1573" s="1">
        <v>1.8</v>
      </c>
      <c r="F1573" s="1">
        <v>0</v>
      </c>
      <c r="G1573" s="1"/>
      <c r="H1573" s="126">
        <f t="shared" si="24"/>
        <v>0.69583287280742301</v>
      </c>
      <c r="I1573" s="89">
        <v>431.37000000000012</v>
      </c>
      <c r="J1573" s="126">
        <v>60.358333333333348</v>
      </c>
    </row>
    <row r="1574" spans="1:10" x14ac:dyDescent="0.3">
      <c r="A1574" s="88" t="s">
        <v>483</v>
      </c>
      <c r="B1574" s="24">
        <v>39192</v>
      </c>
      <c r="C1574" s="32">
        <v>10.423866712746962</v>
      </c>
      <c r="D1574" s="1">
        <v>9.3000000000000007</v>
      </c>
      <c r="E1574" s="1">
        <v>3.3</v>
      </c>
      <c r="F1574" s="1">
        <v>0</v>
      </c>
      <c r="G1574" s="1"/>
      <c r="H1574" s="126">
        <f t="shared" si="24"/>
        <v>0.77430610767805441</v>
      </c>
      <c r="I1574" s="89">
        <v>366.12</v>
      </c>
      <c r="J1574" s="126">
        <v>59.535416666666684</v>
      </c>
    </row>
    <row r="1575" spans="1:10" x14ac:dyDescent="0.3">
      <c r="A1575" s="88" t="s">
        <v>483</v>
      </c>
      <c r="B1575" s="24">
        <v>39193</v>
      </c>
      <c r="C1575" s="32">
        <v>21.86743995161569</v>
      </c>
      <c r="D1575" s="1">
        <v>11.4</v>
      </c>
      <c r="E1575" s="1">
        <v>-0.8</v>
      </c>
      <c r="F1575" s="1">
        <v>0</v>
      </c>
      <c r="G1575" s="1"/>
      <c r="H1575" s="126">
        <f t="shared" si="24"/>
        <v>0.57632881345991693</v>
      </c>
      <c r="I1575" s="89">
        <v>110.69999999999999</v>
      </c>
      <c r="J1575" s="126">
        <v>64.023958333333326</v>
      </c>
    </row>
    <row r="1576" spans="1:10" x14ac:dyDescent="0.3">
      <c r="A1576" s="88" t="s">
        <v>483</v>
      </c>
      <c r="B1576" s="24">
        <v>39194</v>
      </c>
      <c r="C1576" s="32">
        <v>22.923146708138933</v>
      </c>
      <c r="D1576" s="1">
        <v>19.100000000000001</v>
      </c>
      <c r="E1576" s="1">
        <v>2.2000000000000002</v>
      </c>
      <c r="F1576" s="1">
        <v>0</v>
      </c>
      <c r="G1576" s="1"/>
      <c r="H1576" s="126">
        <f t="shared" si="24"/>
        <v>0.71603982725344328</v>
      </c>
      <c r="I1576" s="89">
        <v>208.52999999999992</v>
      </c>
      <c r="J1576" s="126">
        <v>48.592708333333341</v>
      </c>
    </row>
    <row r="1577" spans="1:10" x14ac:dyDescent="0.3">
      <c r="A1577" s="88" t="s">
        <v>483</v>
      </c>
      <c r="B1577" s="24">
        <v>39195</v>
      </c>
      <c r="C1577" s="32">
        <v>20.258229652669776</v>
      </c>
      <c r="D1577" s="1">
        <v>22</v>
      </c>
      <c r="E1577" s="1">
        <v>6.1</v>
      </c>
      <c r="F1577" s="1">
        <v>0</v>
      </c>
      <c r="G1577" s="1"/>
      <c r="H1577" s="126">
        <f t="shared" si="24"/>
        <v>0.94191143925241705</v>
      </c>
      <c r="I1577" s="89">
        <v>204.75000000000009</v>
      </c>
      <c r="J1577" s="126">
        <v>58.70104166666669</v>
      </c>
    </row>
    <row r="1578" spans="1:10" x14ac:dyDescent="0.3">
      <c r="A1578" s="88" t="s">
        <v>483</v>
      </c>
      <c r="B1578" s="24">
        <v>39196</v>
      </c>
      <c r="C1578" s="32">
        <v>8.8280477082965412</v>
      </c>
      <c r="D1578" s="1">
        <v>18.399999999999999</v>
      </c>
      <c r="E1578" s="1">
        <v>12.4</v>
      </c>
      <c r="F1578" s="1">
        <v>4.08</v>
      </c>
      <c r="G1578" s="1"/>
      <c r="H1578" s="126">
        <f t="shared" si="24"/>
        <v>1.4404604588486194</v>
      </c>
      <c r="I1578" s="89">
        <v>189.60527472527474</v>
      </c>
      <c r="J1578" s="126">
        <v>86.950549450549445</v>
      </c>
    </row>
    <row r="1579" spans="1:10" x14ac:dyDescent="0.3">
      <c r="A1579" s="88" t="s">
        <v>483</v>
      </c>
      <c r="B1579" s="24">
        <v>39197</v>
      </c>
      <c r="C1579" s="32">
        <v>20.689332411727435</v>
      </c>
      <c r="D1579" s="1">
        <v>23.4</v>
      </c>
      <c r="E1579" s="1">
        <v>11.1</v>
      </c>
      <c r="F1579" s="1">
        <v>0</v>
      </c>
      <c r="G1579" s="1"/>
      <c r="H1579" s="126">
        <f t="shared" si="24"/>
        <v>1.3218981992116727</v>
      </c>
      <c r="I1579" s="89">
        <v>188.90999999999997</v>
      </c>
      <c r="J1579" s="126">
        <v>73.651041666666657</v>
      </c>
    </row>
    <row r="1580" spans="1:10" x14ac:dyDescent="0.3">
      <c r="A1580" s="88" t="s">
        <v>483</v>
      </c>
      <c r="B1580" s="24">
        <v>39198</v>
      </c>
      <c r="C1580" s="32">
        <v>23.631451241287944</v>
      </c>
      <c r="D1580" s="1">
        <v>23.7</v>
      </c>
      <c r="E1580" s="1">
        <v>12</v>
      </c>
      <c r="F1580" s="1">
        <v>0</v>
      </c>
      <c r="G1580" s="1"/>
      <c r="H1580" s="126">
        <f t="shared" si="24"/>
        <v>1.4030231277532583</v>
      </c>
      <c r="I1580" s="89">
        <v>200.78999999999996</v>
      </c>
      <c r="J1580" s="126">
        <v>58.014583333333341</v>
      </c>
    </row>
    <row r="1581" spans="1:10" x14ac:dyDescent="0.3">
      <c r="A1581" s="88" t="s">
        <v>483</v>
      </c>
      <c r="B1581" s="24">
        <v>39199</v>
      </c>
      <c r="C1581" s="32">
        <v>23.74485196705259</v>
      </c>
      <c r="D1581" s="1">
        <v>25.2</v>
      </c>
      <c r="E1581" s="1">
        <v>7.4</v>
      </c>
      <c r="F1581" s="1">
        <v>0</v>
      </c>
      <c r="G1581" s="1"/>
      <c r="H1581" s="126">
        <f t="shared" si="24"/>
        <v>1.0300482820505565</v>
      </c>
      <c r="I1581" s="89">
        <v>166.32000000000002</v>
      </c>
      <c r="J1581" s="126">
        <v>62.354166666666664</v>
      </c>
    </row>
    <row r="1582" spans="1:10" x14ac:dyDescent="0.3">
      <c r="A1582" s="88" t="s">
        <v>483</v>
      </c>
      <c r="B1582" s="24">
        <v>39200</v>
      </c>
      <c r="C1582" s="32">
        <v>23.251648810552386</v>
      </c>
      <c r="D1582" s="1">
        <v>25.1</v>
      </c>
      <c r="E1582" s="1">
        <v>9.1</v>
      </c>
      <c r="F1582" s="1">
        <v>0</v>
      </c>
      <c r="G1582" s="1"/>
      <c r="H1582" s="126">
        <f t="shared" si="24"/>
        <v>1.156217822409108</v>
      </c>
      <c r="I1582" s="89">
        <v>213.65999999999997</v>
      </c>
      <c r="J1582" s="126">
        <v>64.504166666666677</v>
      </c>
    </row>
    <row r="1583" spans="1:10" x14ac:dyDescent="0.3">
      <c r="A1583" s="88" t="s">
        <v>483</v>
      </c>
      <c r="B1583" s="24">
        <v>39201</v>
      </c>
      <c r="C1583" s="32">
        <v>25.624063994009564</v>
      </c>
      <c r="D1583" s="1">
        <v>15.4</v>
      </c>
      <c r="E1583" s="1">
        <v>6.4</v>
      </c>
      <c r="F1583" s="1">
        <v>0</v>
      </c>
      <c r="G1583" s="1"/>
      <c r="H1583" s="126">
        <f t="shared" si="24"/>
        <v>0.96163811340513428</v>
      </c>
      <c r="I1583" s="89">
        <v>405.62999999999994</v>
      </c>
      <c r="J1583" s="126">
        <v>59.017708333333331</v>
      </c>
    </row>
    <row r="1584" spans="1:10" x14ac:dyDescent="0.3">
      <c r="A1584" s="88" t="s">
        <v>483</v>
      </c>
      <c r="B1584" s="24">
        <v>39202</v>
      </c>
      <c r="C1584" s="32">
        <v>25.42426271528138</v>
      </c>
      <c r="D1584" s="1">
        <v>17.5</v>
      </c>
      <c r="E1584" s="1">
        <v>0.4</v>
      </c>
      <c r="F1584" s="1">
        <v>0</v>
      </c>
      <c r="G1584" s="1"/>
      <c r="H1584" s="126">
        <f t="shared" si="24"/>
        <v>0.62901732612537431</v>
      </c>
      <c r="I1584" s="89">
        <v>277.29000000000002</v>
      </c>
      <c r="J1584" s="126">
        <v>61.602083333333347</v>
      </c>
    </row>
    <row r="1585" spans="1:10" x14ac:dyDescent="0.3">
      <c r="A1585" s="88" t="s">
        <v>483</v>
      </c>
      <c r="B1585" s="24">
        <v>39203</v>
      </c>
      <c r="C1585" s="32">
        <v>25.484563101203847</v>
      </c>
      <c r="D1585" s="1">
        <v>16</v>
      </c>
      <c r="E1585" s="1">
        <v>2.8</v>
      </c>
      <c r="F1585" s="1">
        <v>0</v>
      </c>
      <c r="G1585" s="1"/>
      <c r="H1585" s="126">
        <f t="shared" si="24"/>
        <v>0.74732216909166049</v>
      </c>
      <c r="I1585" s="89">
        <v>220.68</v>
      </c>
      <c r="J1585" s="126">
        <v>58.877083333333339</v>
      </c>
    </row>
    <row r="1586" spans="1:10" x14ac:dyDescent="0.3">
      <c r="A1586" s="88" t="s">
        <v>483</v>
      </c>
      <c r="B1586" s="24">
        <v>39204</v>
      </c>
      <c r="C1586" s="32">
        <v>25.380162433039573</v>
      </c>
      <c r="D1586" s="1">
        <v>19</v>
      </c>
      <c r="E1586" s="1">
        <v>2.9</v>
      </c>
      <c r="F1586" s="1">
        <v>0</v>
      </c>
      <c r="G1586" s="1"/>
      <c r="H1586" s="126">
        <f t="shared" si="24"/>
        <v>0.75265154972421666</v>
      </c>
      <c r="I1586" s="89">
        <v>104.67</v>
      </c>
      <c r="J1586" s="126">
        <v>61.206249999999997</v>
      </c>
    </row>
    <row r="1587" spans="1:10" x14ac:dyDescent="0.3">
      <c r="A1587" s="88" t="s">
        <v>483</v>
      </c>
      <c r="B1587" s="24">
        <v>39205</v>
      </c>
      <c r="C1587" s="32">
        <v>23.536050630724038</v>
      </c>
      <c r="D1587" s="1">
        <v>20.399999999999999</v>
      </c>
      <c r="E1587" s="1">
        <v>4.0999999999999996</v>
      </c>
      <c r="F1587" s="1">
        <v>0</v>
      </c>
      <c r="G1587" s="1"/>
      <c r="H1587" s="126">
        <f t="shared" si="24"/>
        <v>0.81927114982761395</v>
      </c>
      <c r="I1587" s="89">
        <v>196.19999999999993</v>
      </c>
      <c r="J1587" s="126">
        <v>66.977083333333354</v>
      </c>
    </row>
    <row r="1588" spans="1:10" x14ac:dyDescent="0.3">
      <c r="A1588" s="88" t="s">
        <v>483</v>
      </c>
      <c r="B1588" s="24">
        <v>39206</v>
      </c>
      <c r="C1588" s="32">
        <v>25.65106416681067</v>
      </c>
      <c r="D1588" s="1">
        <v>21.3</v>
      </c>
      <c r="E1588" s="1">
        <v>5.7</v>
      </c>
      <c r="F1588" s="1">
        <v>0</v>
      </c>
      <c r="G1588" s="1"/>
      <c r="H1588" s="126">
        <f t="shared" si="24"/>
        <v>0.91616430843021424</v>
      </c>
      <c r="I1588" s="89">
        <v>250.64999999999998</v>
      </c>
      <c r="J1588" s="126">
        <v>54.759374999999999</v>
      </c>
    </row>
    <row r="1589" spans="1:10" x14ac:dyDescent="0.3">
      <c r="A1589" s="88" t="s">
        <v>483</v>
      </c>
      <c r="B1589" s="24">
        <v>39207</v>
      </c>
      <c r="C1589" s="32">
        <v>25.804065146016935</v>
      </c>
      <c r="D1589" s="1">
        <v>22.7</v>
      </c>
      <c r="E1589" s="1">
        <v>5.8</v>
      </c>
      <c r="F1589" s="1">
        <v>0</v>
      </c>
      <c r="G1589" s="1"/>
      <c r="H1589" s="126">
        <f t="shared" si="24"/>
        <v>0.92254223518646628</v>
      </c>
      <c r="I1589" s="89">
        <v>237.77999999999997</v>
      </c>
      <c r="J1589" s="126">
        <v>55.009374999999999</v>
      </c>
    </row>
    <row r="1590" spans="1:10" x14ac:dyDescent="0.3">
      <c r="A1590" s="88" t="s">
        <v>483</v>
      </c>
      <c r="B1590" s="24">
        <v>39208</v>
      </c>
      <c r="C1590" s="32">
        <v>25.270361730315077</v>
      </c>
      <c r="D1590" s="1">
        <v>22.2</v>
      </c>
      <c r="E1590" s="1">
        <v>6.9</v>
      </c>
      <c r="F1590" s="1">
        <v>0</v>
      </c>
      <c r="G1590" s="1"/>
      <c r="H1590" s="126">
        <f t="shared" si="24"/>
        <v>0.99532561227749294</v>
      </c>
      <c r="I1590" s="89">
        <v>177.57</v>
      </c>
      <c r="J1590" s="126">
        <v>64.951041666666654</v>
      </c>
    </row>
    <row r="1591" spans="1:10" x14ac:dyDescent="0.3">
      <c r="A1591" s="88" t="s">
        <v>483</v>
      </c>
      <c r="B1591" s="24">
        <v>39209</v>
      </c>
      <c r="C1591" s="32">
        <v>3.904224987039917</v>
      </c>
      <c r="D1591" s="1">
        <v>15.2</v>
      </c>
      <c r="E1591" s="1">
        <v>9.6999999999999993</v>
      </c>
      <c r="F1591" s="1">
        <v>28.635000000000002</v>
      </c>
      <c r="G1591" s="1"/>
      <c r="H1591" s="126">
        <f t="shared" si="24"/>
        <v>1.2038879226915637</v>
      </c>
      <c r="I1591" s="89">
        <v>203.58000000000004</v>
      </c>
      <c r="J1591" s="126">
        <v>90.26354166666664</v>
      </c>
    </row>
    <row r="1592" spans="1:10" x14ac:dyDescent="0.3">
      <c r="A1592" s="88" t="s">
        <v>483</v>
      </c>
      <c r="B1592" s="24">
        <v>39210</v>
      </c>
      <c r="C1592" s="32">
        <v>14.780794597085421</v>
      </c>
      <c r="D1592" s="1">
        <v>14.5</v>
      </c>
      <c r="E1592" s="1">
        <v>9.4</v>
      </c>
      <c r="F1592" s="1">
        <v>0.26500000000000001</v>
      </c>
      <c r="G1592" s="1"/>
      <c r="H1592" s="126">
        <f t="shared" si="24"/>
        <v>1.1798411174091483</v>
      </c>
      <c r="I1592" s="89">
        <v>425.25</v>
      </c>
      <c r="J1592" s="126">
        <v>84.096874999999997</v>
      </c>
    </row>
    <row r="1593" spans="1:10" x14ac:dyDescent="0.3">
      <c r="A1593" s="88" t="s">
        <v>483</v>
      </c>
      <c r="B1593" s="24">
        <v>39211</v>
      </c>
      <c r="C1593" s="32">
        <v>16.377404815390818</v>
      </c>
      <c r="D1593" s="1">
        <v>16.399999999999999</v>
      </c>
      <c r="E1593" s="1">
        <v>8.8000000000000007</v>
      </c>
      <c r="F1593" s="1">
        <v>0</v>
      </c>
      <c r="G1593" s="1"/>
      <c r="H1593" s="126">
        <f t="shared" si="24"/>
        <v>1.1330116523877718</v>
      </c>
      <c r="I1593" s="89">
        <v>419.85</v>
      </c>
      <c r="J1593" s="126">
        <v>75.960416666666674</v>
      </c>
    </row>
    <row r="1594" spans="1:10" x14ac:dyDescent="0.3">
      <c r="A1594" s="88" t="s">
        <v>483</v>
      </c>
      <c r="B1594" s="24">
        <v>39212</v>
      </c>
      <c r="C1594" s="32">
        <v>9.3024595357410291</v>
      </c>
      <c r="D1594" s="1">
        <v>16.600000000000001</v>
      </c>
      <c r="E1594" s="1">
        <v>10.5</v>
      </c>
      <c r="F1594" s="1">
        <v>8.9250000000000007</v>
      </c>
      <c r="G1594" s="1"/>
      <c r="H1594" s="126">
        <f t="shared" si="24"/>
        <v>1.2701326466613394</v>
      </c>
      <c r="I1594" s="89">
        <v>339.84000000000003</v>
      </c>
      <c r="J1594" s="126">
        <v>88.795833333333334</v>
      </c>
    </row>
    <row r="1595" spans="1:10" x14ac:dyDescent="0.3">
      <c r="A1595" s="88" t="s">
        <v>483</v>
      </c>
      <c r="B1595" s="24">
        <v>39213</v>
      </c>
      <c r="C1595" s="32">
        <v>5.9148378549622711</v>
      </c>
      <c r="D1595" s="1">
        <v>14.8</v>
      </c>
      <c r="E1595" s="1">
        <v>8.8000000000000007</v>
      </c>
      <c r="F1595" s="1">
        <v>10.050000000000001</v>
      </c>
      <c r="G1595" s="1"/>
      <c r="H1595" s="126">
        <f t="shared" si="24"/>
        <v>1.1330116523877718</v>
      </c>
      <c r="I1595" s="89">
        <v>337.94999999999993</v>
      </c>
      <c r="J1595" s="126">
        <v>90.262500000000003</v>
      </c>
    </row>
    <row r="1596" spans="1:10" x14ac:dyDescent="0.3">
      <c r="A1596" s="88" t="s">
        <v>483</v>
      </c>
      <c r="B1596" s="24">
        <v>39214</v>
      </c>
      <c r="C1596" s="32">
        <v>12.691881228039861</v>
      </c>
      <c r="D1596" s="1">
        <v>16.5</v>
      </c>
      <c r="E1596" s="1">
        <v>8</v>
      </c>
      <c r="F1596" s="1">
        <v>6.9349999999999996</v>
      </c>
      <c r="G1596" s="1"/>
      <c r="H1596" s="126">
        <f t="shared" si="24"/>
        <v>1.0731200926872433</v>
      </c>
      <c r="I1596" s="89">
        <v>303.48</v>
      </c>
      <c r="J1596" s="126">
        <v>84.672916666666708</v>
      </c>
    </row>
    <row r="1597" spans="1:10" x14ac:dyDescent="0.3">
      <c r="A1597" s="88" t="s">
        <v>483</v>
      </c>
      <c r="B1597" s="24">
        <v>39215</v>
      </c>
      <c r="C1597" s="32">
        <v>17.462811761995276</v>
      </c>
      <c r="D1597" s="1">
        <v>20.6</v>
      </c>
      <c r="E1597" s="1">
        <v>9.1999999999999993</v>
      </c>
      <c r="F1597" s="1">
        <v>4.5149999999999997</v>
      </c>
      <c r="G1597" s="1"/>
      <c r="H1597" s="126">
        <f t="shared" si="24"/>
        <v>1.16404559315309</v>
      </c>
      <c r="I1597" s="89">
        <v>196.02</v>
      </c>
      <c r="J1597" s="126">
        <v>77.819791666666688</v>
      </c>
    </row>
    <row r="1598" spans="1:10" x14ac:dyDescent="0.3">
      <c r="A1598" s="88" t="s">
        <v>483</v>
      </c>
      <c r="B1598" s="24">
        <v>39216</v>
      </c>
      <c r="C1598" s="32">
        <v>18.267416911468235</v>
      </c>
      <c r="D1598" s="1">
        <v>21</v>
      </c>
      <c r="E1598" s="1">
        <v>12.9</v>
      </c>
      <c r="F1598" s="1">
        <v>0.60499999999999998</v>
      </c>
      <c r="G1598" s="1"/>
      <c r="H1598" s="126">
        <f t="shared" si="24"/>
        <v>1.4884887514247067</v>
      </c>
      <c r="I1598" s="89">
        <v>226.61999999999998</v>
      </c>
      <c r="J1598" s="126">
        <v>76.875</v>
      </c>
    </row>
    <row r="1599" spans="1:10" x14ac:dyDescent="0.3">
      <c r="A1599" s="88" t="s">
        <v>483</v>
      </c>
      <c r="B1599" s="24">
        <v>39217</v>
      </c>
      <c r="C1599" s="32">
        <v>15.380198433269973</v>
      </c>
      <c r="D1599" s="1">
        <v>14.5</v>
      </c>
      <c r="E1599" s="1">
        <v>8.1999999999999993</v>
      </c>
      <c r="F1599" s="1">
        <v>5.84</v>
      </c>
      <c r="G1599" s="1"/>
      <c r="H1599" s="126">
        <f t="shared" si="24"/>
        <v>1.0878255375495476</v>
      </c>
      <c r="I1599" s="89">
        <v>255.5100000000001</v>
      </c>
      <c r="J1599" s="126">
        <v>80.577083333333363</v>
      </c>
    </row>
    <row r="1600" spans="1:10" x14ac:dyDescent="0.3">
      <c r="A1600" s="88" t="s">
        <v>483</v>
      </c>
      <c r="B1600" s="24">
        <v>39218</v>
      </c>
      <c r="C1600" s="32">
        <v>10.594867807153966</v>
      </c>
      <c r="D1600" s="1">
        <v>15.5</v>
      </c>
      <c r="E1600" s="1">
        <v>5.8</v>
      </c>
      <c r="F1600" s="1">
        <v>3.335</v>
      </c>
      <c r="G1600" s="1"/>
      <c r="H1600" s="126">
        <f t="shared" si="24"/>
        <v>0.92254223518646628</v>
      </c>
      <c r="I1600" s="89">
        <v>256.85999999999996</v>
      </c>
      <c r="J1600" s="126">
        <v>84.455208333333346</v>
      </c>
    </row>
    <row r="1601" spans="1:10" x14ac:dyDescent="0.3">
      <c r="A1601" s="88" t="s">
        <v>483</v>
      </c>
      <c r="B1601" s="24">
        <v>39219</v>
      </c>
      <c r="C1601" s="32">
        <v>20.518331317320431</v>
      </c>
      <c r="D1601" s="1">
        <v>13.4</v>
      </c>
      <c r="E1601" s="1">
        <v>4.7</v>
      </c>
      <c r="F1601" s="1">
        <v>0</v>
      </c>
      <c r="G1601" s="1"/>
      <c r="H1601" s="126">
        <f t="shared" si="24"/>
        <v>0.85449106840682587</v>
      </c>
      <c r="I1601" s="89">
        <v>396.36</v>
      </c>
      <c r="J1601" s="126">
        <v>76.14895833333334</v>
      </c>
    </row>
    <row r="1602" spans="1:10" x14ac:dyDescent="0.3">
      <c r="A1602" s="88" t="s">
        <v>483</v>
      </c>
      <c r="B1602" s="24">
        <v>39220</v>
      </c>
      <c r="C1602" s="32">
        <v>26.444869247163183</v>
      </c>
      <c r="D1602" s="1">
        <v>19.7</v>
      </c>
      <c r="E1602" s="1">
        <v>3.4</v>
      </c>
      <c r="F1602" s="1">
        <v>0</v>
      </c>
      <c r="G1602" s="1"/>
      <c r="H1602" s="126">
        <f t="shared" si="24"/>
        <v>0.77980491618110859</v>
      </c>
      <c r="I1602" s="89">
        <v>185.57999999999998</v>
      </c>
      <c r="J1602" s="126">
        <v>74.334374999999994</v>
      </c>
    </row>
    <row r="1603" spans="1:10" x14ac:dyDescent="0.3">
      <c r="A1603" s="88" t="s">
        <v>483</v>
      </c>
      <c r="B1603" s="24">
        <v>39221</v>
      </c>
      <c r="C1603" s="32">
        <v>10.773968953401303</v>
      </c>
      <c r="D1603" s="1">
        <v>20.5</v>
      </c>
      <c r="E1603" s="1">
        <v>11.5</v>
      </c>
      <c r="F1603" s="1">
        <v>0</v>
      </c>
      <c r="G1603" s="1"/>
      <c r="H1603" s="126">
        <f t="shared" si="24"/>
        <v>1.3574301110209714</v>
      </c>
      <c r="I1603" s="89">
        <v>184.76999999999998</v>
      </c>
      <c r="J1603" s="126">
        <v>80.365624999999994</v>
      </c>
    </row>
    <row r="1604" spans="1:10" x14ac:dyDescent="0.3">
      <c r="A1604" s="88" t="s">
        <v>483</v>
      </c>
      <c r="B1604" s="24">
        <v>39222</v>
      </c>
      <c r="C1604" s="32">
        <v>19.2187229998272</v>
      </c>
      <c r="D1604" s="1">
        <v>23.2</v>
      </c>
      <c r="E1604" s="1">
        <v>13.1</v>
      </c>
      <c r="F1604" s="1">
        <v>5.0000000000000001E-3</v>
      </c>
      <c r="G1604" s="1"/>
      <c r="H1604" s="126">
        <f t="shared" ref="H1604:H1667" si="25">0.611*EXP((17.27*E1604)/(E1604+237.3))</f>
        <v>1.5080901913058991</v>
      </c>
      <c r="I1604" s="89">
        <v>232.20000000000002</v>
      </c>
      <c r="J1604" s="126">
        <v>79.803124999999994</v>
      </c>
    </row>
    <row r="1605" spans="1:10" x14ac:dyDescent="0.3">
      <c r="A1605" s="88" t="s">
        <v>483</v>
      </c>
      <c r="B1605" s="24">
        <v>39223</v>
      </c>
      <c r="C1605" s="32">
        <v>26.336707502296434</v>
      </c>
      <c r="D1605" s="1">
        <v>28.9</v>
      </c>
      <c r="E1605" s="1">
        <v>13.8</v>
      </c>
      <c r="F1605" s="1">
        <v>4.4999999999999998E-2</v>
      </c>
      <c r="G1605" s="1"/>
      <c r="H1605" s="126">
        <f t="shared" si="25"/>
        <v>1.5784913004187435</v>
      </c>
      <c r="I1605" s="89">
        <v>156.06568421052629</v>
      </c>
      <c r="J1605" s="126">
        <v>72.289473684210535</v>
      </c>
    </row>
    <row r="1606" spans="1:10" x14ac:dyDescent="0.3">
      <c r="A1606" s="88" t="s">
        <v>483</v>
      </c>
      <c r="B1606" s="24">
        <v>39224</v>
      </c>
      <c r="C1606" s="32">
        <v>19.475594117486562</v>
      </c>
      <c r="D1606" s="1">
        <v>23.9</v>
      </c>
      <c r="E1606" s="1">
        <v>15.6</v>
      </c>
      <c r="F1606" s="1">
        <v>0</v>
      </c>
      <c r="G1606" s="1"/>
      <c r="H1606" s="126">
        <f t="shared" si="25"/>
        <v>1.7729278081089486</v>
      </c>
      <c r="I1606" s="89">
        <v>211.54357894736845</v>
      </c>
      <c r="J1606" s="126">
        <v>82.608421052631584</v>
      </c>
    </row>
    <row r="1607" spans="1:10" x14ac:dyDescent="0.3">
      <c r="A1607" s="88" t="s">
        <v>483</v>
      </c>
      <c r="B1607" s="24">
        <v>39225</v>
      </c>
      <c r="C1607" s="32">
        <v>15.363098323829274</v>
      </c>
      <c r="D1607" s="1">
        <v>20.399999999999999</v>
      </c>
      <c r="E1607" s="1">
        <v>13.3</v>
      </c>
      <c r="F1607" s="1">
        <v>0.2</v>
      </c>
      <c r="G1607" s="1"/>
      <c r="H1607" s="126">
        <f t="shared" si="25"/>
        <v>1.5279178496783383</v>
      </c>
      <c r="I1607" s="89">
        <v>133.38</v>
      </c>
      <c r="J1607" s="126">
        <v>80.01458333333332</v>
      </c>
    </row>
    <row r="1608" spans="1:10" x14ac:dyDescent="0.3">
      <c r="A1608" s="88" t="s">
        <v>483</v>
      </c>
      <c r="B1608" s="24">
        <v>39226</v>
      </c>
      <c r="C1608" s="32">
        <v>21.367036749035194</v>
      </c>
      <c r="D1608" s="1">
        <v>25.5</v>
      </c>
      <c r="E1608" s="1">
        <v>11</v>
      </c>
      <c r="F1608" s="1">
        <v>7.4649999999999999</v>
      </c>
      <c r="G1608" s="1"/>
      <c r="H1608" s="126">
        <f t="shared" si="25"/>
        <v>1.313143973467028</v>
      </c>
      <c r="I1608" s="89">
        <v>133.20000000000002</v>
      </c>
      <c r="J1608" s="126">
        <v>79.522916666666646</v>
      </c>
    </row>
    <row r="1609" spans="1:10" x14ac:dyDescent="0.3">
      <c r="A1609" s="88" t="s">
        <v>483</v>
      </c>
      <c r="B1609" s="24">
        <v>39227</v>
      </c>
      <c r="C1609" s="32">
        <v>20.615531939404413</v>
      </c>
      <c r="D1609" s="1">
        <v>28.8</v>
      </c>
      <c r="E1609" s="1">
        <v>15.9</v>
      </c>
      <c r="F1609" s="1">
        <v>1.675</v>
      </c>
      <c r="G1609" s="1"/>
      <c r="H1609" s="126">
        <f t="shared" si="25"/>
        <v>1.8072967155190105</v>
      </c>
      <c r="I1609" s="89">
        <v>139.76999999999995</v>
      </c>
      <c r="J1609" s="126">
        <v>87.632291666666632</v>
      </c>
    </row>
    <row r="1610" spans="1:10" x14ac:dyDescent="0.3">
      <c r="A1610" s="88" t="s">
        <v>483</v>
      </c>
      <c r="B1610" s="24">
        <v>39228</v>
      </c>
      <c r="C1610" s="32">
        <v>16.799507516848109</v>
      </c>
      <c r="D1610" s="1">
        <v>23.8</v>
      </c>
      <c r="E1610" s="1">
        <v>15.3</v>
      </c>
      <c r="F1610" s="1">
        <v>0</v>
      </c>
      <c r="G1610" s="1"/>
      <c r="H1610" s="126">
        <f t="shared" si="25"/>
        <v>1.739133169821284</v>
      </c>
      <c r="I1610" s="89">
        <v>184.05</v>
      </c>
      <c r="J1610" s="126">
        <v>88.778125000000003</v>
      </c>
    </row>
    <row r="1611" spans="1:10" x14ac:dyDescent="0.3">
      <c r="A1611" s="88" t="s">
        <v>483</v>
      </c>
      <c r="B1611" s="24">
        <v>39229</v>
      </c>
      <c r="C1611" s="32">
        <v>17.502412015436899</v>
      </c>
      <c r="D1611" s="1">
        <v>23.4</v>
      </c>
      <c r="E1611" s="1">
        <v>13.5</v>
      </c>
      <c r="F1611" s="1">
        <v>25.72</v>
      </c>
      <c r="G1611" s="1"/>
      <c r="H1611" s="126">
        <f t="shared" si="25"/>
        <v>1.5479739445616383</v>
      </c>
      <c r="I1611" s="89">
        <v>178.2</v>
      </c>
      <c r="J1611" s="126">
        <v>89.612499999999997</v>
      </c>
    </row>
    <row r="1612" spans="1:10" x14ac:dyDescent="0.3">
      <c r="A1612" s="88" t="s">
        <v>483</v>
      </c>
      <c r="B1612" s="24">
        <v>39230</v>
      </c>
      <c r="C1612" s="32">
        <v>7.2639464892575321</v>
      </c>
      <c r="D1612" s="1">
        <v>16.100000000000001</v>
      </c>
      <c r="E1612" s="1">
        <v>11.5</v>
      </c>
      <c r="F1612" s="1">
        <v>3.83</v>
      </c>
      <c r="G1612" s="1"/>
      <c r="H1612" s="126">
        <f t="shared" si="25"/>
        <v>1.3574301110209714</v>
      </c>
      <c r="I1612" s="89">
        <v>192.06000000000006</v>
      </c>
      <c r="J1612" s="126">
        <v>92.137500000000003</v>
      </c>
    </row>
    <row r="1613" spans="1:10" x14ac:dyDescent="0.3">
      <c r="A1613" s="88" t="s">
        <v>483</v>
      </c>
      <c r="B1613" s="24">
        <v>39231</v>
      </c>
      <c r="C1613" s="32">
        <v>2.1321136455273315</v>
      </c>
      <c r="D1613" s="1">
        <v>13.9</v>
      </c>
      <c r="E1613" s="1">
        <v>9.1</v>
      </c>
      <c r="F1613" s="1">
        <v>17.585000000000001</v>
      </c>
      <c r="G1613" s="1"/>
      <c r="H1613" s="126">
        <f t="shared" si="25"/>
        <v>1.156217822409108</v>
      </c>
      <c r="I1613" s="89">
        <v>438.21000000000004</v>
      </c>
      <c r="J1613" s="126">
        <v>96.107291666666626</v>
      </c>
    </row>
    <row r="1614" spans="1:10" x14ac:dyDescent="0.3">
      <c r="A1614" s="88" t="s">
        <v>483</v>
      </c>
      <c r="B1614" s="24">
        <v>39232</v>
      </c>
      <c r="C1614" s="32">
        <v>25.171361096711017</v>
      </c>
      <c r="D1614" s="1">
        <v>17</v>
      </c>
      <c r="E1614" s="1">
        <v>8</v>
      </c>
      <c r="F1614" s="1">
        <v>0.64500000000000002</v>
      </c>
      <c r="G1614" s="1"/>
      <c r="H1614" s="126">
        <f t="shared" si="25"/>
        <v>1.0731200926872433</v>
      </c>
      <c r="I1614" s="89">
        <v>254.5200000000001</v>
      </c>
      <c r="J1614" s="126">
        <v>76.78854166666666</v>
      </c>
    </row>
    <row r="1615" spans="1:10" x14ac:dyDescent="0.3">
      <c r="A1615" s="88" t="s">
        <v>483</v>
      </c>
      <c r="B1615" s="24">
        <v>39233</v>
      </c>
      <c r="C1615" s="32">
        <v>25.208261332872532</v>
      </c>
      <c r="D1615" s="1">
        <v>20.100000000000001</v>
      </c>
      <c r="E1615" s="1">
        <v>9.4</v>
      </c>
      <c r="F1615" s="1">
        <v>0</v>
      </c>
      <c r="G1615" s="1"/>
      <c r="H1615" s="126">
        <f t="shared" si="25"/>
        <v>1.1798411174091483</v>
      </c>
      <c r="I1615" s="89">
        <v>146.07000000000002</v>
      </c>
      <c r="J1615" s="126">
        <v>71.951041666666654</v>
      </c>
    </row>
    <row r="1616" spans="1:10" x14ac:dyDescent="0.3">
      <c r="A1616" s="88" t="s">
        <v>483</v>
      </c>
      <c r="B1616" s="24">
        <v>39234</v>
      </c>
      <c r="C1616" s="32">
        <v>21.329236507113645</v>
      </c>
      <c r="D1616" s="1">
        <v>21.4</v>
      </c>
      <c r="E1616" s="1">
        <v>9.3000000000000007</v>
      </c>
      <c r="F1616" s="1">
        <v>0</v>
      </c>
      <c r="G1616" s="1"/>
      <c r="H1616" s="126">
        <f t="shared" si="25"/>
        <v>1.1719199459898388</v>
      </c>
      <c r="I1616" s="89">
        <v>214.2</v>
      </c>
      <c r="J1616" s="126">
        <v>81.178124999999994</v>
      </c>
    </row>
    <row r="1617" spans="1:11" x14ac:dyDescent="0.3">
      <c r="A1617" s="88" t="s">
        <v>483</v>
      </c>
      <c r="B1617" s="24">
        <v>39235</v>
      </c>
      <c r="C1617" s="32">
        <v>7.1199455676516328</v>
      </c>
      <c r="D1617" s="1">
        <v>18</v>
      </c>
      <c r="E1617" s="1">
        <v>10.199999999999999</v>
      </c>
      <c r="F1617" s="1">
        <v>0.28999999999999998</v>
      </c>
      <c r="G1617" s="1"/>
      <c r="H1617" s="126">
        <f t="shared" si="25"/>
        <v>1.2449246593693148</v>
      </c>
      <c r="I1617" s="89">
        <v>137.69999999999999</v>
      </c>
      <c r="J1617" s="126">
        <v>89.603125000000006</v>
      </c>
    </row>
    <row r="1618" spans="1:11" x14ac:dyDescent="0.3">
      <c r="A1618" s="88" t="s">
        <v>483</v>
      </c>
      <c r="B1618" s="24">
        <v>39236</v>
      </c>
      <c r="C1618" s="32">
        <v>7.8524460451283726</v>
      </c>
      <c r="D1618" s="1">
        <v>17.899999999999999</v>
      </c>
      <c r="E1618" s="1">
        <v>12</v>
      </c>
      <c r="F1618" s="1">
        <v>0.05</v>
      </c>
      <c r="G1618" s="1"/>
      <c r="H1618" s="126">
        <f t="shared" si="25"/>
        <v>1.4030231277532583</v>
      </c>
      <c r="I1618" s="89">
        <v>159.97642105263159</v>
      </c>
      <c r="J1618" s="126">
        <v>93.694736842105257</v>
      </c>
    </row>
    <row r="1619" spans="1:11" x14ac:dyDescent="0.3">
      <c r="A1619" s="88" t="s">
        <v>483</v>
      </c>
      <c r="B1619" s="24">
        <v>39237</v>
      </c>
      <c r="C1619" s="32">
        <v>10.700168481078279</v>
      </c>
      <c r="D1619" s="1">
        <v>19</v>
      </c>
      <c r="E1619" s="1">
        <v>12.1</v>
      </c>
      <c r="F1619" s="1">
        <v>0</v>
      </c>
      <c r="G1619" s="1"/>
      <c r="H1619" s="126">
        <f t="shared" si="25"/>
        <v>1.4123014242757443</v>
      </c>
      <c r="I1619" s="89">
        <v>176.76000000000005</v>
      </c>
      <c r="J1619" s="126">
        <v>92.803125000000065</v>
      </c>
    </row>
    <row r="1620" spans="1:11" x14ac:dyDescent="0.3">
      <c r="A1620" s="88" t="s">
        <v>483</v>
      </c>
      <c r="B1620" s="24">
        <v>39238</v>
      </c>
      <c r="C1620" s="32">
        <v>14.608893496918382</v>
      </c>
      <c r="D1620" s="1">
        <v>20.399999999999999</v>
      </c>
      <c r="E1620" s="1">
        <v>14.4</v>
      </c>
      <c r="F1620" s="1">
        <v>1.2350000000000001</v>
      </c>
      <c r="G1620" s="1"/>
      <c r="H1620" s="126">
        <f t="shared" si="25"/>
        <v>1.6411136286522547</v>
      </c>
      <c r="I1620" s="89">
        <v>142.65000000000003</v>
      </c>
      <c r="J1620" s="126">
        <v>91.741666666666632</v>
      </c>
    </row>
    <row r="1621" spans="1:11" x14ac:dyDescent="0.3">
      <c r="A1621" s="88" t="s">
        <v>483</v>
      </c>
      <c r="B1621" s="24">
        <v>39239</v>
      </c>
      <c r="C1621" s="32">
        <v>19.278123379989633</v>
      </c>
      <c r="D1621" s="1">
        <v>23.5</v>
      </c>
      <c r="E1621" s="1">
        <v>12.9</v>
      </c>
      <c r="F1621" s="1">
        <v>0.02</v>
      </c>
      <c r="G1621" s="1"/>
      <c r="H1621" s="126">
        <f t="shared" si="25"/>
        <v>1.4884887514247067</v>
      </c>
      <c r="I1621" s="89">
        <v>118.71000000000001</v>
      </c>
      <c r="J1621" s="126">
        <v>89.441666666666677</v>
      </c>
    </row>
    <row r="1622" spans="1:11" x14ac:dyDescent="0.3">
      <c r="A1622" s="88" t="s">
        <v>483</v>
      </c>
      <c r="B1622" s="24">
        <v>39240</v>
      </c>
      <c r="C1622" s="32">
        <v>24.114754334427744</v>
      </c>
      <c r="D1622" s="1">
        <v>28</v>
      </c>
      <c r="E1622" s="1">
        <v>15.1</v>
      </c>
      <c r="F1622" s="1">
        <v>0</v>
      </c>
      <c r="G1622" s="1"/>
      <c r="H1622" s="126">
        <f t="shared" si="25"/>
        <v>1.7169184104549529</v>
      </c>
      <c r="I1622" s="89">
        <v>213.93000000000006</v>
      </c>
      <c r="J1622" s="126">
        <v>83.09479166666668</v>
      </c>
    </row>
    <row r="1623" spans="1:11" x14ac:dyDescent="0.3">
      <c r="A1623" s="88" t="s">
        <v>483</v>
      </c>
      <c r="B1623" s="24">
        <v>39241</v>
      </c>
      <c r="C1623" s="32">
        <v>26.430469155002591</v>
      </c>
      <c r="D1623" s="1">
        <v>28.8</v>
      </c>
      <c r="E1623" s="1">
        <v>15.8</v>
      </c>
      <c r="F1623" s="1">
        <v>0.01</v>
      </c>
      <c r="G1623" s="1"/>
      <c r="H1623" s="126">
        <f t="shared" si="25"/>
        <v>1.7957760971031187</v>
      </c>
      <c r="I1623" s="89">
        <v>292.77</v>
      </c>
      <c r="J1623" s="126">
        <v>76.330208333333331</v>
      </c>
    </row>
    <row r="1624" spans="1:11" x14ac:dyDescent="0.3">
      <c r="A1624" s="88" t="s">
        <v>483</v>
      </c>
      <c r="B1624" s="24">
        <v>39242</v>
      </c>
      <c r="C1624" s="32">
        <v>22.085241345544613</v>
      </c>
      <c r="D1624" s="1">
        <v>29.1</v>
      </c>
      <c r="E1624" s="1">
        <v>15.9</v>
      </c>
      <c r="F1624" s="1">
        <v>5.5049999999999999</v>
      </c>
      <c r="G1624" s="1"/>
      <c r="H1624" s="126">
        <f t="shared" si="25"/>
        <v>1.8072967155190105</v>
      </c>
      <c r="I1624" s="89">
        <v>445.23</v>
      </c>
      <c r="J1624" s="126">
        <v>80.226041666666688</v>
      </c>
    </row>
    <row r="1625" spans="1:11" x14ac:dyDescent="0.3">
      <c r="A1625" s="88" t="s">
        <v>483</v>
      </c>
      <c r="B1625" s="24">
        <v>39243</v>
      </c>
      <c r="C1625" s="32">
        <v>28.153980185473188</v>
      </c>
      <c r="D1625" s="1">
        <v>28.1</v>
      </c>
      <c r="E1625" s="1">
        <v>15.9</v>
      </c>
      <c r="F1625" s="1">
        <v>2.5000000000000001E-2</v>
      </c>
      <c r="G1625" s="1"/>
      <c r="H1625" s="126">
        <f t="shared" si="25"/>
        <v>1.8072967155190105</v>
      </c>
      <c r="I1625" s="89">
        <v>183.60000000000002</v>
      </c>
      <c r="J1625" s="126">
        <v>77.909374999999997</v>
      </c>
    </row>
    <row r="1626" spans="1:11" x14ac:dyDescent="0.3">
      <c r="A1626" s="88" t="s">
        <v>483</v>
      </c>
      <c r="B1626" s="24">
        <v>39244</v>
      </c>
      <c r="C1626" s="32">
        <v>27.824578077299698</v>
      </c>
      <c r="D1626" s="1">
        <v>28.5</v>
      </c>
      <c r="E1626" s="1">
        <v>14.9</v>
      </c>
      <c r="F1626" s="1">
        <v>0</v>
      </c>
      <c r="G1626" s="1"/>
      <c r="H1626" s="126">
        <f t="shared" si="25"/>
        <v>1.6949528505265632</v>
      </c>
      <c r="I1626" s="89">
        <v>203.93999999999997</v>
      </c>
      <c r="J1626" s="126">
        <v>75.279166666666654</v>
      </c>
      <c r="K1626" s="34">
        <v>376.72142857142876</v>
      </c>
    </row>
    <row r="1627" spans="1:11" x14ac:dyDescent="0.3">
      <c r="A1627" s="88" t="s">
        <v>483</v>
      </c>
      <c r="B1627" s="24">
        <v>39245</v>
      </c>
      <c r="C1627" s="32">
        <v>23.555850757444851</v>
      </c>
      <c r="D1627" s="1">
        <v>26.8</v>
      </c>
      <c r="E1627" s="1">
        <v>16.100000000000001</v>
      </c>
      <c r="F1627" s="1">
        <v>0</v>
      </c>
      <c r="G1627" s="1"/>
      <c r="H1627" s="126">
        <f t="shared" si="25"/>
        <v>1.8305324367134694</v>
      </c>
      <c r="I1627" s="89">
        <v>236.07</v>
      </c>
      <c r="J1627" s="126">
        <v>79.221874999999997</v>
      </c>
      <c r="K1627" s="34">
        <v>402.35683099018331</v>
      </c>
    </row>
    <row r="1628" spans="1:11" x14ac:dyDescent="0.3">
      <c r="A1628" s="88" t="s">
        <v>483</v>
      </c>
      <c r="B1628" s="24">
        <v>39246</v>
      </c>
      <c r="C1628" s="32">
        <v>20.530931397960948</v>
      </c>
      <c r="D1628" s="1">
        <v>23.6</v>
      </c>
      <c r="E1628" s="1">
        <v>15.9</v>
      </c>
      <c r="F1628" s="1">
        <v>0</v>
      </c>
      <c r="G1628" s="1"/>
      <c r="H1628" s="126">
        <f t="shared" si="25"/>
        <v>1.8072967155190105</v>
      </c>
      <c r="I1628" s="89">
        <v>246.24</v>
      </c>
      <c r="J1628" s="126">
        <v>81.902083333333351</v>
      </c>
      <c r="K1628" s="34">
        <v>387.92659362549801</v>
      </c>
    </row>
    <row r="1629" spans="1:11" x14ac:dyDescent="0.3">
      <c r="A1629" s="88" t="s">
        <v>483</v>
      </c>
      <c r="B1629" s="24">
        <v>39247</v>
      </c>
      <c r="C1629" s="32">
        <v>19.891027302574738</v>
      </c>
      <c r="D1629" s="1">
        <v>26.1</v>
      </c>
      <c r="E1629" s="1">
        <v>15.1</v>
      </c>
      <c r="F1629" s="1">
        <v>5.9349999999999996</v>
      </c>
      <c r="G1629" s="1"/>
      <c r="H1629" s="126">
        <f t="shared" si="25"/>
        <v>1.7169184104549529</v>
      </c>
      <c r="I1629" s="89">
        <v>129.96</v>
      </c>
      <c r="J1629" s="126">
        <v>81.796875</v>
      </c>
      <c r="K1629" s="34">
        <v>396.63372178526981</v>
      </c>
    </row>
    <row r="1630" spans="1:11" x14ac:dyDescent="0.3">
      <c r="A1630" s="88" t="s">
        <v>483</v>
      </c>
      <c r="B1630" s="24">
        <v>39248</v>
      </c>
      <c r="C1630" s="32">
        <v>19.558025171361098</v>
      </c>
      <c r="D1630" s="1">
        <v>25.4</v>
      </c>
      <c r="E1630" s="1">
        <v>16.5</v>
      </c>
      <c r="F1630" s="1">
        <v>11.53</v>
      </c>
      <c r="G1630" s="1"/>
      <c r="H1630" s="126">
        <f t="shared" si="25"/>
        <v>1.8777904954698514</v>
      </c>
      <c r="I1630" s="89">
        <v>197.36999999999998</v>
      </c>
      <c r="J1630" s="126">
        <v>91.144791666666663</v>
      </c>
      <c r="K1630" s="34">
        <v>386.61266633259754</v>
      </c>
    </row>
    <row r="1631" spans="1:11" x14ac:dyDescent="0.3">
      <c r="A1631" s="88" t="s">
        <v>483</v>
      </c>
      <c r="B1631" s="24">
        <v>39249</v>
      </c>
      <c r="C1631" s="32">
        <v>18.295317090029375</v>
      </c>
      <c r="D1631" s="1">
        <v>21.2</v>
      </c>
      <c r="E1631" s="1">
        <v>14.3</v>
      </c>
      <c r="F1631" s="1">
        <v>5.8150000000000004</v>
      </c>
      <c r="G1631" s="1"/>
      <c r="H1631" s="126">
        <f t="shared" si="25"/>
        <v>1.6305276651269101</v>
      </c>
      <c r="I1631" s="89">
        <v>250.29000000000002</v>
      </c>
      <c r="J1631" s="126">
        <v>85.110416666666694</v>
      </c>
      <c r="K1631" s="34">
        <v>387.93101391650123</v>
      </c>
    </row>
    <row r="1632" spans="1:11" x14ac:dyDescent="0.3">
      <c r="A1632" s="88" t="s">
        <v>483</v>
      </c>
      <c r="B1632" s="24">
        <v>39250</v>
      </c>
      <c r="C1632" s="32">
        <v>20.82253326421289</v>
      </c>
      <c r="D1632" s="1">
        <v>21.8</v>
      </c>
      <c r="E1632" s="1">
        <v>12.4</v>
      </c>
      <c r="F1632" s="1">
        <v>0</v>
      </c>
      <c r="G1632" s="1"/>
      <c r="H1632" s="126">
        <f t="shared" si="25"/>
        <v>1.4404604588486194</v>
      </c>
      <c r="I1632" s="89">
        <v>166.59</v>
      </c>
      <c r="J1632" s="126">
        <v>81.452083333333306</v>
      </c>
      <c r="K1632" s="34">
        <v>386.87104477611945</v>
      </c>
    </row>
    <row r="1633" spans="1:11" x14ac:dyDescent="0.3">
      <c r="A1633" s="88" t="s">
        <v>483</v>
      </c>
      <c r="B1633" s="24">
        <v>39251</v>
      </c>
      <c r="C1633" s="32">
        <v>11.525473763032084</v>
      </c>
      <c r="D1633" s="1">
        <v>20.2</v>
      </c>
      <c r="E1633" s="1">
        <v>14.1</v>
      </c>
      <c r="F1633" s="1">
        <v>8.2949999999999999</v>
      </c>
      <c r="G1633" s="1"/>
      <c r="H1633" s="126">
        <f t="shared" si="25"/>
        <v>1.6095352919714581</v>
      </c>
      <c r="I1633" s="89">
        <v>221.49</v>
      </c>
      <c r="J1633" s="126">
        <v>90.066666666666663</v>
      </c>
      <c r="K1633" s="34">
        <v>404.11153455284591</v>
      </c>
    </row>
    <row r="1634" spans="1:11" x14ac:dyDescent="0.3">
      <c r="A1634" s="88" t="s">
        <v>483</v>
      </c>
      <c r="B1634" s="24">
        <v>39252</v>
      </c>
      <c r="C1634" s="32">
        <v>28.457282126605609</v>
      </c>
      <c r="D1634" s="1">
        <v>24.5</v>
      </c>
      <c r="E1634" s="1">
        <v>13.6</v>
      </c>
      <c r="F1634" s="1">
        <v>5.0000000000000001E-3</v>
      </c>
      <c r="G1634" s="1"/>
      <c r="H1634" s="126">
        <f t="shared" si="25"/>
        <v>1.55808835361568</v>
      </c>
      <c r="I1634" s="89">
        <v>140.4</v>
      </c>
      <c r="J1634" s="126">
        <v>82.13229166666666</v>
      </c>
      <c r="K1634" s="34">
        <v>398.38341608738847</v>
      </c>
    </row>
    <row r="1635" spans="1:11" x14ac:dyDescent="0.3">
      <c r="A1635" s="88" t="s">
        <v>483</v>
      </c>
      <c r="B1635" s="24">
        <v>39253</v>
      </c>
      <c r="C1635" s="32">
        <v>24.452256494441567</v>
      </c>
      <c r="D1635" s="1">
        <v>28.6</v>
      </c>
      <c r="E1635" s="1">
        <v>14.9</v>
      </c>
      <c r="F1635" s="1">
        <v>3.5000000000000003E-2</v>
      </c>
      <c r="G1635" s="1"/>
      <c r="H1635" s="126">
        <f t="shared" si="25"/>
        <v>1.6949528505265632</v>
      </c>
      <c r="I1635" s="89">
        <v>216.45000000000002</v>
      </c>
      <c r="J1635" s="126">
        <v>79.37708333333336</v>
      </c>
      <c r="K1635" s="34">
        <v>395.0272862823071</v>
      </c>
    </row>
    <row r="1636" spans="1:11" x14ac:dyDescent="0.3">
      <c r="A1636" s="88" t="s">
        <v>483</v>
      </c>
      <c r="B1636" s="24">
        <v>39254</v>
      </c>
      <c r="C1636" s="32">
        <v>4.1940268417717874</v>
      </c>
      <c r="D1636" s="1">
        <v>19.600000000000001</v>
      </c>
      <c r="E1636" s="1">
        <v>12.6</v>
      </c>
      <c r="F1636" s="1">
        <v>16.765000000000001</v>
      </c>
      <c r="G1636" s="1"/>
      <c r="H1636" s="126">
        <f t="shared" si="25"/>
        <v>1.4595059422181114</v>
      </c>
      <c r="I1636" s="89">
        <v>160.65</v>
      </c>
      <c r="J1636" s="126">
        <v>90.234375</v>
      </c>
      <c r="K1636" s="34">
        <v>404.5817545748107</v>
      </c>
    </row>
    <row r="1637" spans="1:11" x14ac:dyDescent="0.3">
      <c r="A1637" s="88" t="s">
        <v>483</v>
      </c>
      <c r="B1637" s="24">
        <v>39255</v>
      </c>
      <c r="C1637" s="32">
        <v>22.140141696906859</v>
      </c>
      <c r="D1637" s="1">
        <v>21.4</v>
      </c>
      <c r="E1637" s="1">
        <v>13</v>
      </c>
      <c r="F1637" s="1">
        <v>3.04</v>
      </c>
      <c r="G1637" s="1"/>
      <c r="H1637" s="126">
        <f t="shared" si="25"/>
        <v>1.498261331998219</v>
      </c>
      <c r="I1637" s="89">
        <v>181.17</v>
      </c>
      <c r="J1637" s="126">
        <v>89.876041666666694</v>
      </c>
      <c r="K1637" s="34">
        <v>378.6941730099237</v>
      </c>
    </row>
    <row r="1638" spans="1:11" x14ac:dyDescent="0.3">
      <c r="A1638" s="88" t="s">
        <v>483</v>
      </c>
      <c r="B1638" s="24">
        <v>39256</v>
      </c>
      <c r="C1638" s="32">
        <v>17.843514198490873</v>
      </c>
      <c r="D1638" s="1">
        <v>19.3</v>
      </c>
      <c r="E1638" s="1">
        <v>13.7</v>
      </c>
      <c r="F1638" s="1">
        <v>4.34</v>
      </c>
      <c r="G1638" s="1"/>
      <c r="H1638" s="126">
        <f t="shared" si="25"/>
        <v>1.568260711501982</v>
      </c>
      <c r="I1638" s="89">
        <v>232.46999999999997</v>
      </c>
      <c r="J1638" s="126">
        <v>89.713541666666671</v>
      </c>
      <c r="K1638" s="34">
        <v>386.62517378351538</v>
      </c>
    </row>
    <row r="1639" spans="1:11" x14ac:dyDescent="0.3">
      <c r="A1639" s="88" t="s">
        <v>483</v>
      </c>
      <c r="B1639" s="24">
        <v>39257</v>
      </c>
      <c r="C1639" s="32">
        <v>21.65233857496688</v>
      </c>
      <c r="D1639" s="1">
        <v>21.9</v>
      </c>
      <c r="E1639" s="1">
        <v>13.3</v>
      </c>
      <c r="F1639" s="1">
        <v>0</v>
      </c>
      <c r="G1639" s="1"/>
      <c r="H1639" s="126">
        <f t="shared" si="25"/>
        <v>1.5279178496783383</v>
      </c>
      <c r="I1639" s="89">
        <v>173.52000000000004</v>
      </c>
      <c r="J1639" s="126">
        <v>83.836458333333312</v>
      </c>
      <c r="K1639" s="34">
        <v>385.31993041749513</v>
      </c>
    </row>
    <row r="1640" spans="1:11" x14ac:dyDescent="0.3">
      <c r="A1640" s="88" t="s">
        <v>483</v>
      </c>
      <c r="B1640" s="24">
        <v>39258</v>
      </c>
      <c r="C1640" s="32">
        <v>11.725275041760268</v>
      </c>
      <c r="D1640" s="1">
        <v>23</v>
      </c>
      <c r="E1640" s="1">
        <v>15</v>
      </c>
      <c r="F1640" s="1">
        <v>1.48</v>
      </c>
      <c r="G1640" s="1"/>
      <c r="H1640" s="126">
        <f t="shared" si="25"/>
        <v>1.7059046297032363</v>
      </c>
      <c r="I1640" s="89">
        <v>165.24</v>
      </c>
      <c r="J1640" s="126">
        <v>85.163541666666688</v>
      </c>
      <c r="K1640" s="34">
        <v>385.62919349063952</v>
      </c>
    </row>
    <row r="1641" spans="1:11" x14ac:dyDescent="0.3">
      <c r="A1641" s="88" t="s">
        <v>483</v>
      </c>
      <c r="B1641" s="24">
        <v>39259</v>
      </c>
      <c r="C1641" s="32">
        <v>16.872407983411094</v>
      </c>
      <c r="D1641" s="1">
        <v>17.399999999999999</v>
      </c>
      <c r="E1641" s="1">
        <v>10.8</v>
      </c>
      <c r="F1641" s="1">
        <v>1.8</v>
      </c>
      <c r="G1641" s="1"/>
      <c r="H1641" s="126">
        <f t="shared" si="25"/>
        <v>1.2957882396636844</v>
      </c>
      <c r="I1641" s="89">
        <v>467.91000000000008</v>
      </c>
      <c r="J1641" s="126">
        <v>84.965625000000003</v>
      </c>
      <c r="K1641" s="34">
        <v>379.03866799204809</v>
      </c>
    </row>
    <row r="1642" spans="1:11" x14ac:dyDescent="0.3">
      <c r="A1642" s="88" t="s">
        <v>483</v>
      </c>
      <c r="B1642" s="24">
        <v>39260</v>
      </c>
      <c r="C1642" s="32">
        <v>14.37669201082887</v>
      </c>
      <c r="D1642" s="1">
        <v>16.399999999999999</v>
      </c>
      <c r="E1642" s="1">
        <v>9.9</v>
      </c>
      <c r="F1642" s="1">
        <v>1</v>
      </c>
      <c r="G1642" s="1"/>
      <c r="H1642" s="126">
        <f t="shared" si="25"/>
        <v>1.2201575987481763</v>
      </c>
      <c r="I1642" s="89">
        <v>535.14</v>
      </c>
      <c r="J1642" s="126">
        <v>79.552083333333314</v>
      </c>
      <c r="K1642" s="34">
        <v>383.48537313432848</v>
      </c>
    </row>
    <row r="1643" spans="1:11" x14ac:dyDescent="0.3">
      <c r="A1643" s="88" t="s">
        <v>483</v>
      </c>
      <c r="B1643" s="24">
        <v>39261</v>
      </c>
      <c r="C1643" s="32">
        <v>15.91480185473187</v>
      </c>
      <c r="D1643" s="1">
        <v>18.3</v>
      </c>
      <c r="E1643" s="1">
        <v>10.9</v>
      </c>
      <c r="F1643" s="1">
        <v>0.88</v>
      </c>
      <c r="G1643" s="1"/>
      <c r="H1643" s="126">
        <f t="shared" si="25"/>
        <v>1.3044407381026226</v>
      </c>
      <c r="I1643" s="89">
        <v>306.36000000000013</v>
      </c>
      <c r="J1643" s="126">
        <v>82.779166666666683</v>
      </c>
      <c r="K1643" s="34">
        <v>386.09497512437906</v>
      </c>
    </row>
    <row r="1644" spans="1:11" x14ac:dyDescent="0.3">
      <c r="A1644" s="88" t="s">
        <v>483</v>
      </c>
      <c r="B1644" s="24">
        <v>39262</v>
      </c>
      <c r="C1644" s="32">
        <v>8.9793574678877945</v>
      </c>
      <c r="D1644" s="1">
        <v>18.2</v>
      </c>
      <c r="E1644" s="1">
        <v>9.1999999999999993</v>
      </c>
      <c r="F1644" s="1">
        <v>2.2999999999999998</v>
      </c>
      <c r="G1644" s="1"/>
      <c r="H1644" s="126">
        <f t="shared" si="25"/>
        <v>1.16404559315309</v>
      </c>
      <c r="I1644" s="89">
        <v>177.21000000000004</v>
      </c>
      <c r="J1644" s="126">
        <v>86.99166666666666</v>
      </c>
      <c r="K1644" s="34">
        <v>391.64437250996014</v>
      </c>
    </row>
    <row r="1645" spans="1:11" x14ac:dyDescent="0.3">
      <c r="A1645" s="88" t="s">
        <v>483</v>
      </c>
      <c r="B1645" s="24">
        <v>39263</v>
      </c>
      <c r="C1645" s="32">
        <v>13.29758510454467</v>
      </c>
      <c r="D1645" s="1">
        <v>19.2</v>
      </c>
      <c r="E1645" s="1">
        <v>12.7</v>
      </c>
      <c r="F1645" s="1">
        <v>3.66</v>
      </c>
      <c r="G1645" s="1"/>
      <c r="H1645" s="126">
        <f t="shared" si="25"/>
        <v>1.4691113294420337</v>
      </c>
      <c r="I1645" s="89">
        <v>276.20999999999998</v>
      </c>
      <c r="J1645" s="126">
        <v>85.731250000000003</v>
      </c>
      <c r="K1645" s="34">
        <v>386.35149551345961</v>
      </c>
    </row>
    <row r="1646" spans="1:11" x14ac:dyDescent="0.3">
      <c r="A1646" s="88" t="s">
        <v>483</v>
      </c>
      <c r="B1646" s="24">
        <v>39264</v>
      </c>
      <c r="C1646" s="32">
        <v>15.03369621565578</v>
      </c>
      <c r="D1646" s="1">
        <v>24.1</v>
      </c>
      <c r="E1646" s="1">
        <v>14.3</v>
      </c>
      <c r="F1646" s="1">
        <v>0.91</v>
      </c>
      <c r="G1646" s="1"/>
      <c r="H1646" s="126">
        <f t="shared" si="25"/>
        <v>1.6305276651269101</v>
      </c>
      <c r="I1646" s="89">
        <v>126.53999999999999</v>
      </c>
      <c r="J1646" s="126">
        <v>85.08541666666666</v>
      </c>
      <c r="K1646" s="34">
        <v>390.66516966067792</v>
      </c>
    </row>
    <row r="1647" spans="1:11" x14ac:dyDescent="0.3">
      <c r="A1647" s="88" t="s">
        <v>483</v>
      </c>
      <c r="B1647" s="24">
        <v>39265</v>
      </c>
      <c r="C1647" s="32">
        <v>10.792869074362077</v>
      </c>
      <c r="D1647" s="1">
        <v>21.7</v>
      </c>
      <c r="E1647" s="1">
        <v>13.8</v>
      </c>
      <c r="F1647" s="1">
        <v>13.305</v>
      </c>
      <c r="G1647" s="1"/>
      <c r="H1647" s="126">
        <f t="shared" si="25"/>
        <v>1.5784913004187435</v>
      </c>
      <c r="I1647" s="89">
        <v>125.18999999999994</v>
      </c>
      <c r="J1647" s="126">
        <v>92.397916666666617</v>
      </c>
      <c r="K1647" s="34">
        <v>397.6312987047321</v>
      </c>
    </row>
    <row r="1648" spans="1:11" x14ac:dyDescent="0.3">
      <c r="A1648" s="88" t="s">
        <v>483</v>
      </c>
      <c r="B1648" s="24">
        <v>39266</v>
      </c>
      <c r="C1648" s="32">
        <v>16.573606071078853</v>
      </c>
      <c r="D1648" s="1">
        <v>20.8</v>
      </c>
      <c r="E1648" s="1">
        <v>12</v>
      </c>
      <c r="F1648" s="1">
        <v>3.81</v>
      </c>
      <c r="G1648" s="1"/>
      <c r="H1648" s="126">
        <f t="shared" si="25"/>
        <v>1.4030231277532583</v>
      </c>
      <c r="I1648" s="89">
        <v>177.12</v>
      </c>
      <c r="J1648" s="126">
        <v>90.579166666666694</v>
      </c>
      <c r="K1648" s="34">
        <v>376.80555312130116</v>
      </c>
    </row>
    <row r="1649" spans="1:11" x14ac:dyDescent="0.3">
      <c r="A1649" s="88" t="s">
        <v>483</v>
      </c>
      <c r="B1649" s="24">
        <v>39267</v>
      </c>
      <c r="C1649" s="32">
        <v>17.97221502217614</v>
      </c>
      <c r="D1649" s="1">
        <v>18.5</v>
      </c>
      <c r="E1649" s="1">
        <v>11.8</v>
      </c>
      <c r="F1649" s="1">
        <v>2.8149999999999999</v>
      </c>
      <c r="G1649" s="1"/>
      <c r="H1649" s="126">
        <f t="shared" si="25"/>
        <v>1.3846270162501679</v>
      </c>
      <c r="I1649" s="89">
        <v>260.73000000000013</v>
      </c>
      <c r="J1649" s="126">
        <v>90.609375</v>
      </c>
      <c r="K1649" s="34">
        <v>373.63887775551024</v>
      </c>
    </row>
    <row r="1650" spans="1:11" x14ac:dyDescent="0.3">
      <c r="A1650" s="88" t="s">
        <v>483</v>
      </c>
      <c r="B1650" s="24">
        <v>39268</v>
      </c>
      <c r="C1650" s="32">
        <v>14.938295605091874</v>
      </c>
      <c r="D1650" s="1">
        <v>19.8</v>
      </c>
      <c r="E1650" s="1">
        <v>12.7</v>
      </c>
      <c r="F1650" s="1">
        <v>0.67</v>
      </c>
      <c r="G1650" s="1"/>
      <c r="H1650" s="126">
        <f t="shared" si="25"/>
        <v>1.4691113294420337</v>
      </c>
      <c r="I1650" s="89">
        <v>358.83000000000004</v>
      </c>
      <c r="J1650" s="126">
        <v>88.739583333333314</v>
      </c>
      <c r="K1650" s="34">
        <v>374.90165496489442</v>
      </c>
    </row>
    <row r="1651" spans="1:11" x14ac:dyDescent="0.3">
      <c r="A1651" s="88" t="s">
        <v>483</v>
      </c>
      <c r="B1651" s="24">
        <v>39269</v>
      </c>
      <c r="C1651" s="32">
        <v>13.158084211738954</v>
      </c>
      <c r="D1651" s="1">
        <v>19</v>
      </c>
      <c r="E1651" s="1">
        <v>12.5</v>
      </c>
      <c r="F1651" s="1">
        <v>0.435</v>
      </c>
      <c r="G1651" s="1"/>
      <c r="H1651" s="126">
        <f t="shared" si="25"/>
        <v>1.4499557420926388</v>
      </c>
      <c r="I1651" s="89">
        <v>425.43000000000018</v>
      </c>
      <c r="J1651" s="126">
        <v>85.518749999999997</v>
      </c>
      <c r="K1651" s="34">
        <v>375.27110552763804</v>
      </c>
    </row>
    <row r="1652" spans="1:11" x14ac:dyDescent="0.3">
      <c r="A1652" s="88" t="s">
        <v>483</v>
      </c>
      <c r="B1652" s="24">
        <v>39270</v>
      </c>
      <c r="C1652" s="32">
        <v>15.05079632509648</v>
      </c>
      <c r="D1652" s="1">
        <v>20.3</v>
      </c>
      <c r="E1652" s="1">
        <v>12.7</v>
      </c>
      <c r="F1652" s="1">
        <v>0.125</v>
      </c>
      <c r="G1652" s="1"/>
      <c r="H1652" s="126">
        <f t="shared" si="25"/>
        <v>1.4691113294420337</v>
      </c>
      <c r="I1652" s="89">
        <v>490.68000000000006</v>
      </c>
      <c r="J1652" s="126">
        <v>82.92916666666666</v>
      </c>
      <c r="K1652" s="34">
        <v>374.2701710261573</v>
      </c>
    </row>
    <row r="1653" spans="1:11" x14ac:dyDescent="0.3">
      <c r="A1653" s="88" t="s">
        <v>483</v>
      </c>
      <c r="B1653" s="24">
        <v>39271</v>
      </c>
      <c r="C1653" s="32">
        <v>24.00315362018317</v>
      </c>
      <c r="D1653" s="1">
        <v>21.9</v>
      </c>
      <c r="E1653" s="1">
        <v>10.7</v>
      </c>
      <c r="F1653" s="1">
        <v>0</v>
      </c>
      <c r="G1653" s="1"/>
      <c r="H1653" s="126">
        <f t="shared" si="25"/>
        <v>1.2871862257172708</v>
      </c>
      <c r="I1653" s="89">
        <v>230.85000000000002</v>
      </c>
      <c r="J1653" s="126">
        <v>78.672916666666666</v>
      </c>
      <c r="K1653" s="34">
        <v>376.04117943548437</v>
      </c>
    </row>
    <row r="1654" spans="1:11" x14ac:dyDescent="0.3">
      <c r="A1654" s="88" t="s">
        <v>483</v>
      </c>
      <c r="B1654" s="24">
        <v>39272</v>
      </c>
      <c r="C1654" s="32">
        <v>5.9310379586429347</v>
      </c>
      <c r="D1654" s="1">
        <v>15.4</v>
      </c>
      <c r="E1654" s="1">
        <v>11.9</v>
      </c>
      <c r="F1654" s="1">
        <v>6.4649999999999999</v>
      </c>
      <c r="G1654" s="1"/>
      <c r="H1654" s="126">
        <f t="shared" si="25"/>
        <v>1.3937984130245886</v>
      </c>
      <c r="I1654" s="89">
        <v>137.25</v>
      </c>
      <c r="J1654" s="126">
        <v>91.079166666666723</v>
      </c>
      <c r="K1654" s="34">
        <v>392.53146464646562</v>
      </c>
    </row>
    <row r="1655" spans="1:11" x14ac:dyDescent="0.3">
      <c r="A1655" s="88" t="s">
        <v>483</v>
      </c>
      <c r="B1655" s="24">
        <v>39273</v>
      </c>
      <c r="C1655" s="32">
        <v>15.619599965439779</v>
      </c>
      <c r="D1655" s="1">
        <v>18.600000000000001</v>
      </c>
      <c r="E1655" s="1">
        <v>10.7</v>
      </c>
      <c r="F1655" s="1">
        <v>3.22</v>
      </c>
      <c r="G1655" s="1"/>
      <c r="H1655" s="126">
        <f t="shared" si="25"/>
        <v>1.2871862257172708</v>
      </c>
      <c r="I1655" s="89">
        <v>162.35999999999999</v>
      </c>
      <c r="J1655" s="126">
        <v>91.304166666666632</v>
      </c>
      <c r="K1655" s="34">
        <v>380.23796764408405</v>
      </c>
    </row>
    <row r="1656" spans="1:11" x14ac:dyDescent="0.3">
      <c r="A1656" s="88" t="s">
        <v>483</v>
      </c>
      <c r="B1656" s="24">
        <v>39274</v>
      </c>
      <c r="C1656" s="32">
        <v>11.376972812626002</v>
      </c>
      <c r="D1656" s="1">
        <v>17.2</v>
      </c>
      <c r="E1656" s="1">
        <v>9.6999999999999993</v>
      </c>
      <c r="F1656" s="1">
        <v>4.3</v>
      </c>
      <c r="G1656" s="1"/>
      <c r="H1656" s="126">
        <f t="shared" si="25"/>
        <v>1.2038879226915637</v>
      </c>
      <c r="I1656" s="89">
        <v>262.70999999999998</v>
      </c>
      <c r="J1656" s="126">
        <v>89.544791666666697</v>
      </c>
      <c r="K1656" s="34">
        <v>376.07336782506206</v>
      </c>
    </row>
    <row r="1657" spans="1:11" x14ac:dyDescent="0.3">
      <c r="A1657" s="88" t="s">
        <v>483</v>
      </c>
      <c r="B1657" s="24">
        <v>39275</v>
      </c>
      <c r="C1657" s="32">
        <v>9.8424629917631474</v>
      </c>
      <c r="D1657" s="1">
        <v>18.8</v>
      </c>
      <c r="E1657" s="1">
        <v>12.8</v>
      </c>
      <c r="F1657" s="1">
        <v>1.86</v>
      </c>
      <c r="G1657" s="1"/>
      <c r="H1657" s="126">
        <f t="shared" si="25"/>
        <v>1.4787721750550831</v>
      </c>
      <c r="I1657" s="89">
        <v>336.23999999999995</v>
      </c>
      <c r="J1657" s="126">
        <v>84.865624999999994</v>
      </c>
      <c r="K1657" s="34">
        <v>377.61622718052655</v>
      </c>
    </row>
    <row r="1658" spans="1:11" x14ac:dyDescent="0.3">
      <c r="A1658" s="88" t="s">
        <v>483</v>
      </c>
      <c r="B1658" s="24">
        <v>39276</v>
      </c>
      <c r="C1658" s="32">
        <v>16.277504176026728</v>
      </c>
      <c r="D1658" s="1">
        <v>23.7</v>
      </c>
      <c r="E1658" s="1">
        <v>14.8</v>
      </c>
      <c r="F1658" s="1">
        <v>3.0350000000000001</v>
      </c>
      <c r="G1658" s="1"/>
      <c r="H1658" s="126">
        <f t="shared" si="25"/>
        <v>1.6840627760776321</v>
      </c>
      <c r="I1658" s="89">
        <v>253.53000000000003</v>
      </c>
      <c r="J1658" s="126">
        <v>83.703125</v>
      </c>
      <c r="K1658" s="34">
        <v>377.85651068158666</v>
      </c>
    </row>
    <row r="1659" spans="1:11" x14ac:dyDescent="0.3">
      <c r="A1659" s="88" t="s">
        <v>483</v>
      </c>
      <c r="B1659" s="24">
        <v>39277</v>
      </c>
      <c r="C1659" s="32">
        <v>25.487263118483956</v>
      </c>
      <c r="D1659" s="1">
        <v>31</v>
      </c>
      <c r="E1659" s="1">
        <v>16.100000000000001</v>
      </c>
      <c r="F1659" s="1">
        <v>1.4999999999999999E-2</v>
      </c>
      <c r="G1659" s="1"/>
      <c r="H1659" s="126">
        <f t="shared" si="25"/>
        <v>1.8305324367134694</v>
      </c>
      <c r="I1659" s="89">
        <v>201.77999999999997</v>
      </c>
      <c r="J1659" s="126">
        <v>74.090625000000003</v>
      </c>
      <c r="K1659" s="34">
        <v>372.40234693877579</v>
      </c>
    </row>
    <row r="1660" spans="1:11" x14ac:dyDescent="0.3">
      <c r="A1660" s="88" t="s">
        <v>483</v>
      </c>
      <c r="B1660" s="24">
        <v>39278</v>
      </c>
      <c r="C1660" s="32">
        <v>24.195754852831062</v>
      </c>
      <c r="D1660" s="1">
        <v>33.9</v>
      </c>
      <c r="E1660" s="1">
        <v>15.9</v>
      </c>
      <c r="F1660" s="1">
        <v>0</v>
      </c>
      <c r="G1660" s="1"/>
      <c r="H1660" s="126">
        <f t="shared" si="25"/>
        <v>1.8072967155190105</v>
      </c>
      <c r="I1660" s="89">
        <v>125.91</v>
      </c>
      <c r="J1660" s="126">
        <v>75.280208333333334</v>
      </c>
      <c r="K1660" s="34">
        <v>402.19734151329192</v>
      </c>
    </row>
    <row r="1661" spans="1:11" x14ac:dyDescent="0.3">
      <c r="A1661" s="88" t="s">
        <v>483</v>
      </c>
      <c r="B1661" s="24">
        <v>39279</v>
      </c>
      <c r="C1661" s="32">
        <v>27.134273659351418</v>
      </c>
      <c r="D1661" s="1">
        <v>34.4</v>
      </c>
      <c r="E1661" s="1">
        <v>20.8</v>
      </c>
      <c r="F1661" s="1">
        <v>5.0000000000000001E-3</v>
      </c>
      <c r="G1661" s="1"/>
      <c r="H1661" s="126">
        <f t="shared" si="25"/>
        <v>2.457420719105694</v>
      </c>
      <c r="I1661" s="89">
        <v>179.91000000000003</v>
      </c>
      <c r="J1661" s="126">
        <v>60.071874999999999</v>
      </c>
      <c r="K1661" s="34">
        <v>378.52802254098344</v>
      </c>
    </row>
    <row r="1662" spans="1:11" x14ac:dyDescent="0.3">
      <c r="A1662" s="88" t="s">
        <v>483</v>
      </c>
      <c r="B1662" s="24">
        <v>39280</v>
      </c>
      <c r="C1662" s="32">
        <v>22.898846552617936</v>
      </c>
      <c r="D1662" s="1">
        <v>25.6</v>
      </c>
      <c r="E1662" s="1">
        <v>15.8</v>
      </c>
      <c r="F1662" s="1">
        <v>4.4999999999999998E-2</v>
      </c>
      <c r="G1662" s="1"/>
      <c r="H1662" s="126">
        <f t="shared" si="25"/>
        <v>1.7957760971031187</v>
      </c>
      <c r="I1662" s="89">
        <v>273.60000000000002</v>
      </c>
      <c r="J1662" s="126">
        <v>70.484375</v>
      </c>
      <c r="K1662" s="34">
        <v>375.90779676660253</v>
      </c>
    </row>
    <row r="1663" spans="1:11" x14ac:dyDescent="0.3">
      <c r="A1663" s="88" t="s">
        <v>483</v>
      </c>
      <c r="B1663" s="24">
        <v>39281</v>
      </c>
      <c r="C1663" s="32">
        <v>22.248142388111283</v>
      </c>
      <c r="D1663" s="1">
        <v>26.6</v>
      </c>
      <c r="E1663" s="1">
        <v>13.8</v>
      </c>
      <c r="F1663" s="1">
        <v>0</v>
      </c>
      <c r="G1663" s="1"/>
      <c r="H1663" s="126">
        <f t="shared" si="25"/>
        <v>1.5784913004187435</v>
      </c>
      <c r="I1663" s="89">
        <v>167.58000000000004</v>
      </c>
      <c r="J1663" s="126">
        <v>72.382291666666674</v>
      </c>
      <c r="K1663" s="34">
        <v>393.42997356957216</v>
      </c>
    </row>
    <row r="1664" spans="1:11" x14ac:dyDescent="0.3">
      <c r="A1664" s="88" t="s">
        <v>483</v>
      </c>
      <c r="B1664" s="24">
        <v>39282</v>
      </c>
      <c r="C1664" s="32">
        <v>16.55470595011808</v>
      </c>
      <c r="D1664" s="1">
        <v>23.9</v>
      </c>
      <c r="E1664" s="1">
        <v>12.4</v>
      </c>
      <c r="F1664" s="1">
        <v>1.4999999999999999E-2</v>
      </c>
      <c r="G1664" s="1"/>
      <c r="H1664" s="126">
        <f t="shared" si="25"/>
        <v>1.4404604588486194</v>
      </c>
      <c r="I1664" s="89">
        <v>97.29000000000002</v>
      </c>
      <c r="J1664" s="126">
        <v>77.895833333333357</v>
      </c>
      <c r="K1664" s="34">
        <v>394.45773993808052</v>
      </c>
    </row>
    <row r="1665" spans="1:11" x14ac:dyDescent="0.3">
      <c r="A1665" s="88" t="s">
        <v>483</v>
      </c>
      <c r="B1665" s="24">
        <v>39283</v>
      </c>
      <c r="C1665" s="32">
        <v>20.165529059385982</v>
      </c>
      <c r="D1665" s="1">
        <v>27</v>
      </c>
      <c r="E1665" s="1">
        <v>16</v>
      </c>
      <c r="F1665" s="1">
        <v>0.26500000000000001</v>
      </c>
      <c r="G1665" s="1"/>
      <c r="H1665" s="126">
        <f t="shared" si="25"/>
        <v>1.8188820592283421</v>
      </c>
      <c r="I1665" s="89">
        <v>233.28000000000003</v>
      </c>
      <c r="J1665" s="126">
        <v>76.389583333333334</v>
      </c>
      <c r="K1665" s="34">
        <v>383.3831920604382</v>
      </c>
    </row>
    <row r="1666" spans="1:11" x14ac:dyDescent="0.3">
      <c r="A1666" s="88" t="s">
        <v>483</v>
      </c>
      <c r="B1666" s="24">
        <v>39284</v>
      </c>
      <c r="C1666" s="32">
        <v>21.122235182305168</v>
      </c>
      <c r="D1666" s="1">
        <v>24.3</v>
      </c>
      <c r="E1666" s="1">
        <v>16.100000000000001</v>
      </c>
      <c r="F1666" s="1">
        <v>1.875</v>
      </c>
      <c r="G1666" s="1"/>
      <c r="H1666" s="126">
        <f t="shared" si="25"/>
        <v>1.8305324367134694</v>
      </c>
      <c r="I1666" s="89">
        <v>174.78000000000003</v>
      </c>
      <c r="J1666" s="126">
        <v>77.78854166666666</v>
      </c>
      <c r="K1666" s="34">
        <v>374.39595015576145</v>
      </c>
    </row>
    <row r="1667" spans="1:11" x14ac:dyDescent="0.3">
      <c r="A1667" s="88" t="s">
        <v>483</v>
      </c>
      <c r="B1667" s="24">
        <v>39285</v>
      </c>
      <c r="C1667" s="32">
        <v>16.172203502102416</v>
      </c>
      <c r="D1667" s="1">
        <v>21.6</v>
      </c>
      <c r="E1667" s="1">
        <v>13.1</v>
      </c>
      <c r="F1667" s="1">
        <v>11.33</v>
      </c>
      <c r="G1667" s="1"/>
      <c r="H1667" s="126">
        <f t="shared" si="25"/>
        <v>1.5080901913058991</v>
      </c>
      <c r="I1667" s="89">
        <v>222.93000000000006</v>
      </c>
      <c r="J1667" s="126">
        <v>87.45</v>
      </c>
      <c r="K1667" s="34">
        <v>378.71451612903195</v>
      </c>
    </row>
    <row r="1668" spans="1:11" x14ac:dyDescent="0.3">
      <c r="A1668" s="88" t="s">
        <v>483</v>
      </c>
      <c r="B1668" s="24">
        <v>39286</v>
      </c>
      <c r="C1668" s="32">
        <v>16.897608144692125</v>
      </c>
      <c r="D1668" s="1">
        <v>22</v>
      </c>
      <c r="E1668" s="1">
        <v>11.6</v>
      </c>
      <c r="F1668" s="1">
        <v>0.58499999999999996</v>
      </c>
      <c r="G1668" s="1"/>
      <c r="H1668" s="126">
        <f t="shared" ref="H1668:H1731" si="26">0.611*EXP((17.27*E1668)/(E1668+237.3))</f>
        <v>1.3664431264636057</v>
      </c>
      <c r="I1668" s="89">
        <v>112.95000000000002</v>
      </c>
      <c r="J1668" s="126">
        <v>81.21770833333332</v>
      </c>
      <c r="K1668" s="34">
        <v>377.14175283923885</v>
      </c>
    </row>
    <row r="1669" spans="1:11" x14ac:dyDescent="0.3">
      <c r="A1669" s="88" t="s">
        <v>483</v>
      </c>
      <c r="B1669" s="24">
        <v>39287</v>
      </c>
      <c r="C1669" s="32">
        <v>9.1836587754161627</v>
      </c>
      <c r="D1669" s="1">
        <v>19.5</v>
      </c>
      <c r="E1669" s="1">
        <v>12.4</v>
      </c>
      <c r="F1669" s="1">
        <v>9.1150000000000002</v>
      </c>
      <c r="G1669" s="1"/>
      <c r="H1669" s="126">
        <f t="shared" si="26"/>
        <v>1.4404604588486194</v>
      </c>
      <c r="I1669" s="89">
        <v>379.71</v>
      </c>
      <c r="J1669" s="126">
        <v>88.661458333333329</v>
      </c>
      <c r="K1669" s="34">
        <v>367.66464435146264</v>
      </c>
    </row>
    <row r="1670" spans="1:11" x14ac:dyDescent="0.3">
      <c r="A1670" s="88" t="s">
        <v>483</v>
      </c>
      <c r="B1670" s="24">
        <v>39288</v>
      </c>
      <c r="C1670" s="32">
        <v>20.098928633143252</v>
      </c>
      <c r="D1670" s="1">
        <v>22.7</v>
      </c>
      <c r="E1670" s="1">
        <v>13.3</v>
      </c>
      <c r="F1670" s="1">
        <v>0</v>
      </c>
      <c r="G1670" s="1"/>
      <c r="H1670" s="126">
        <f t="shared" si="26"/>
        <v>1.5279178496783383</v>
      </c>
      <c r="I1670" s="89">
        <v>397.26000000000005</v>
      </c>
      <c r="J1670" s="126">
        <v>73.363541666666706</v>
      </c>
      <c r="K1670" s="34">
        <v>371.83399790136343</v>
      </c>
    </row>
    <row r="1671" spans="1:11" x14ac:dyDescent="0.3">
      <c r="A1671" s="88" t="s">
        <v>483</v>
      </c>
      <c r="B1671" s="24">
        <v>39289</v>
      </c>
      <c r="C1671" s="32">
        <v>19.405924197914867</v>
      </c>
      <c r="D1671" s="1">
        <v>26.6</v>
      </c>
      <c r="E1671" s="1">
        <v>14</v>
      </c>
      <c r="F1671" s="1">
        <v>0</v>
      </c>
      <c r="G1671" s="1"/>
      <c r="H1671" s="126">
        <f t="shared" si="26"/>
        <v>1.5991283056791965</v>
      </c>
      <c r="I1671" s="89">
        <v>176.13</v>
      </c>
      <c r="J1671" s="126">
        <v>62.692708333333314</v>
      </c>
      <c r="K1671" s="34">
        <v>373.17989473684213</v>
      </c>
    </row>
    <row r="1672" spans="1:11" x14ac:dyDescent="0.3">
      <c r="A1672" s="88" t="s">
        <v>483</v>
      </c>
      <c r="B1672" s="24">
        <v>39290</v>
      </c>
      <c r="C1672" s="32">
        <v>19.835226945452451</v>
      </c>
      <c r="D1672" s="1">
        <v>22.6</v>
      </c>
      <c r="E1672" s="1">
        <v>14.5</v>
      </c>
      <c r="F1672" s="1">
        <v>1.41</v>
      </c>
      <c r="G1672" s="1"/>
      <c r="H1672" s="126">
        <f t="shared" si="26"/>
        <v>1.6517598297933815</v>
      </c>
      <c r="I1672" s="89">
        <v>366.39</v>
      </c>
      <c r="J1672" s="126">
        <v>65.486458333333331</v>
      </c>
      <c r="K1672" s="34">
        <v>368.89321345962821</v>
      </c>
    </row>
    <row r="1673" spans="1:11" x14ac:dyDescent="0.3">
      <c r="A1673" s="88" t="s">
        <v>483</v>
      </c>
      <c r="B1673" s="24">
        <v>39291</v>
      </c>
      <c r="C1673" s="32">
        <v>8.6031550601923854</v>
      </c>
      <c r="D1673" s="1">
        <v>20.6</v>
      </c>
      <c r="E1673" s="1">
        <v>13.3</v>
      </c>
      <c r="F1673" s="1">
        <v>5.4450000000000003</v>
      </c>
      <c r="G1673" s="1"/>
      <c r="H1673" s="126">
        <f t="shared" si="26"/>
        <v>1.5279178496783383</v>
      </c>
      <c r="I1673" s="89">
        <v>204.39000000000004</v>
      </c>
      <c r="J1673" s="126">
        <v>81.237499999999997</v>
      </c>
      <c r="K1673" s="34">
        <v>378.67055084745755</v>
      </c>
    </row>
    <row r="1674" spans="1:11" x14ac:dyDescent="0.3">
      <c r="A1674" s="88" t="s">
        <v>483</v>
      </c>
      <c r="B1674" s="24">
        <v>39292</v>
      </c>
      <c r="C1674" s="32">
        <v>4.7988307125165601</v>
      </c>
      <c r="D1674" s="1">
        <v>15.7</v>
      </c>
      <c r="E1674" s="1">
        <v>11.4</v>
      </c>
      <c r="F1674" s="1">
        <v>6.2750000000000004</v>
      </c>
      <c r="G1674" s="1"/>
      <c r="H1674" s="126">
        <f t="shared" si="26"/>
        <v>1.3484693686655054</v>
      </c>
      <c r="I1674" s="89">
        <v>184.95</v>
      </c>
      <c r="J1674" s="126">
        <v>88.905208333333334</v>
      </c>
      <c r="K1674" s="34">
        <v>377.9105207226346</v>
      </c>
    </row>
    <row r="1675" spans="1:11" x14ac:dyDescent="0.3">
      <c r="A1675" s="88" t="s">
        <v>483</v>
      </c>
      <c r="B1675" s="24">
        <v>39293</v>
      </c>
      <c r="C1675" s="32">
        <v>15.469299003513623</v>
      </c>
      <c r="D1675" s="1">
        <v>15.6</v>
      </c>
      <c r="E1675" s="1">
        <v>9.6999999999999993</v>
      </c>
      <c r="F1675" s="1">
        <v>1.5149999999999999</v>
      </c>
      <c r="G1675" s="1"/>
      <c r="H1675" s="126">
        <f t="shared" si="26"/>
        <v>1.2038879226915637</v>
      </c>
      <c r="I1675" s="89">
        <v>488.88000000000022</v>
      </c>
      <c r="J1675" s="126">
        <v>80.242708333333312</v>
      </c>
      <c r="K1675" s="34">
        <v>368.59333688699297</v>
      </c>
    </row>
    <row r="1676" spans="1:11" x14ac:dyDescent="0.3">
      <c r="A1676" s="88" t="s">
        <v>483</v>
      </c>
      <c r="B1676" s="24">
        <v>39294</v>
      </c>
      <c r="C1676" s="32">
        <v>16.1011030470595</v>
      </c>
      <c r="D1676" s="1">
        <v>17.8</v>
      </c>
      <c r="E1676" s="1">
        <v>11.1</v>
      </c>
      <c r="F1676" s="1">
        <v>2.5000000000000001E-2</v>
      </c>
      <c r="G1676" s="1"/>
      <c r="H1676" s="126">
        <f t="shared" si="26"/>
        <v>1.3218981992116727</v>
      </c>
      <c r="I1676" s="89">
        <v>399.77999999999986</v>
      </c>
      <c r="J1676" s="126">
        <v>74.792708333333351</v>
      </c>
      <c r="K1676" s="34">
        <v>369.85770053475881</v>
      </c>
    </row>
    <row r="1677" spans="1:11" x14ac:dyDescent="0.3">
      <c r="A1677" s="88" t="s">
        <v>483</v>
      </c>
      <c r="B1677" s="24">
        <v>39295</v>
      </c>
      <c r="C1677" s="32">
        <v>25.223561430793158</v>
      </c>
      <c r="D1677" s="1">
        <v>21.7</v>
      </c>
      <c r="E1677" s="1">
        <v>9.1999999999999993</v>
      </c>
      <c r="F1677" s="1">
        <v>5.0000000000000001E-3</v>
      </c>
      <c r="G1677" s="1"/>
      <c r="H1677" s="126">
        <f t="shared" si="26"/>
        <v>1.16404559315309</v>
      </c>
      <c r="I1677" s="89">
        <v>159.30000000000001</v>
      </c>
      <c r="J1677" s="126">
        <v>69.235416666666666</v>
      </c>
      <c r="K1677" s="34">
        <v>371.98893662728244</v>
      </c>
    </row>
    <row r="1678" spans="1:11" x14ac:dyDescent="0.3">
      <c r="A1678" s="88" t="s">
        <v>483</v>
      </c>
      <c r="B1678" s="24">
        <v>39296</v>
      </c>
      <c r="C1678" s="32">
        <v>6.8283437013996888</v>
      </c>
      <c r="D1678" s="1">
        <v>19.8</v>
      </c>
      <c r="E1678" s="1">
        <v>13</v>
      </c>
      <c r="F1678" s="1">
        <v>10.15</v>
      </c>
      <c r="G1678" s="1"/>
      <c r="H1678" s="126">
        <f t="shared" si="26"/>
        <v>1.498261331998219</v>
      </c>
      <c r="I1678" s="89">
        <v>206.18999999999997</v>
      </c>
      <c r="J1678" s="126">
        <v>78.494791666666643</v>
      </c>
      <c r="K1678" s="34">
        <v>378.93872718808274</v>
      </c>
    </row>
    <row r="1679" spans="1:11" x14ac:dyDescent="0.3">
      <c r="A1679" s="88" t="s">
        <v>483</v>
      </c>
      <c r="B1679" s="24">
        <v>39297</v>
      </c>
      <c r="C1679" s="32">
        <v>20.070128448822071</v>
      </c>
      <c r="D1679" s="1">
        <v>20.9</v>
      </c>
      <c r="E1679" s="1">
        <v>13</v>
      </c>
      <c r="F1679" s="1">
        <v>5.0000000000000001E-3</v>
      </c>
      <c r="G1679" s="1"/>
      <c r="H1679" s="126">
        <f t="shared" si="26"/>
        <v>1.498261331998219</v>
      </c>
      <c r="I1679" s="89">
        <v>287.45999999999992</v>
      </c>
      <c r="J1679" s="126">
        <v>76.351041666666688</v>
      </c>
      <c r="K1679" s="34">
        <v>374.12603769469911</v>
      </c>
    </row>
    <row r="1680" spans="1:11" x14ac:dyDescent="0.3">
      <c r="A1680" s="88" t="s">
        <v>483</v>
      </c>
      <c r="B1680" s="24">
        <v>39298</v>
      </c>
      <c r="C1680" s="32">
        <v>21.846739819134843</v>
      </c>
      <c r="D1680" s="1">
        <v>24.4</v>
      </c>
      <c r="E1680" s="1">
        <v>11.2</v>
      </c>
      <c r="F1680" s="1">
        <v>5.0000000000000001E-3</v>
      </c>
      <c r="G1680" s="1"/>
      <c r="H1680" s="126">
        <f t="shared" si="26"/>
        <v>1.3307036698161701</v>
      </c>
      <c r="I1680" s="89">
        <v>175.05000000000007</v>
      </c>
      <c r="J1680" s="126">
        <v>68.840625000000003</v>
      </c>
      <c r="K1680" s="34">
        <v>376.85732899022742</v>
      </c>
    </row>
    <row r="1681" spans="1:11" x14ac:dyDescent="0.3">
      <c r="A1681" s="88" t="s">
        <v>483</v>
      </c>
      <c r="B1681" s="24">
        <v>39299</v>
      </c>
      <c r="C1681" s="32">
        <v>24.961659754622431</v>
      </c>
      <c r="D1681" s="1">
        <v>27.1</v>
      </c>
      <c r="E1681" s="1">
        <v>15.2</v>
      </c>
      <c r="F1681" s="1">
        <v>0</v>
      </c>
      <c r="G1681" s="1"/>
      <c r="H1681" s="126">
        <f t="shared" si="26"/>
        <v>1.7279944907780873</v>
      </c>
      <c r="I1681" s="89">
        <v>247.49999999999994</v>
      </c>
      <c r="J1681" s="126">
        <v>59.798958333333353</v>
      </c>
      <c r="K1681" s="34">
        <v>380.41403699673555</v>
      </c>
    </row>
    <row r="1682" spans="1:11" x14ac:dyDescent="0.3">
      <c r="A1682" s="88" t="s">
        <v>483</v>
      </c>
      <c r="B1682" s="24">
        <v>39300</v>
      </c>
      <c r="C1682" s="32">
        <v>25.737464719774209</v>
      </c>
      <c r="D1682" s="1">
        <v>28.3</v>
      </c>
      <c r="E1682" s="1">
        <v>16.5</v>
      </c>
      <c r="F1682" s="1">
        <v>0</v>
      </c>
      <c r="G1682" s="1"/>
      <c r="H1682" s="126">
        <f t="shared" si="26"/>
        <v>1.8777904954698514</v>
      </c>
      <c r="I1682" s="89">
        <v>264.06</v>
      </c>
      <c r="J1682" s="126">
        <v>52.613541666666684</v>
      </c>
      <c r="K1682" s="34">
        <v>378.09349726775923</v>
      </c>
    </row>
    <row r="1683" spans="1:11" x14ac:dyDescent="0.3">
      <c r="A1683" s="88" t="s">
        <v>483</v>
      </c>
      <c r="B1683" s="24">
        <v>39301</v>
      </c>
      <c r="C1683" s="32">
        <v>20.454430908357814</v>
      </c>
      <c r="D1683" s="1">
        <v>25.9</v>
      </c>
      <c r="E1683" s="1">
        <v>14.2</v>
      </c>
      <c r="F1683" s="1">
        <v>5.0000000000000001E-3</v>
      </c>
      <c r="G1683" s="1"/>
      <c r="H1683" s="126">
        <f t="shared" si="26"/>
        <v>1.6200016491976139</v>
      </c>
      <c r="I1683" s="89">
        <v>218.70000000000002</v>
      </c>
      <c r="J1683" s="126">
        <v>77.432291666666714</v>
      </c>
      <c r="K1683" s="34">
        <v>394.6525219298253</v>
      </c>
    </row>
    <row r="1684" spans="1:11" x14ac:dyDescent="0.3">
      <c r="A1684" s="88" t="s">
        <v>483</v>
      </c>
      <c r="B1684" s="24">
        <v>39302</v>
      </c>
      <c r="C1684" s="32">
        <v>5.0949326075686887</v>
      </c>
      <c r="D1684" s="1">
        <v>18.3</v>
      </c>
      <c r="E1684" s="1">
        <v>15.2</v>
      </c>
      <c r="F1684" s="1">
        <v>0</v>
      </c>
      <c r="G1684" s="1"/>
      <c r="H1684" s="126">
        <f t="shared" si="26"/>
        <v>1.7279944907780873</v>
      </c>
      <c r="I1684" s="89">
        <v>260.09999999999997</v>
      </c>
      <c r="J1684" s="126">
        <v>92.329166666666652</v>
      </c>
      <c r="K1684" s="34">
        <v>377.05545154184978</v>
      </c>
    </row>
    <row r="1685" spans="1:11" x14ac:dyDescent="0.3">
      <c r="A1685" s="88" t="s">
        <v>483</v>
      </c>
      <c r="B1685" s="24">
        <v>39303</v>
      </c>
      <c r="C1685" s="32">
        <v>19.886527273774551</v>
      </c>
      <c r="D1685" s="1">
        <v>28.8</v>
      </c>
      <c r="E1685" s="1">
        <v>16.2</v>
      </c>
      <c r="F1685" s="1">
        <v>5.0000000000000001E-3</v>
      </c>
      <c r="G1685" s="1"/>
      <c r="H1685" s="126">
        <f t="shared" si="26"/>
        <v>1.842248157637969</v>
      </c>
      <c r="I1685" s="89">
        <v>230.94000000000011</v>
      </c>
      <c r="J1685" s="126">
        <v>80.322916666666657</v>
      </c>
      <c r="K1685" s="34">
        <v>371.87112831858366</v>
      </c>
    </row>
    <row r="1686" spans="1:11" x14ac:dyDescent="0.3">
      <c r="A1686" s="88" t="s">
        <v>483</v>
      </c>
      <c r="B1686" s="24">
        <v>39304</v>
      </c>
      <c r="C1686" s="32">
        <v>4.7907306606762283</v>
      </c>
      <c r="D1686" s="1">
        <v>21.1</v>
      </c>
      <c r="E1686" s="1">
        <v>16</v>
      </c>
      <c r="F1686" s="1">
        <v>13.484999999999999</v>
      </c>
      <c r="G1686" s="1"/>
      <c r="H1686" s="126">
        <f t="shared" si="26"/>
        <v>1.8188820592283421</v>
      </c>
      <c r="I1686" s="89">
        <v>222.92999999999995</v>
      </c>
      <c r="J1686" s="126">
        <v>93.946875000000006</v>
      </c>
      <c r="K1686" s="34">
        <v>387.78568257491781</v>
      </c>
    </row>
    <row r="1687" spans="1:11" x14ac:dyDescent="0.3">
      <c r="A1687" s="88" t="s">
        <v>483</v>
      </c>
      <c r="B1687" s="24">
        <v>39305</v>
      </c>
      <c r="C1687" s="32">
        <v>7.2144461724555038</v>
      </c>
      <c r="D1687" s="1">
        <v>20.9</v>
      </c>
      <c r="E1687" s="1">
        <v>14.6</v>
      </c>
      <c r="F1687" s="1">
        <v>9.2100000000000009</v>
      </c>
      <c r="G1687" s="1"/>
      <c r="H1687" s="126">
        <f t="shared" si="26"/>
        <v>1.6624665597000106</v>
      </c>
      <c r="I1687" s="89">
        <v>389.70000000000005</v>
      </c>
      <c r="J1687" s="126">
        <v>85.261458333333323</v>
      </c>
      <c r="K1687" s="34">
        <v>367.44836272196852</v>
      </c>
    </row>
    <row r="1688" spans="1:11" x14ac:dyDescent="0.3">
      <c r="A1688" s="88" t="s">
        <v>483</v>
      </c>
      <c r="B1688" s="24">
        <v>39306</v>
      </c>
      <c r="C1688" s="32">
        <v>19.65162577040493</v>
      </c>
      <c r="D1688" s="1">
        <v>22.3</v>
      </c>
      <c r="E1688" s="1">
        <v>11.6</v>
      </c>
      <c r="F1688" s="1">
        <v>0</v>
      </c>
      <c r="G1688" s="1"/>
      <c r="H1688" s="126">
        <f t="shared" si="26"/>
        <v>1.3664431264636057</v>
      </c>
      <c r="I1688" s="89">
        <v>181.71</v>
      </c>
      <c r="J1688" s="126">
        <v>78.419791666666711</v>
      </c>
      <c r="K1688" s="34">
        <v>368.77402015677512</v>
      </c>
    </row>
    <row r="1689" spans="1:11" x14ac:dyDescent="0.3">
      <c r="A1689" s="88" t="s">
        <v>483</v>
      </c>
      <c r="B1689" s="24">
        <v>39307</v>
      </c>
      <c r="C1689" s="32">
        <v>11.019253681118297</v>
      </c>
      <c r="D1689" s="1">
        <v>22.6</v>
      </c>
      <c r="E1689" s="1">
        <v>12.1</v>
      </c>
      <c r="F1689" s="1">
        <v>0</v>
      </c>
      <c r="G1689" s="1"/>
      <c r="H1689" s="126">
        <f t="shared" si="26"/>
        <v>1.4123014242757443</v>
      </c>
      <c r="I1689" s="89">
        <v>153.97389473684211</v>
      </c>
      <c r="J1689" s="126">
        <v>75.538947368421034</v>
      </c>
      <c r="K1689" s="34">
        <v>384.15280898876404</v>
      </c>
    </row>
    <row r="1690" spans="1:11" x14ac:dyDescent="0.3">
      <c r="A1690" s="88" t="s">
        <v>483</v>
      </c>
      <c r="B1690" s="24">
        <v>39308</v>
      </c>
      <c r="C1690" s="32">
        <v>23.027547376303207</v>
      </c>
      <c r="D1690" s="1">
        <v>24.7</v>
      </c>
      <c r="E1690" s="1">
        <v>11.4</v>
      </c>
      <c r="F1690" s="1">
        <v>0</v>
      </c>
      <c r="G1690" s="1"/>
      <c r="H1690" s="126">
        <f t="shared" si="26"/>
        <v>1.3484693686655054</v>
      </c>
      <c r="I1690" s="89">
        <v>129.32999999999998</v>
      </c>
      <c r="J1690" s="126">
        <v>65.970833333333346</v>
      </c>
      <c r="K1690" s="34">
        <v>373.56259887005592</v>
      </c>
    </row>
    <row r="1691" spans="1:11" x14ac:dyDescent="0.3">
      <c r="A1691" s="88" t="s">
        <v>483</v>
      </c>
      <c r="B1691" s="24">
        <v>39309</v>
      </c>
      <c r="C1691" s="32">
        <v>12.507380047232301</v>
      </c>
      <c r="D1691" s="1">
        <v>26.6</v>
      </c>
      <c r="E1691" s="1">
        <v>18.100000000000001</v>
      </c>
      <c r="F1691" s="1">
        <v>0.68</v>
      </c>
      <c r="G1691" s="1"/>
      <c r="H1691" s="126">
        <f t="shared" si="26"/>
        <v>2.0776827112717497</v>
      </c>
      <c r="I1691" s="89">
        <v>246.51</v>
      </c>
      <c r="J1691" s="126">
        <v>71.752083333333317</v>
      </c>
      <c r="K1691" s="34">
        <v>369.56111111111034</v>
      </c>
    </row>
    <row r="1692" spans="1:11" x14ac:dyDescent="0.3">
      <c r="A1692" s="88" t="s">
        <v>483</v>
      </c>
      <c r="B1692" s="24">
        <v>39310</v>
      </c>
      <c r="C1692" s="32">
        <v>13.36958556534762</v>
      </c>
      <c r="D1692" s="1">
        <v>21.4</v>
      </c>
      <c r="E1692" s="1">
        <v>13</v>
      </c>
      <c r="F1692" s="1">
        <v>6.45</v>
      </c>
      <c r="G1692" s="1"/>
      <c r="H1692" s="126">
        <f t="shared" si="26"/>
        <v>1.498261331998219</v>
      </c>
      <c r="I1692" s="89">
        <v>299.88000000000017</v>
      </c>
      <c r="J1692" s="126">
        <v>76.447916666666671</v>
      </c>
      <c r="K1692" s="34">
        <v>370.32408883826861</v>
      </c>
    </row>
    <row r="1693" spans="1:11" x14ac:dyDescent="0.3">
      <c r="A1693" s="88" t="s">
        <v>483</v>
      </c>
      <c r="B1693" s="24">
        <v>39311</v>
      </c>
      <c r="C1693" s="32">
        <v>14.767294510684868</v>
      </c>
      <c r="D1693" s="1">
        <v>19.899999999999999</v>
      </c>
      <c r="E1693" s="1">
        <v>11.8</v>
      </c>
      <c r="F1693" s="1">
        <v>2.0950000000000002</v>
      </c>
      <c r="G1693" s="1"/>
      <c r="H1693" s="126">
        <f t="shared" si="26"/>
        <v>1.3846270162501679</v>
      </c>
      <c r="I1693" s="89">
        <v>223.92000000000002</v>
      </c>
      <c r="J1693" s="126">
        <v>76.23645833333336</v>
      </c>
      <c r="K1693" s="34">
        <v>394.34446666666707</v>
      </c>
    </row>
    <row r="1694" spans="1:11" x14ac:dyDescent="0.3">
      <c r="A1694" s="88" t="s">
        <v>483</v>
      </c>
      <c r="B1694" s="24">
        <v>39312</v>
      </c>
      <c r="C1694" s="32">
        <v>18.280916997868786</v>
      </c>
      <c r="D1694" s="1">
        <v>20.5</v>
      </c>
      <c r="E1694" s="1">
        <v>10.3</v>
      </c>
      <c r="F1694" s="1">
        <v>0</v>
      </c>
      <c r="G1694" s="1"/>
      <c r="H1694" s="126">
        <f t="shared" si="26"/>
        <v>1.2532780017936267</v>
      </c>
      <c r="I1694" s="89">
        <v>115.55999999999999</v>
      </c>
      <c r="J1694" s="126">
        <v>77.186458333333363</v>
      </c>
      <c r="K1694" s="34"/>
    </row>
    <row r="1695" spans="1:11" x14ac:dyDescent="0.3">
      <c r="A1695" s="88" t="s">
        <v>483</v>
      </c>
      <c r="B1695" s="24">
        <v>39313</v>
      </c>
      <c r="C1695" s="32">
        <v>15.210997350383044</v>
      </c>
      <c r="D1695" s="1">
        <v>24.2</v>
      </c>
      <c r="E1695" s="1">
        <v>11.6</v>
      </c>
      <c r="F1695" s="1">
        <v>9.125</v>
      </c>
      <c r="G1695" s="1"/>
      <c r="H1695" s="126">
        <f t="shared" si="26"/>
        <v>1.3664431264636057</v>
      </c>
      <c r="I1695" s="89">
        <v>127.52999999999997</v>
      </c>
      <c r="J1695" s="126">
        <v>69.506249999999994</v>
      </c>
      <c r="K1695" s="34"/>
    </row>
    <row r="1696" spans="1:11" x14ac:dyDescent="0.3">
      <c r="A1696" s="88" t="s">
        <v>483</v>
      </c>
      <c r="B1696" s="24">
        <v>39314</v>
      </c>
      <c r="C1696" s="32">
        <v>19.716426185127585</v>
      </c>
      <c r="D1696" s="1">
        <v>22.2</v>
      </c>
      <c r="E1696" s="1">
        <v>12.9</v>
      </c>
      <c r="F1696" s="1">
        <v>7.0000000000000007E-2</v>
      </c>
      <c r="G1696" s="1"/>
      <c r="H1696" s="126">
        <f t="shared" si="26"/>
        <v>1.4884887514247067</v>
      </c>
      <c r="I1696" s="89">
        <v>139.67999999999998</v>
      </c>
      <c r="J1696" s="126">
        <v>77.417708333333351</v>
      </c>
      <c r="K1696" s="34"/>
    </row>
    <row r="1697" spans="1:11" x14ac:dyDescent="0.3">
      <c r="A1697" s="88" t="s">
        <v>483</v>
      </c>
      <c r="B1697" s="24">
        <v>39315</v>
      </c>
      <c r="C1697" s="32">
        <v>2.598316629226427</v>
      </c>
      <c r="D1697" s="1">
        <v>19</v>
      </c>
      <c r="E1697" s="1">
        <v>13.7</v>
      </c>
      <c r="F1697" s="1">
        <v>26.785</v>
      </c>
      <c r="G1697" s="1"/>
      <c r="H1697" s="126">
        <f t="shared" si="26"/>
        <v>1.568260711501982</v>
      </c>
      <c r="I1697" s="89">
        <v>277.64999999999998</v>
      </c>
      <c r="J1697" s="126">
        <v>92.772916666666632</v>
      </c>
      <c r="K1697" s="34"/>
    </row>
    <row r="1698" spans="1:11" x14ac:dyDescent="0.3">
      <c r="A1698" s="88" t="s">
        <v>483</v>
      </c>
      <c r="B1698" s="24">
        <v>39316</v>
      </c>
      <c r="C1698" s="32">
        <v>14.491892748113587</v>
      </c>
      <c r="D1698" s="1">
        <v>22.9</v>
      </c>
      <c r="E1698" s="1">
        <v>14.7</v>
      </c>
      <c r="F1698" s="1">
        <v>1.51</v>
      </c>
      <c r="G1698" s="1"/>
      <c r="H1698" s="126">
        <f t="shared" si="26"/>
        <v>1.673234110655023</v>
      </c>
      <c r="I1698" s="89">
        <v>130.76999999999992</v>
      </c>
      <c r="J1698" s="126">
        <v>82.37708333333336</v>
      </c>
      <c r="K1698" s="34"/>
    </row>
    <row r="1699" spans="1:11" x14ac:dyDescent="0.3">
      <c r="A1699" s="88" t="s">
        <v>483</v>
      </c>
      <c r="B1699" s="24">
        <v>39317</v>
      </c>
      <c r="C1699" s="32">
        <v>11.087170957894131</v>
      </c>
      <c r="D1699" s="1">
        <v>22.7</v>
      </c>
      <c r="E1699" s="1">
        <v>12.9</v>
      </c>
      <c r="F1699" s="1">
        <v>17.524999999999999</v>
      </c>
      <c r="G1699" s="1"/>
      <c r="H1699" s="126">
        <f t="shared" si="26"/>
        <v>1.4884887514247067</v>
      </c>
      <c r="I1699" s="89">
        <v>111.32999999999996</v>
      </c>
      <c r="J1699" s="126">
        <v>90.47083333333336</v>
      </c>
      <c r="K1699" s="34"/>
    </row>
    <row r="1700" spans="1:11" x14ac:dyDescent="0.3">
      <c r="A1700" s="88" t="s">
        <v>483</v>
      </c>
      <c r="B1700" s="24">
        <v>39318</v>
      </c>
      <c r="C1700" s="32">
        <v>15.988602327054894</v>
      </c>
      <c r="D1700" s="1">
        <v>24</v>
      </c>
      <c r="E1700" s="1">
        <v>15.5</v>
      </c>
      <c r="F1700" s="1">
        <v>6.7350000000000003</v>
      </c>
      <c r="G1700" s="1"/>
      <c r="H1700" s="126">
        <f t="shared" si="26"/>
        <v>1.7615995264429876</v>
      </c>
      <c r="I1700" s="89">
        <v>133.02000000000001</v>
      </c>
      <c r="J1700" s="126">
        <v>84.880208333333343</v>
      </c>
      <c r="K1700" s="34"/>
    </row>
    <row r="1701" spans="1:11" x14ac:dyDescent="0.3">
      <c r="A1701" s="88" t="s">
        <v>483</v>
      </c>
      <c r="B1701" s="24">
        <v>39319</v>
      </c>
      <c r="C1701" s="32">
        <v>14.09229019065722</v>
      </c>
      <c r="D1701" s="1">
        <v>23.8</v>
      </c>
      <c r="E1701" s="1">
        <v>14.5</v>
      </c>
      <c r="F1701" s="1">
        <v>0</v>
      </c>
      <c r="G1701" s="1"/>
      <c r="H1701" s="126">
        <f t="shared" si="26"/>
        <v>1.6517598297933815</v>
      </c>
      <c r="I1701" s="89">
        <v>212.04000000000011</v>
      </c>
      <c r="J1701" s="126">
        <v>82.792708333333337</v>
      </c>
      <c r="K1701" s="34"/>
    </row>
    <row r="1702" spans="1:11" x14ac:dyDescent="0.3">
      <c r="A1702" s="88" t="s">
        <v>483</v>
      </c>
      <c r="B1702" s="24">
        <v>39320</v>
      </c>
      <c r="C1702" s="32">
        <v>14.145390530499395</v>
      </c>
      <c r="D1702" s="1">
        <v>22.6</v>
      </c>
      <c r="E1702" s="1">
        <v>13.3</v>
      </c>
      <c r="F1702" s="1">
        <v>0</v>
      </c>
      <c r="G1702" s="1"/>
      <c r="H1702" s="126">
        <f t="shared" si="26"/>
        <v>1.5279178496783383</v>
      </c>
      <c r="I1702" s="89">
        <v>284.31</v>
      </c>
      <c r="J1702" s="126">
        <v>78.408333333333317</v>
      </c>
      <c r="K1702" s="34"/>
    </row>
    <row r="1703" spans="1:11" x14ac:dyDescent="0.3">
      <c r="A1703" s="88" t="s">
        <v>483</v>
      </c>
      <c r="B1703" s="24">
        <v>39321</v>
      </c>
      <c r="C1703" s="32">
        <v>12.922282702609296</v>
      </c>
      <c r="D1703" s="1">
        <v>17.7</v>
      </c>
      <c r="E1703" s="1">
        <v>12.3</v>
      </c>
      <c r="F1703" s="1">
        <v>0</v>
      </c>
      <c r="G1703" s="1"/>
      <c r="H1703" s="126">
        <f t="shared" si="26"/>
        <v>1.4310198233396516</v>
      </c>
      <c r="I1703" s="89">
        <v>232.82999999999998</v>
      </c>
      <c r="J1703" s="126">
        <v>72.619791666666671</v>
      </c>
      <c r="K1703" s="34">
        <v>367.07924528301891</v>
      </c>
    </row>
    <row r="1704" spans="1:11" x14ac:dyDescent="0.3">
      <c r="A1704" s="88" t="s">
        <v>483</v>
      </c>
      <c r="B1704" s="24">
        <v>39322</v>
      </c>
      <c r="C1704" s="32">
        <v>15.322598064627615</v>
      </c>
      <c r="D1704" s="1">
        <v>17.399999999999999</v>
      </c>
      <c r="E1704" s="1">
        <v>8.5</v>
      </c>
      <c r="F1704" s="1">
        <v>5.0000000000000001E-3</v>
      </c>
      <c r="G1704" s="1"/>
      <c r="H1704" s="126">
        <f t="shared" si="26"/>
        <v>1.110216300480029</v>
      </c>
      <c r="I1704" s="89">
        <v>184.58999999999986</v>
      </c>
      <c r="J1704" s="126">
        <v>76.0677083333333</v>
      </c>
      <c r="K1704" s="34">
        <v>371.62737094837917</v>
      </c>
    </row>
    <row r="1705" spans="1:11" x14ac:dyDescent="0.3">
      <c r="A1705" s="88" t="s">
        <v>483</v>
      </c>
      <c r="B1705" s="24">
        <v>39323</v>
      </c>
      <c r="C1705" s="32">
        <v>16.947108461494153</v>
      </c>
      <c r="D1705" s="1">
        <v>17</v>
      </c>
      <c r="E1705" s="1">
        <v>6.2</v>
      </c>
      <c r="F1705" s="1">
        <v>0.01</v>
      </c>
      <c r="G1705" s="1"/>
      <c r="H1705" s="126">
        <f t="shared" si="26"/>
        <v>0.94844700173703456</v>
      </c>
      <c r="I1705" s="89">
        <v>99.990000000000009</v>
      </c>
      <c r="J1705" s="126">
        <v>79.668750000000003</v>
      </c>
      <c r="K1705" s="34">
        <v>391.58710156853715</v>
      </c>
    </row>
    <row r="1706" spans="1:11" x14ac:dyDescent="0.3">
      <c r="A1706" s="88" t="s">
        <v>483</v>
      </c>
      <c r="B1706" s="24">
        <v>39324</v>
      </c>
      <c r="C1706" s="32">
        <v>12.034877023212948</v>
      </c>
      <c r="D1706" s="1">
        <v>17.2</v>
      </c>
      <c r="E1706" s="1">
        <v>7.5</v>
      </c>
      <c r="F1706" s="1">
        <v>1.895</v>
      </c>
      <c r="G1706" s="1"/>
      <c r="H1706" s="126">
        <f t="shared" si="26"/>
        <v>1.0371194102680934</v>
      </c>
      <c r="I1706" s="89">
        <v>313.46999999999997</v>
      </c>
      <c r="J1706" s="126">
        <v>81.789583333333368</v>
      </c>
      <c r="K1706" s="34">
        <v>372.75842424242296</v>
      </c>
    </row>
    <row r="1707" spans="1:11" x14ac:dyDescent="0.3">
      <c r="A1707" s="88" t="s">
        <v>483</v>
      </c>
      <c r="B1707" s="24">
        <v>39325</v>
      </c>
      <c r="C1707" s="32">
        <v>6.6564426012326487</v>
      </c>
      <c r="D1707" s="1">
        <v>17.899999999999999</v>
      </c>
      <c r="E1707" s="1">
        <v>12.9</v>
      </c>
      <c r="F1707" s="1">
        <v>6.9</v>
      </c>
      <c r="G1707" s="1"/>
      <c r="H1707" s="126">
        <f t="shared" si="26"/>
        <v>1.4884887514247067</v>
      </c>
      <c r="I1707" s="89">
        <v>326.15999999999997</v>
      </c>
      <c r="J1707" s="126">
        <v>88.835416666666674</v>
      </c>
      <c r="K1707" s="34">
        <v>372.14129346965331</v>
      </c>
    </row>
    <row r="1708" spans="1:11" x14ac:dyDescent="0.3">
      <c r="A1708" s="88" t="s">
        <v>483</v>
      </c>
      <c r="B1708" s="24">
        <v>39326</v>
      </c>
      <c r="C1708" s="32">
        <v>13.792588272564943</v>
      </c>
      <c r="D1708" s="1">
        <v>19.399999999999999</v>
      </c>
      <c r="E1708" s="1">
        <v>12.4</v>
      </c>
      <c r="F1708" s="1">
        <v>0.27500000000000002</v>
      </c>
      <c r="G1708" s="1"/>
      <c r="H1708" s="126">
        <f t="shared" si="26"/>
        <v>1.4404604588486194</v>
      </c>
      <c r="I1708" s="89">
        <v>260.45999999999992</v>
      </c>
      <c r="J1708" s="126">
        <v>84.496875000000003</v>
      </c>
      <c r="K1708" s="34">
        <v>372.30385556915559</v>
      </c>
    </row>
    <row r="1709" spans="1:11" x14ac:dyDescent="0.3">
      <c r="A1709" s="88" t="s">
        <v>483</v>
      </c>
      <c r="B1709" s="24">
        <v>39327</v>
      </c>
      <c r="C1709" s="32">
        <v>12.027676977132655</v>
      </c>
      <c r="D1709" s="1">
        <v>19.8</v>
      </c>
      <c r="E1709" s="1">
        <v>12.4</v>
      </c>
      <c r="F1709" s="1">
        <v>0</v>
      </c>
      <c r="G1709" s="1"/>
      <c r="H1709" s="126">
        <f t="shared" si="26"/>
        <v>1.4404604588486194</v>
      </c>
      <c r="I1709" s="89">
        <v>270.08999999999997</v>
      </c>
      <c r="J1709" s="126">
        <v>79.896874999999994</v>
      </c>
      <c r="K1709" s="34">
        <v>375.38173431734344</v>
      </c>
    </row>
    <row r="1710" spans="1:11" x14ac:dyDescent="0.3">
      <c r="A1710" s="88" t="s">
        <v>483</v>
      </c>
      <c r="B1710" s="24">
        <v>39328</v>
      </c>
      <c r="C1710" s="32">
        <v>9.2439591613386316</v>
      </c>
      <c r="D1710" s="1">
        <v>16.3</v>
      </c>
      <c r="E1710" s="1">
        <v>10.5</v>
      </c>
      <c r="F1710" s="1">
        <v>17.989999999999998</v>
      </c>
      <c r="G1710" s="1"/>
      <c r="H1710" s="126">
        <f t="shared" si="26"/>
        <v>1.2701326466613394</v>
      </c>
      <c r="I1710" s="89">
        <v>287.28000000000003</v>
      </c>
      <c r="J1710" s="126">
        <v>84.140625</v>
      </c>
      <c r="K1710" s="34">
        <v>366.21440049443675</v>
      </c>
    </row>
    <row r="1711" spans="1:11" x14ac:dyDescent="0.3">
      <c r="A1711" s="88" t="s">
        <v>483</v>
      </c>
      <c r="B1711" s="24">
        <v>39329</v>
      </c>
      <c r="C1711" s="32">
        <v>17.287310638788089</v>
      </c>
      <c r="D1711" s="1">
        <v>16.100000000000001</v>
      </c>
      <c r="E1711" s="1">
        <v>8.4</v>
      </c>
      <c r="F1711" s="1">
        <v>0.52</v>
      </c>
      <c r="G1711" s="1"/>
      <c r="H1711" s="126">
        <f t="shared" si="26"/>
        <v>1.1027080638918816</v>
      </c>
      <c r="I1711" s="89">
        <v>434.87999999999994</v>
      </c>
      <c r="J1711" s="126">
        <v>72.838541666666686</v>
      </c>
      <c r="K1711" s="34">
        <v>366.80105590062112</v>
      </c>
    </row>
    <row r="1712" spans="1:11" x14ac:dyDescent="0.3">
      <c r="A1712" s="88" t="s">
        <v>483</v>
      </c>
      <c r="B1712" s="24">
        <v>39330</v>
      </c>
      <c r="C1712" s="32">
        <v>14.77269454524509</v>
      </c>
      <c r="D1712" s="1">
        <v>17.100000000000001</v>
      </c>
      <c r="E1712" s="1">
        <v>7.6</v>
      </c>
      <c r="F1712" s="1">
        <v>0</v>
      </c>
      <c r="G1712" s="1"/>
      <c r="H1712" s="126">
        <f t="shared" si="26"/>
        <v>1.0442332464842816</v>
      </c>
      <c r="I1712" s="89">
        <v>233.19</v>
      </c>
      <c r="J1712" s="126">
        <v>74.755208333333329</v>
      </c>
      <c r="K1712" s="34">
        <v>373.90037453183515</v>
      </c>
    </row>
    <row r="1713" spans="1:11" x14ac:dyDescent="0.3">
      <c r="A1713" s="88" t="s">
        <v>483</v>
      </c>
      <c r="B1713" s="24">
        <v>39331</v>
      </c>
      <c r="C1713" s="32">
        <v>10.578667703473302</v>
      </c>
      <c r="D1713" s="1">
        <v>19.8</v>
      </c>
      <c r="E1713" s="1">
        <v>10.3</v>
      </c>
      <c r="F1713" s="1">
        <v>0.495</v>
      </c>
      <c r="G1713" s="1"/>
      <c r="H1713" s="126">
        <f t="shared" si="26"/>
        <v>1.2532780017936267</v>
      </c>
      <c r="I1713" s="89">
        <v>242.28000000000006</v>
      </c>
      <c r="J1713" s="126">
        <v>81.402083333333309</v>
      </c>
      <c r="K1713" s="34">
        <v>381.43883312421519</v>
      </c>
    </row>
    <row r="1714" spans="1:11" x14ac:dyDescent="0.3">
      <c r="A1714" s="88" t="s">
        <v>483</v>
      </c>
      <c r="B1714" s="24">
        <v>39332</v>
      </c>
      <c r="C1714" s="32">
        <v>6.96874459996544</v>
      </c>
      <c r="D1714" s="1">
        <v>17.5</v>
      </c>
      <c r="E1714" s="1">
        <v>12.9</v>
      </c>
      <c r="F1714" s="1">
        <v>0.03</v>
      </c>
      <c r="G1714" s="1"/>
      <c r="H1714" s="126">
        <f t="shared" si="26"/>
        <v>1.4884887514247067</v>
      </c>
      <c r="I1714" s="89">
        <v>325.79999999999995</v>
      </c>
      <c r="J1714" s="126">
        <v>83.777083333333337</v>
      </c>
      <c r="K1714" s="34">
        <v>374.15145018915416</v>
      </c>
    </row>
    <row r="1715" spans="1:11" x14ac:dyDescent="0.3">
      <c r="A1715" s="88" t="s">
        <v>483</v>
      </c>
      <c r="B1715" s="24">
        <v>39333</v>
      </c>
      <c r="C1715" s="32">
        <v>5.7375367202350098</v>
      </c>
      <c r="D1715" s="1">
        <v>17.8</v>
      </c>
      <c r="E1715" s="1">
        <v>13.1</v>
      </c>
      <c r="F1715" s="1">
        <v>1.835</v>
      </c>
      <c r="G1715" s="1"/>
      <c r="H1715" s="126">
        <f t="shared" si="26"/>
        <v>1.5080901913058991</v>
      </c>
      <c r="I1715" s="89">
        <v>371.33999999999992</v>
      </c>
      <c r="J1715" s="126">
        <v>89.909374999999997</v>
      </c>
      <c r="K1715" s="34">
        <v>375.27981012658165</v>
      </c>
    </row>
    <row r="1716" spans="1:11" x14ac:dyDescent="0.3">
      <c r="A1716" s="88" t="s">
        <v>483</v>
      </c>
      <c r="B1716" s="24">
        <v>39334</v>
      </c>
      <c r="C1716" s="32">
        <v>11.220371810379588</v>
      </c>
      <c r="D1716" s="1">
        <v>17</v>
      </c>
      <c r="E1716" s="1">
        <v>11.8</v>
      </c>
      <c r="F1716" s="1">
        <v>0.16</v>
      </c>
      <c r="G1716" s="1"/>
      <c r="H1716" s="126">
        <f t="shared" si="26"/>
        <v>1.3846270162501679</v>
      </c>
      <c r="I1716" s="89">
        <v>390.06000000000017</v>
      </c>
      <c r="J1716" s="126">
        <v>81.541666666666643</v>
      </c>
      <c r="K1716" s="34">
        <v>365.16081424936374</v>
      </c>
    </row>
    <row r="1717" spans="1:11" x14ac:dyDescent="0.3">
      <c r="A1717" s="88" t="s">
        <v>483</v>
      </c>
      <c r="B1717" s="24">
        <v>39335</v>
      </c>
      <c r="C1717" s="32">
        <v>5.2551336328552498</v>
      </c>
      <c r="D1717" s="1">
        <v>15.3</v>
      </c>
      <c r="E1717" s="1">
        <v>11.2</v>
      </c>
      <c r="F1717" s="1">
        <v>13.164999999999999</v>
      </c>
      <c r="G1717" s="1"/>
      <c r="H1717" s="126">
        <f t="shared" si="26"/>
        <v>1.3307036698161701</v>
      </c>
      <c r="I1717" s="89">
        <v>366.20999999999992</v>
      </c>
      <c r="J1717" s="126">
        <v>85.751041666666666</v>
      </c>
      <c r="K1717" s="34">
        <v>371.03860435339254</v>
      </c>
    </row>
    <row r="1718" spans="1:11" x14ac:dyDescent="0.3">
      <c r="A1718" s="88" t="s">
        <v>483</v>
      </c>
      <c r="B1718" s="24">
        <v>39336</v>
      </c>
      <c r="C1718" s="32">
        <v>12.398479350267841</v>
      </c>
      <c r="D1718" s="1">
        <v>17.600000000000001</v>
      </c>
      <c r="E1718" s="1">
        <v>11.2</v>
      </c>
      <c r="F1718" s="1">
        <v>1.5049999999999999</v>
      </c>
      <c r="G1718" s="1"/>
      <c r="H1718" s="126">
        <f t="shared" si="26"/>
        <v>1.3307036698161701</v>
      </c>
      <c r="I1718" s="89">
        <v>325.98</v>
      </c>
      <c r="J1718" s="126">
        <v>82.163541666666688</v>
      </c>
      <c r="K1718" s="34">
        <v>369.01739106145249</v>
      </c>
    </row>
    <row r="1719" spans="1:11" x14ac:dyDescent="0.3">
      <c r="A1719" s="88" t="s">
        <v>483</v>
      </c>
      <c r="B1719" s="24">
        <v>39337</v>
      </c>
      <c r="C1719" s="32">
        <v>9.6156615402338588</v>
      </c>
      <c r="D1719" s="1">
        <v>16.399999999999999</v>
      </c>
      <c r="E1719" s="1">
        <v>11.6</v>
      </c>
      <c r="F1719" s="1">
        <v>0.33</v>
      </c>
      <c r="G1719" s="1"/>
      <c r="H1719" s="126">
        <f t="shared" si="26"/>
        <v>1.3664431264636057</v>
      </c>
      <c r="I1719" s="89">
        <v>282.14999999999998</v>
      </c>
      <c r="J1719" s="126">
        <v>82.214583333333323</v>
      </c>
      <c r="K1719" s="34">
        <v>375.42477360931468</v>
      </c>
    </row>
    <row r="1720" spans="1:11" x14ac:dyDescent="0.3">
      <c r="A1720" s="88" t="s">
        <v>483</v>
      </c>
      <c r="B1720" s="24">
        <v>39338</v>
      </c>
      <c r="C1720" s="32">
        <v>7.2297462703761299</v>
      </c>
      <c r="D1720" s="1">
        <v>14.7</v>
      </c>
      <c r="E1720" s="1">
        <v>9.1999999999999993</v>
      </c>
      <c r="F1720" s="1">
        <v>0</v>
      </c>
      <c r="G1720" s="1"/>
      <c r="H1720" s="126">
        <f t="shared" si="26"/>
        <v>1.16404559315309</v>
      </c>
      <c r="I1720" s="89">
        <v>164.16</v>
      </c>
      <c r="J1720" s="126">
        <v>75.040625000000006</v>
      </c>
      <c r="K1720" s="34">
        <v>373.8652795838758</v>
      </c>
    </row>
    <row r="1721" spans="1:11" x14ac:dyDescent="0.3">
      <c r="A1721" s="88" t="s">
        <v>483</v>
      </c>
      <c r="B1721" s="24">
        <v>39339</v>
      </c>
      <c r="C1721" s="32">
        <v>14.939195610851909</v>
      </c>
      <c r="D1721" s="1">
        <v>19</v>
      </c>
      <c r="E1721" s="1">
        <v>6.5</v>
      </c>
      <c r="F1721" s="1">
        <v>0.32500000000000001</v>
      </c>
      <c r="G1721" s="1"/>
      <c r="H1721" s="126">
        <f t="shared" si="26"/>
        <v>0.96829408068935052</v>
      </c>
      <c r="I1721" s="89">
        <v>246.78000000000003</v>
      </c>
      <c r="J1721" s="126">
        <v>79.105208333333323</v>
      </c>
      <c r="K1721" s="34">
        <v>382.84320261437887</v>
      </c>
    </row>
    <row r="1722" spans="1:11" x14ac:dyDescent="0.3">
      <c r="A1722" s="88" t="s">
        <v>483</v>
      </c>
      <c r="B1722" s="24">
        <v>39340</v>
      </c>
      <c r="C1722" s="32">
        <v>13.448786072230863</v>
      </c>
      <c r="D1722" s="1">
        <v>16.100000000000001</v>
      </c>
      <c r="E1722" s="1">
        <v>8.8000000000000007</v>
      </c>
      <c r="F1722" s="1">
        <v>0</v>
      </c>
      <c r="G1722" s="1"/>
      <c r="H1722" s="126">
        <f t="shared" si="26"/>
        <v>1.1330116523877718</v>
      </c>
      <c r="I1722" s="89">
        <v>369.27000000000021</v>
      </c>
      <c r="J1722" s="126">
        <v>70.535416666666677</v>
      </c>
      <c r="K1722" s="34">
        <v>371.16202365308777</v>
      </c>
    </row>
    <row r="1723" spans="1:11" x14ac:dyDescent="0.3">
      <c r="A1723" s="88" t="s">
        <v>483</v>
      </c>
      <c r="B1723" s="24">
        <v>39341</v>
      </c>
      <c r="C1723" s="32">
        <v>16.643806520361728</v>
      </c>
      <c r="D1723" s="1">
        <v>20.6</v>
      </c>
      <c r="E1723" s="1">
        <v>8</v>
      </c>
      <c r="F1723" s="1">
        <v>0</v>
      </c>
      <c r="G1723" s="1"/>
      <c r="H1723" s="126">
        <f t="shared" si="26"/>
        <v>1.0731200926872433</v>
      </c>
      <c r="I1723" s="89">
        <v>203.31</v>
      </c>
      <c r="J1723" s="126">
        <v>69.944791666666717</v>
      </c>
      <c r="K1723" s="34">
        <v>369.81294583883755</v>
      </c>
    </row>
    <row r="1724" spans="1:11" x14ac:dyDescent="0.3">
      <c r="A1724" s="88" t="s">
        <v>483</v>
      </c>
      <c r="B1724" s="24">
        <v>39342</v>
      </c>
      <c r="C1724" s="32">
        <v>9.5742612752721623</v>
      </c>
      <c r="D1724" s="1">
        <v>21.6</v>
      </c>
      <c r="E1724" s="1">
        <v>12</v>
      </c>
      <c r="F1724" s="1">
        <v>2.1749999999999998</v>
      </c>
      <c r="G1724" s="1"/>
      <c r="H1724" s="126">
        <f t="shared" si="26"/>
        <v>1.4030231277532583</v>
      </c>
      <c r="I1724" s="89">
        <v>218.07</v>
      </c>
      <c r="J1724" s="126">
        <v>75.36041666666668</v>
      </c>
      <c r="K1724" s="34">
        <v>371.86107856135322</v>
      </c>
    </row>
    <row r="1725" spans="1:11" x14ac:dyDescent="0.3">
      <c r="A1725" s="88" t="s">
        <v>483</v>
      </c>
      <c r="B1725" s="24">
        <v>39343</v>
      </c>
      <c r="C1725" s="32">
        <v>7.0020448130868038</v>
      </c>
      <c r="D1725" s="1">
        <v>13.7</v>
      </c>
      <c r="E1725" s="1">
        <v>7.2</v>
      </c>
      <c r="F1725" s="1">
        <v>6.3449999999999998</v>
      </c>
      <c r="G1725" s="1"/>
      <c r="H1725" s="126">
        <f t="shared" si="26"/>
        <v>1.0160332727272676</v>
      </c>
      <c r="I1725" s="89">
        <v>300.51</v>
      </c>
      <c r="J1725" s="126">
        <v>84.735416666666694</v>
      </c>
      <c r="K1725" s="34">
        <v>370.4981975967948</v>
      </c>
    </row>
    <row r="1726" spans="1:11" x14ac:dyDescent="0.3">
      <c r="A1726" s="88" t="s">
        <v>483</v>
      </c>
      <c r="B1726" s="24">
        <v>39344</v>
      </c>
      <c r="C1726" s="32">
        <v>12.825982086285352</v>
      </c>
      <c r="D1726" s="1">
        <v>15</v>
      </c>
      <c r="E1726" s="1">
        <v>6.3</v>
      </c>
      <c r="F1726" s="1">
        <v>0</v>
      </c>
      <c r="G1726" s="1"/>
      <c r="H1726" s="126">
        <f t="shared" si="26"/>
        <v>0.95502249025252561</v>
      </c>
      <c r="I1726" s="89">
        <v>269.45999999999998</v>
      </c>
      <c r="J1726" s="126">
        <v>71.596874999999997</v>
      </c>
      <c r="K1726" s="34">
        <v>374.83054478932002</v>
      </c>
    </row>
    <row r="1727" spans="1:11" x14ac:dyDescent="0.3">
      <c r="A1727" s="88" t="s">
        <v>483</v>
      </c>
      <c r="B1727" s="24">
        <v>39345</v>
      </c>
      <c r="C1727" s="32">
        <v>11.593874200794886</v>
      </c>
      <c r="D1727" s="1">
        <v>18.5</v>
      </c>
      <c r="E1727" s="1">
        <v>8.9</v>
      </c>
      <c r="F1727" s="1">
        <v>0</v>
      </c>
      <c r="G1727" s="1"/>
      <c r="H1727" s="126">
        <f t="shared" si="26"/>
        <v>1.1407010860938473</v>
      </c>
      <c r="I1727" s="89">
        <v>252.09</v>
      </c>
      <c r="J1727" s="126">
        <v>69.161458333333314</v>
      </c>
      <c r="K1727" s="34">
        <v>372.8601889338733</v>
      </c>
    </row>
    <row r="1728" spans="1:11" x14ac:dyDescent="0.3">
      <c r="A1728" s="88" t="s">
        <v>483</v>
      </c>
      <c r="B1728" s="24">
        <v>39346</v>
      </c>
      <c r="C1728" s="32">
        <v>11.496673578710904</v>
      </c>
      <c r="D1728" s="1">
        <v>19.100000000000001</v>
      </c>
      <c r="E1728" s="1">
        <v>12.6</v>
      </c>
      <c r="F1728" s="1">
        <v>0</v>
      </c>
      <c r="G1728" s="1"/>
      <c r="H1728" s="126">
        <f t="shared" si="26"/>
        <v>1.4595059422181114</v>
      </c>
      <c r="I1728" s="89">
        <v>168.75</v>
      </c>
      <c r="J1728" s="126">
        <v>66.742708333333326</v>
      </c>
      <c r="K1728" s="34">
        <v>373.69179104477598</v>
      </c>
    </row>
    <row r="1729" spans="1:11" x14ac:dyDescent="0.3">
      <c r="A1729" s="88" t="s">
        <v>483</v>
      </c>
      <c r="B1729" s="24">
        <v>39347</v>
      </c>
      <c r="C1729" s="32">
        <v>13.930289153850584</v>
      </c>
      <c r="D1729" s="1">
        <v>20.6</v>
      </c>
      <c r="E1729" s="1">
        <v>10.1</v>
      </c>
      <c r="F1729" s="1">
        <v>0</v>
      </c>
      <c r="G1729" s="1"/>
      <c r="H1729" s="126">
        <f t="shared" si="26"/>
        <v>1.2366203081300822</v>
      </c>
      <c r="I1729" s="89">
        <v>151.92000000000004</v>
      </c>
      <c r="J1729" s="126">
        <v>74.5</v>
      </c>
      <c r="K1729" s="34">
        <v>380.43321964529343</v>
      </c>
    </row>
    <row r="1730" spans="1:11" x14ac:dyDescent="0.3">
      <c r="A1730" s="88" t="s">
        <v>483</v>
      </c>
      <c r="B1730" s="24">
        <v>39348</v>
      </c>
      <c r="C1730" s="32">
        <v>14.811394792926675</v>
      </c>
      <c r="D1730" s="1">
        <v>23.5</v>
      </c>
      <c r="E1730" s="1">
        <v>7.8</v>
      </c>
      <c r="F1730" s="1">
        <v>0</v>
      </c>
      <c r="G1730" s="1"/>
      <c r="H1730" s="126">
        <f t="shared" si="26"/>
        <v>1.0585899253295545</v>
      </c>
      <c r="I1730" s="89">
        <v>79.020000000000039</v>
      </c>
      <c r="J1730" s="126">
        <v>76.452083333333334</v>
      </c>
      <c r="K1730" s="34">
        <v>398.73326474622729</v>
      </c>
    </row>
    <row r="1731" spans="1:11" x14ac:dyDescent="0.3">
      <c r="A1731" s="88" t="s">
        <v>483</v>
      </c>
      <c r="B1731" s="24">
        <v>39349</v>
      </c>
      <c r="C1731" s="32">
        <v>13.686387592880594</v>
      </c>
      <c r="D1731" s="1">
        <v>24.1</v>
      </c>
      <c r="E1731" s="1">
        <v>13.2</v>
      </c>
      <c r="F1731" s="1">
        <v>6.5000000000000002E-2</v>
      </c>
      <c r="G1731" s="1"/>
      <c r="H1731" s="126">
        <f t="shared" si="26"/>
        <v>1.5179756049640964</v>
      </c>
      <c r="I1731" s="89">
        <v>219.51</v>
      </c>
      <c r="J1731" s="126">
        <v>67.365624999999994</v>
      </c>
      <c r="K1731" s="34">
        <v>382.10800000000023</v>
      </c>
    </row>
    <row r="1732" spans="1:11" x14ac:dyDescent="0.3">
      <c r="A1732" s="88" t="s">
        <v>483</v>
      </c>
      <c r="B1732" s="24">
        <v>39350</v>
      </c>
      <c r="C1732" s="32">
        <v>9.9036633834456538</v>
      </c>
      <c r="D1732" s="1">
        <v>16</v>
      </c>
      <c r="E1732" s="1">
        <v>9.6</v>
      </c>
      <c r="F1732" s="1">
        <v>5.125</v>
      </c>
      <c r="G1732" s="1"/>
      <c r="H1732" s="126">
        <f t="shared" ref="H1732:H1795" si="27">0.611*EXP((17.27*E1732)/(E1732+237.3))</f>
        <v>1.1958248668287446</v>
      </c>
      <c r="I1732" s="89">
        <v>204.39000000000004</v>
      </c>
      <c r="J1732" s="126">
        <v>77.837500000000006</v>
      </c>
      <c r="K1732" s="34">
        <v>372.57468793342616</v>
      </c>
    </row>
    <row r="1733" spans="1:11" x14ac:dyDescent="0.3">
      <c r="A1733" s="88" t="s">
        <v>483</v>
      </c>
      <c r="B1733" s="24">
        <v>39351</v>
      </c>
      <c r="C1733" s="32">
        <v>9.1467585392546518</v>
      </c>
      <c r="D1733" s="1">
        <v>15.2</v>
      </c>
      <c r="E1733" s="1">
        <v>8.3000000000000007</v>
      </c>
      <c r="F1733" s="1">
        <v>0</v>
      </c>
      <c r="G1733" s="1"/>
      <c r="H1733" s="126">
        <f t="shared" si="27"/>
        <v>1.0952445521994474</v>
      </c>
      <c r="I1733" s="89">
        <v>116.01000000000002</v>
      </c>
      <c r="J1733" s="126">
        <v>80.674999999999997</v>
      </c>
      <c r="K1733" s="34">
        <v>377.82489539749014</v>
      </c>
    </row>
    <row r="1734" spans="1:11" x14ac:dyDescent="0.3">
      <c r="A1734" s="88" t="s">
        <v>483</v>
      </c>
      <c r="B1734" s="24">
        <v>39352</v>
      </c>
      <c r="C1734" s="32">
        <v>4.3497278382581648</v>
      </c>
      <c r="D1734" s="1">
        <v>14.7</v>
      </c>
      <c r="E1734" s="1">
        <v>9.1</v>
      </c>
      <c r="F1734" s="131">
        <v>18.829999999999998</v>
      </c>
      <c r="G1734" s="131"/>
      <c r="H1734" s="126">
        <f t="shared" si="27"/>
        <v>1.156217822409108</v>
      </c>
      <c r="I1734" s="89">
        <v>342.18000000000006</v>
      </c>
      <c r="J1734" s="126">
        <v>87.984375</v>
      </c>
      <c r="K1734" s="34">
        <v>384.38141654978955</v>
      </c>
    </row>
    <row r="1735" spans="1:11" x14ac:dyDescent="0.3">
      <c r="A1735" s="88" t="s">
        <v>483</v>
      </c>
      <c r="B1735" s="24">
        <v>39353</v>
      </c>
      <c r="C1735" s="32">
        <v>4.0860261505673634</v>
      </c>
      <c r="D1735" s="1">
        <v>15.9</v>
      </c>
      <c r="E1735" s="1">
        <v>12.9</v>
      </c>
      <c r="F1735" s="1">
        <v>15.365</v>
      </c>
      <c r="G1735" s="1"/>
      <c r="H1735" s="126">
        <f t="shared" si="27"/>
        <v>1.4884887514247067</v>
      </c>
      <c r="I1735" s="89">
        <v>268.2</v>
      </c>
      <c r="J1735" s="126">
        <v>90.622916666666697</v>
      </c>
      <c r="K1735" s="34">
        <v>385.17672778561382</v>
      </c>
    </row>
    <row r="1736" spans="1:11" x14ac:dyDescent="0.3">
      <c r="A1736" s="88" t="s">
        <v>483</v>
      </c>
      <c r="B1736" s="24">
        <v>39354</v>
      </c>
      <c r="C1736" s="32">
        <v>1.8639119290363459</v>
      </c>
      <c r="D1736" s="1">
        <v>12.9</v>
      </c>
      <c r="E1736" s="1">
        <v>11.7</v>
      </c>
      <c r="F1736" s="1">
        <v>26.85</v>
      </c>
      <c r="G1736" s="1"/>
      <c r="H1736" s="126">
        <f t="shared" si="27"/>
        <v>1.3755086746426002</v>
      </c>
      <c r="I1736" s="89">
        <v>227.25</v>
      </c>
      <c r="J1736" s="126">
        <v>96.690625000000054</v>
      </c>
      <c r="K1736" s="34">
        <v>381.07517730496568</v>
      </c>
    </row>
    <row r="1737" spans="1:11" x14ac:dyDescent="0.3">
      <c r="A1737" s="88" t="s">
        <v>483</v>
      </c>
      <c r="B1737" s="24">
        <v>39355</v>
      </c>
      <c r="C1737" s="32">
        <v>5.8347373423189905</v>
      </c>
      <c r="D1737" s="1">
        <v>14.8</v>
      </c>
      <c r="E1737" s="1">
        <v>10.9</v>
      </c>
      <c r="F1737" s="1">
        <v>0.33500000000000002</v>
      </c>
      <c r="G1737" s="1"/>
      <c r="H1737" s="126">
        <f t="shared" si="27"/>
        <v>1.3044407381026226</v>
      </c>
      <c r="I1737" s="89">
        <v>233.01</v>
      </c>
      <c r="J1737" s="126">
        <v>85.506249999999994</v>
      </c>
      <c r="K1737" s="34">
        <v>380.66069900142747</v>
      </c>
    </row>
    <row r="1738" spans="1:11" x14ac:dyDescent="0.3">
      <c r="A1738" s="88" t="s">
        <v>483</v>
      </c>
      <c r="B1738" s="24">
        <v>39356</v>
      </c>
      <c r="C1738" s="32">
        <v>8.5041544265883307</v>
      </c>
      <c r="D1738" s="1">
        <v>16.3</v>
      </c>
      <c r="E1738" s="1">
        <v>8.6</v>
      </c>
      <c r="F1738" s="1">
        <v>4.5599999999999996</v>
      </c>
      <c r="G1738" s="1"/>
      <c r="H1738" s="126">
        <f t="shared" si="27"/>
        <v>1.117769490765057</v>
      </c>
      <c r="I1738" s="89">
        <v>136.07999999999998</v>
      </c>
      <c r="J1738" s="126">
        <v>89.519791666666677</v>
      </c>
      <c r="K1738" s="34">
        <v>404.27195121951263</v>
      </c>
    </row>
    <row r="1739" spans="1:11" x14ac:dyDescent="0.3">
      <c r="A1739" s="88" t="s">
        <v>483</v>
      </c>
      <c r="B1739" s="24">
        <v>39357</v>
      </c>
      <c r="C1739" s="32">
        <v>2.1519137722481423</v>
      </c>
      <c r="D1739" s="1">
        <v>13.9</v>
      </c>
      <c r="E1739" s="1">
        <v>11.9</v>
      </c>
      <c r="F1739" s="1">
        <v>3.5000000000000003E-2</v>
      </c>
      <c r="G1739" s="1"/>
      <c r="H1739" s="126">
        <f t="shared" si="27"/>
        <v>1.3937984130245886</v>
      </c>
      <c r="I1739" s="89">
        <v>179.55</v>
      </c>
      <c r="J1739" s="126">
        <v>93.407291666666637</v>
      </c>
      <c r="K1739" s="34">
        <v>403.29317585301902</v>
      </c>
    </row>
    <row r="1740" spans="1:11" x14ac:dyDescent="0.3">
      <c r="A1740" s="88" t="s">
        <v>483</v>
      </c>
      <c r="B1740" s="24">
        <v>39358</v>
      </c>
      <c r="C1740" s="32">
        <v>7.4853479062266004</v>
      </c>
      <c r="D1740" s="1">
        <v>15.4</v>
      </c>
      <c r="E1740" s="1">
        <v>9.6999999999999993</v>
      </c>
      <c r="F1740" s="1">
        <v>2.52</v>
      </c>
      <c r="G1740" s="1"/>
      <c r="H1740" s="126">
        <f t="shared" si="27"/>
        <v>1.2038879226915637</v>
      </c>
      <c r="I1740" s="89">
        <v>215.45999999999998</v>
      </c>
      <c r="J1740" s="126">
        <v>87.139583333333334</v>
      </c>
    </row>
    <row r="1741" spans="1:11" x14ac:dyDescent="0.3">
      <c r="A1741" s="88" t="s">
        <v>483</v>
      </c>
      <c r="B1741" s="24">
        <v>39359</v>
      </c>
      <c r="C1741" s="32">
        <v>3.6324232475087839</v>
      </c>
      <c r="D1741" s="1">
        <v>17.8</v>
      </c>
      <c r="E1741" s="1">
        <v>11.7</v>
      </c>
      <c r="F1741" s="1">
        <v>0.26</v>
      </c>
      <c r="G1741" s="1"/>
      <c r="H1741" s="126">
        <f t="shared" si="27"/>
        <v>1.3755086746426002</v>
      </c>
      <c r="I1741" s="89">
        <v>132.92999999999998</v>
      </c>
      <c r="J1741" s="126">
        <v>92.330208333333346</v>
      </c>
    </row>
    <row r="1742" spans="1:11" x14ac:dyDescent="0.3">
      <c r="A1742" s="88" t="s">
        <v>483</v>
      </c>
      <c r="B1742" s="24">
        <v>39360</v>
      </c>
      <c r="C1742" s="32">
        <v>7.6923492310350792</v>
      </c>
      <c r="D1742" s="1">
        <v>14.4</v>
      </c>
      <c r="E1742" s="1">
        <v>8.9</v>
      </c>
      <c r="F1742" s="1">
        <v>0</v>
      </c>
      <c r="G1742" s="1"/>
      <c r="H1742" s="126">
        <f t="shared" si="27"/>
        <v>1.1407010860938473</v>
      </c>
      <c r="I1742" s="89">
        <v>136.70999999999995</v>
      </c>
      <c r="J1742" s="126">
        <v>90.920833333333363</v>
      </c>
    </row>
    <row r="1743" spans="1:11" x14ac:dyDescent="0.3">
      <c r="A1743" s="88" t="s">
        <v>483</v>
      </c>
      <c r="B1743" s="24">
        <v>39361</v>
      </c>
      <c r="C1743" s="32">
        <v>7.5366482345487018</v>
      </c>
      <c r="D1743" s="1">
        <v>14</v>
      </c>
      <c r="E1743" s="1">
        <v>5.9</v>
      </c>
      <c r="F1743" s="1">
        <v>0</v>
      </c>
      <c r="G1743" s="1"/>
      <c r="H1743" s="126">
        <f t="shared" si="27"/>
        <v>0.92895926237531279</v>
      </c>
      <c r="I1743" s="89">
        <v>144.09000000000009</v>
      </c>
      <c r="J1743" s="126">
        <v>90.561458333333363</v>
      </c>
    </row>
    <row r="1744" spans="1:11" x14ac:dyDescent="0.3">
      <c r="A1744" s="88" t="s">
        <v>483</v>
      </c>
      <c r="B1744" s="24">
        <v>39362</v>
      </c>
      <c r="C1744" s="32">
        <v>10.906269800126722</v>
      </c>
      <c r="D1744" s="1">
        <v>15</v>
      </c>
      <c r="E1744" s="1">
        <v>3.7</v>
      </c>
      <c r="F1744" s="1">
        <v>1.4999999999999999E-2</v>
      </c>
      <c r="G1744" s="1"/>
      <c r="H1744" s="126">
        <f t="shared" si="27"/>
        <v>0.79650868879481573</v>
      </c>
      <c r="I1744" s="89">
        <v>58.77000000000001</v>
      </c>
      <c r="J1744" s="126">
        <v>84.831249999999997</v>
      </c>
    </row>
    <row r="1745" spans="1:10" x14ac:dyDescent="0.3">
      <c r="A1745" s="88" t="s">
        <v>483</v>
      </c>
      <c r="B1745" s="24">
        <v>39363</v>
      </c>
      <c r="C1745" s="32">
        <v>7.8822504464028578</v>
      </c>
      <c r="D1745" s="1">
        <v>13.5</v>
      </c>
      <c r="E1745" s="1">
        <v>5.4</v>
      </c>
      <c r="F1745" s="1">
        <v>5.0000000000000001E-3</v>
      </c>
      <c r="G1745" s="1"/>
      <c r="H1745" s="126">
        <f t="shared" si="27"/>
        <v>0.8972630930441321</v>
      </c>
      <c r="I1745" s="89">
        <v>125.82000000000002</v>
      </c>
      <c r="J1745" s="126">
        <v>87.083333333333357</v>
      </c>
    </row>
    <row r="1746" spans="1:10" x14ac:dyDescent="0.3">
      <c r="A1746" s="88" t="s">
        <v>483</v>
      </c>
      <c r="B1746" s="24">
        <v>39364</v>
      </c>
      <c r="C1746" s="32">
        <v>6.1416393064915615</v>
      </c>
      <c r="D1746" s="1">
        <v>12.3</v>
      </c>
      <c r="E1746" s="1">
        <v>5.5</v>
      </c>
      <c r="F1746" s="1">
        <v>5.0000000000000001E-3</v>
      </c>
      <c r="G1746" s="1"/>
      <c r="H1746" s="126">
        <f t="shared" si="27"/>
        <v>0.90352494025987484</v>
      </c>
      <c r="I1746" s="89">
        <v>87.659999999999982</v>
      </c>
      <c r="J1746" s="126">
        <v>83.279166666666654</v>
      </c>
    </row>
    <row r="1747" spans="1:10" x14ac:dyDescent="0.3">
      <c r="A1747" s="88" t="s">
        <v>483</v>
      </c>
      <c r="B1747" s="24">
        <v>39365</v>
      </c>
      <c r="C1747" s="32">
        <v>10.071064454812511</v>
      </c>
      <c r="D1747" s="1">
        <v>13.7</v>
      </c>
      <c r="E1747" s="1">
        <v>3.2</v>
      </c>
      <c r="F1747" s="1">
        <v>0</v>
      </c>
      <c r="G1747" s="1"/>
      <c r="H1747" s="126">
        <f t="shared" si="27"/>
        <v>0.76884154961442475</v>
      </c>
      <c r="I1747" s="89">
        <v>106.47000000000003</v>
      </c>
      <c r="J1747" s="126">
        <v>85.171875</v>
      </c>
    </row>
    <row r="1748" spans="1:10" x14ac:dyDescent="0.3">
      <c r="A1748" s="88" t="s">
        <v>483</v>
      </c>
      <c r="B1748" s="24">
        <v>39366</v>
      </c>
      <c r="C1748" s="32">
        <v>8.395253729623871</v>
      </c>
      <c r="D1748" s="1">
        <v>13.1</v>
      </c>
      <c r="E1748" s="1">
        <v>5.7</v>
      </c>
      <c r="F1748" s="1">
        <v>0</v>
      </c>
      <c r="G1748" s="1"/>
      <c r="H1748" s="126">
        <f t="shared" si="27"/>
        <v>0.91616430843021424</v>
      </c>
      <c r="I1748" s="89">
        <v>120.50999999999999</v>
      </c>
      <c r="J1748" s="126">
        <v>88.903125000000003</v>
      </c>
    </row>
    <row r="1749" spans="1:10" x14ac:dyDescent="0.3">
      <c r="A1749" s="88" t="s">
        <v>483</v>
      </c>
      <c r="B1749" s="24">
        <v>39367</v>
      </c>
      <c r="C1749" s="32">
        <v>3.9726254248027186</v>
      </c>
      <c r="D1749" s="1">
        <v>15.9</v>
      </c>
      <c r="E1749" s="1">
        <v>9.4</v>
      </c>
      <c r="F1749" s="1">
        <v>0.28000000000000003</v>
      </c>
      <c r="G1749" s="1"/>
      <c r="H1749" s="126">
        <f t="shared" si="27"/>
        <v>1.1798411174091483</v>
      </c>
      <c r="I1749" s="89">
        <v>354.24</v>
      </c>
      <c r="J1749" s="126">
        <v>86.289583333333283</v>
      </c>
    </row>
    <row r="1750" spans="1:10" x14ac:dyDescent="0.3">
      <c r="A1750" s="88" t="s">
        <v>483</v>
      </c>
      <c r="B1750" s="24">
        <v>39368</v>
      </c>
      <c r="C1750" s="32">
        <v>9.8847632624848796</v>
      </c>
      <c r="D1750" s="1">
        <v>12.6</v>
      </c>
      <c r="E1750" s="1">
        <v>4.3</v>
      </c>
      <c r="F1750" s="1">
        <v>0</v>
      </c>
      <c r="G1750" s="1"/>
      <c r="H1750" s="126">
        <f t="shared" si="27"/>
        <v>0.83086609768035358</v>
      </c>
      <c r="I1750" s="89">
        <v>130.05000000000001</v>
      </c>
      <c r="J1750" s="126">
        <v>84.215625000000003</v>
      </c>
    </row>
    <row r="1751" spans="1:10" x14ac:dyDescent="0.3">
      <c r="A1751" s="88" t="s">
        <v>483</v>
      </c>
      <c r="B1751" s="24">
        <v>39369</v>
      </c>
      <c r="C1751" s="32">
        <v>10.966570186049191</v>
      </c>
      <c r="D1751" s="1">
        <v>14.5</v>
      </c>
      <c r="E1751" s="1">
        <v>1.6</v>
      </c>
      <c r="F1751" s="1">
        <v>0</v>
      </c>
      <c r="G1751" s="1"/>
      <c r="H1751" s="126">
        <f t="shared" si="27"/>
        <v>0.68591959793818613</v>
      </c>
      <c r="I1751" s="89">
        <v>136.97999999999999</v>
      </c>
      <c r="J1751" s="126">
        <v>74.113541666666663</v>
      </c>
    </row>
    <row r="1752" spans="1:10" x14ac:dyDescent="0.3">
      <c r="A1752" s="88" t="s">
        <v>483</v>
      </c>
      <c r="B1752" s="24">
        <v>39370</v>
      </c>
      <c r="C1752" s="32">
        <v>10.526467369391163</v>
      </c>
      <c r="D1752" s="1">
        <v>16.5</v>
      </c>
      <c r="E1752" s="1">
        <v>2.5</v>
      </c>
      <c r="F1752" s="1">
        <v>0</v>
      </c>
      <c r="G1752" s="1"/>
      <c r="H1752" s="126">
        <f t="shared" si="27"/>
        <v>0.73153336467415264</v>
      </c>
      <c r="I1752" s="89">
        <v>160.19999999999987</v>
      </c>
      <c r="J1752" s="126">
        <v>73.570833333333326</v>
      </c>
    </row>
    <row r="1753" spans="1:10" x14ac:dyDescent="0.3">
      <c r="A1753" s="88" t="s">
        <v>483</v>
      </c>
      <c r="B1753" s="24">
        <v>39371</v>
      </c>
      <c r="C1753" s="32">
        <v>6.2190398018547324</v>
      </c>
      <c r="D1753" s="1">
        <v>17.100000000000001</v>
      </c>
      <c r="E1753" s="1">
        <v>11.4</v>
      </c>
      <c r="F1753" s="1">
        <v>0</v>
      </c>
      <c r="G1753" s="1"/>
      <c r="H1753" s="126">
        <f t="shared" si="27"/>
        <v>1.3484693686655054</v>
      </c>
      <c r="I1753" s="89">
        <v>172.62</v>
      </c>
      <c r="J1753" s="126">
        <v>76.994791666666657</v>
      </c>
    </row>
    <row r="1754" spans="1:10" x14ac:dyDescent="0.3">
      <c r="A1754" s="88" t="s">
        <v>483</v>
      </c>
      <c r="B1754" s="24">
        <v>39372</v>
      </c>
      <c r="C1754" s="32">
        <v>6.1875396002534409</v>
      </c>
      <c r="D1754" s="1">
        <v>17.600000000000001</v>
      </c>
      <c r="E1754" s="1">
        <v>9.6</v>
      </c>
      <c r="F1754" s="1">
        <v>5.5650000000000004</v>
      </c>
      <c r="G1754" s="1"/>
      <c r="H1754" s="126">
        <f t="shared" si="27"/>
        <v>1.1958248668287446</v>
      </c>
      <c r="I1754" s="89">
        <v>238.8600000000001</v>
      </c>
      <c r="J1754" s="126">
        <v>81.928124999999994</v>
      </c>
    </row>
    <row r="1755" spans="1:10" x14ac:dyDescent="0.3">
      <c r="A1755" s="88" t="s">
        <v>483</v>
      </c>
      <c r="B1755" s="24">
        <v>39373</v>
      </c>
      <c r="C1755" s="32">
        <v>6.8265436898796157</v>
      </c>
      <c r="D1755" s="1">
        <v>10.7</v>
      </c>
      <c r="E1755" s="1">
        <v>5.9</v>
      </c>
      <c r="F1755" s="1">
        <v>2.83</v>
      </c>
      <c r="G1755" s="1"/>
      <c r="H1755" s="126">
        <f t="shared" si="27"/>
        <v>0.92895926237531279</v>
      </c>
      <c r="I1755" s="89">
        <v>373.86</v>
      </c>
      <c r="J1755" s="126">
        <v>85.697916666666671</v>
      </c>
    </row>
    <row r="1756" spans="1:10" x14ac:dyDescent="0.3">
      <c r="A1756" s="88" t="s">
        <v>483</v>
      </c>
      <c r="B1756" s="24">
        <v>39374</v>
      </c>
      <c r="C1756" s="32">
        <v>7.9650509763262489</v>
      </c>
      <c r="D1756" s="1">
        <v>9.8000000000000007</v>
      </c>
      <c r="E1756" s="1">
        <v>1.9</v>
      </c>
      <c r="F1756" s="1">
        <v>0</v>
      </c>
      <c r="G1756" s="1"/>
      <c r="H1756" s="126">
        <f t="shared" si="27"/>
        <v>0.70083680221327738</v>
      </c>
      <c r="I1756" s="89">
        <v>267.38999999999993</v>
      </c>
      <c r="J1756" s="126">
        <v>79.007291666666703</v>
      </c>
    </row>
    <row r="1757" spans="1:10" x14ac:dyDescent="0.3">
      <c r="A1757" s="88" t="s">
        <v>483</v>
      </c>
      <c r="B1757" s="24">
        <v>39375</v>
      </c>
      <c r="C1757" s="32">
        <v>7.4601477449455675</v>
      </c>
      <c r="D1757" s="1">
        <v>8.3000000000000007</v>
      </c>
      <c r="E1757" s="1">
        <v>-0.6</v>
      </c>
      <c r="F1757" s="1">
        <v>0</v>
      </c>
      <c r="G1757" s="1"/>
      <c r="H1757" s="126">
        <f t="shared" si="27"/>
        <v>0.58482930968803559</v>
      </c>
      <c r="I1757" s="89">
        <v>132.75</v>
      </c>
      <c r="J1757" s="126">
        <v>82.441666666666706</v>
      </c>
    </row>
    <row r="1758" spans="1:10" x14ac:dyDescent="0.3">
      <c r="A1758" s="88" t="s">
        <v>483</v>
      </c>
      <c r="B1758" s="24">
        <v>39376</v>
      </c>
      <c r="C1758" s="32">
        <v>4.6278296181095557</v>
      </c>
      <c r="D1758" s="1">
        <v>9.3000000000000007</v>
      </c>
      <c r="E1758" s="1">
        <v>1.3</v>
      </c>
      <c r="F1758" s="1">
        <v>2.6850000000000001</v>
      </c>
      <c r="G1758" s="1"/>
      <c r="H1758" s="126">
        <f t="shared" si="27"/>
        <v>0.67128358518521281</v>
      </c>
      <c r="I1758" s="89">
        <v>222.93000000000006</v>
      </c>
      <c r="J1758" s="126">
        <v>86.030208333333348</v>
      </c>
    </row>
    <row r="1759" spans="1:10" x14ac:dyDescent="0.3">
      <c r="A1759" s="88" t="s">
        <v>483</v>
      </c>
      <c r="B1759" s="24">
        <v>39377</v>
      </c>
      <c r="C1759" s="32">
        <v>8.4024537757041653</v>
      </c>
      <c r="D1759" s="1">
        <v>7.2</v>
      </c>
      <c r="E1759" s="1">
        <v>-0.8</v>
      </c>
      <c r="F1759" s="1">
        <v>0</v>
      </c>
      <c r="G1759" s="1"/>
      <c r="H1759" s="126">
        <f t="shared" si="27"/>
        <v>0.57632881345991693</v>
      </c>
      <c r="I1759" s="89">
        <v>240.48000000000002</v>
      </c>
      <c r="J1759" s="126">
        <v>81.394791666666677</v>
      </c>
    </row>
    <row r="1760" spans="1:10" x14ac:dyDescent="0.3">
      <c r="A1760" s="88" t="s">
        <v>483</v>
      </c>
      <c r="B1760" s="24">
        <v>39378</v>
      </c>
      <c r="C1760" s="32">
        <v>6.0363386325672481</v>
      </c>
      <c r="D1760" s="1">
        <v>7.9</v>
      </c>
      <c r="E1760" s="1">
        <v>0.6</v>
      </c>
      <c r="F1760" s="1">
        <v>0</v>
      </c>
      <c r="G1760" s="1"/>
      <c r="H1760" s="126">
        <f t="shared" si="27"/>
        <v>0.63820086880942895</v>
      </c>
      <c r="I1760" s="89">
        <v>245.43</v>
      </c>
      <c r="J1760" s="126">
        <v>81.491666666666674</v>
      </c>
    </row>
    <row r="1761" spans="1:10" x14ac:dyDescent="0.3">
      <c r="A1761" s="88" t="s">
        <v>483</v>
      </c>
      <c r="B1761" s="24">
        <v>39379</v>
      </c>
      <c r="C1761" s="32">
        <v>1.3824088474166234</v>
      </c>
      <c r="D1761" s="1">
        <v>7.2</v>
      </c>
      <c r="E1761" s="1">
        <v>5.6</v>
      </c>
      <c r="F1761" s="1">
        <v>0</v>
      </c>
      <c r="G1761" s="1"/>
      <c r="H1761" s="126">
        <f t="shared" si="27"/>
        <v>0.9098252778997602</v>
      </c>
      <c r="I1761" s="89">
        <v>307.88999999999993</v>
      </c>
      <c r="J1761" s="126">
        <v>84.433333333333351</v>
      </c>
    </row>
    <row r="1762" spans="1:10" x14ac:dyDescent="0.3">
      <c r="A1762" s="88" t="s">
        <v>483</v>
      </c>
      <c r="B1762" s="24">
        <v>39380</v>
      </c>
      <c r="C1762" s="32">
        <v>0.84330539715454178</v>
      </c>
      <c r="D1762" s="1">
        <v>7.5</v>
      </c>
      <c r="E1762" s="1">
        <v>6.7</v>
      </c>
      <c r="F1762" s="1">
        <v>1.4999999999999999E-2</v>
      </c>
      <c r="G1762" s="1"/>
      <c r="H1762" s="126">
        <f t="shared" si="27"/>
        <v>0.98172789008858663</v>
      </c>
      <c r="I1762" s="89">
        <v>230.94000000000011</v>
      </c>
      <c r="J1762" s="126">
        <v>89.852083333333326</v>
      </c>
    </row>
    <row r="1763" spans="1:10" x14ac:dyDescent="0.3">
      <c r="A1763" s="88" t="s">
        <v>483</v>
      </c>
      <c r="B1763" s="24">
        <v>39381</v>
      </c>
      <c r="C1763" s="32">
        <v>0.46170295489891133</v>
      </c>
      <c r="D1763" s="1">
        <v>7.6</v>
      </c>
      <c r="E1763" s="1">
        <v>6</v>
      </c>
      <c r="F1763" s="1">
        <v>0.83499999999999996</v>
      </c>
      <c r="G1763" s="1"/>
      <c r="H1763" s="126">
        <f t="shared" si="27"/>
        <v>0.93541559507788385</v>
      </c>
      <c r="I1763" s="89">
        <v>201.51</v>
      </c>
      <c r="J1763" s="126">
        <v>93.288541666666674</v>
      </c>
    </row>
    <row r="1764" spans="1:10" x14ac:dyDescent="0.3">
      <c r="A1764" s="88" t="s">
        <v>483</v>
      </c>
      <c r="B1764" s="24">
        <v>39382</v>
      </c>
      <c r="C1764" s="32">
        <v>1.6056102759057658</v>
      </c>
      <c r="D1764" s="1">
        <v>8.6</v>
      </c>
      <c r="E1764" s="1">
        <v>2.9</v>
      </c>
      <c r="F1764" s="1">
        <v>0.05</v>
      </c>
      <c r="G1764" s="1"/>
      <c r="H1764" s="126">
        <f t="shared" si="27"/>
        <v>0.75265154972421666</v>
      </c>
      <c r="I1764" s="89">
        <v>133.01999999999998</v>
      </c>
      <c r="J1764" s="126">
        <v>93.138541666666654</v>
      </c>
    </row>
    <row r="1765" spans="1:10" x14ac:dyDescent="0.3">
      <c r="A1765" s="88" t="s">
        <v>483</v>
      </c>
      <c r="B1765" s="24">
        <v>39383</v>
      </c>
      <c r="C1765" s="32">
        <v>7.6239487932722767</v>
      </c>
      <c r="D1765" s="1">
        <v>10.3</v>
      </c>
      <c r="E1765" s="1">
        <v>2</v>
      </c>
      <c r="F1765" s="1">
        <v>0.01</v>
      </c>
      <c r="G1765" s="1"/>
      <c r="H1765" s="126">
        <f t="shared" si="27"/>
        <v>0.70587248896856769</v>
      </c>
      <c r="I1765" s="89">
        <v>164.52</v>
      </c>
      <c r="J1765" s="126">
        <v>83.418750000000003</v>
      </c>
    </row>
    <row r="1766" spans="1:10" x14ac:dyDescent="0.3">
      <c r="A1766" s="88" t="s">
        <v>483</v>
      </c>
      <c r="B1766" s="24">
        <v>39384</v>
      </c>
      <c r="C1766" s="32">
        <v>2.8836184551581132</v>
      </c>
      <c r="D1766" s="1">
        <v>10.5</v>
      </c>
      <c r="E1766" s="1">
        <v>7.6</v>
      </c>
      <c r="F1766" s="1">
        <v>5.44</v>
      </c>
      <c r="G1766" s="1"/>
      <c r="H1766" s="126">
        <f t="shared" si="27"/>
        <v>1.0442332464842816</v>
      </c>
      <c r="I1766" s="89">
        <v>140.67000000000002</v>
      </c>
      <c r="J1766" s="126">
        <v>81.232291666666654</v>
      </c>
    </row>
    <row r="1767" spans="1:10" x14ac:dyDescent="0.3">
      <c r="A1767" s="88" t="s">
        <v>483</v>
      </c>
      <c r="B1767" s="24">
        <v>39385</v>
      </c>
      <c r="C1767" s="32">
        <v>2.7900178561142788</v>
      </c>
      <c r="D1767" s="1">
        <v>10.6</v>
      </c>
      <c r="E1767" s="1">
        <v>5.5</v>
      </c>
      <c r="F1767" s="1">
        <v>5</v>
      </c>
      <c r="G1767" s="1"/>
      <c r="H1767" s="126">
        <f t="shared" si="27"/>
        <v>0.90352494025987484</v>
      </c>
      <c r="I1767" s="89">
        <v>181.71</v>
      </c>
      <c r="J1767" s="126">
        <v>92.131249999999994</v>
      </c>
    </row>
    <row r="1768" spans="1:10" x14ac:dyDescent="0.3">
      <c r="A1768" s="88" t="s">
        <v>483</v>
      </c>
      <c r="B1768" s="24">
        <v>39386</v>
      </c>
      <c r="C1768" s="32">
        <v>7.2495463970969416</v>
      </c>
      <c r="D1768" s="1">
        <v>10.8</v>
      </c>
      <c r="E1768" s="1">
        <v>4.0999999999999996</v>
      </c>
      <c r="F1768" s="1">
        <v>0</v>
      </c>
      <c r="G1768" s="1"/>
      <c r="H1768" s="126">
        <f t="shared" si="27"/>
        <v>0.81927114982761395</v>
      </c>
      <c r="I1768" s="89">
        <v>229.1399999999999</v>
      </c>
      <c r="J1768" s="126">
        <v>85.178124999999994</v>
      </c>
    </row>
    <row r="1769" spans="1:10" x14ac:dyDescent="0.3">
      <c r="A1769" s="88" t="s">
        <v>483</v>
      </c>
      <c r="B1769" s="24">
        <v>39387</v>
      </c>
      <c r="C1769" s="32">
        <v>1.2402079373307988</v>
      </c>
      <c r="D1769" s="1">
        <v>9.9</v>
      </c>
      <c r="E1769" s="1">
        <v>0</v>
      </c>
      <c r="F1769" s="1">
        <v>0</v>
      </c>
      <c r="G1769" s="1"/>
      <c r="H1769" s="126">
        <f t="shared" si="27"/>
        <v>0.61099999999999999</v>
      </c>
      <c r="I1769" s="89">
        <v>236.96999999999997</v>
      </c>
      <c r="J1769" s="126">
        <v>83.041666666666643</v>
      </c>
    </row>
    <row r="1770" spans="1:10" x14ac:dyDescent="0.3">
      <c r="A1770" s="88" t="s">
        <v>483</v>
      </c>
      <c r="B1770" s="24">
        <v>39388</v>
      </c>
      <c r="C1770" s="32">
        <v>1.1088070963654169</v>
      </c>
      <c r="D1770" s="1">
        <v>2.6</v>
      </c>
      <c r="E1770" s="1">
        <v>0.7</v>
      </c>
      <c r="F1770" s="1">
        <v>2.0449999999999999</v>
      </c>
      <c r="G1770" s="1"/>
      <c r="H1770" s="126">
        <f t="shared" si="27"/>
        <v>0.64283692539220627</v>
      </c>
      <c r="I1770" s="89">
        <v>193.14000000000007</v>
      </c>
      <c r="J1770" s="126">
        <v>97.427083333333357</v>
      </c>
    </row>
    <row r="1771" spans="1:10" x14ac:dyDescent="0.3">
      <c r="A1771" s="88" t="s">
        <v>483</v>
      </c>
      <c r="B1771" s="24">
        <v>39389</v>
      </c>
      <c r="C1771" s="32">
        <v>2.6568170036288232</v>
      </c>
      <c r="D1771" s="1">
        <v>9.9</v>
      </c>
      <c r="E1771" s="1">
        <v>0</v>
      </c>
      <c r="F1771" s="1">
        <v>0.85499999999999998</v>
      </c>
      <c r="G1771" s="1"/>
      <c r="H1771" s="126">
        <f t="shared" si="27"/>
        <v>0.61099999999999999</v>
      </c>
      <c r="I1771" s="89">
        <v>293.03999999999996</v>
      </c>
      <c r="J1771" s="126">
        <v>91.95729166666672</v>
      </c>
    </row>
    <row r="1772" spans="1:10" x14ac:dyDescent="0.3">
      <c r="A1772" s="88" t="s">
        <v>483</v>
      </c>
      <c r="B1772" s="24">
        <v>39390</v>
      </c>
      <c r="C1772" s="32">
        <v>4.9059313979609467</v>
      </c>
      <c r="D1772" s="1">
        <v>9.9</v>
      </c>
      <c r="E1772" s="1">
        <v>0</v>
      </c>
      <c r="F1772" s="1">
        <v>0.05</v>
      </c>
      <c r="G1772" s="1"/>
      <c r="H1772" s="126">
        <f t="shared" si="27"/>
        <v>0.61099999999999999</v>
      </c>
      <c r="I1772" s="89">
        <v>267.38999999999993</v>
      </c>
      <c r="J1772" s="126">
        <v>80.87916666666662</v>
      </c>
    </row>
    <row r="1773" spans="1:10" x14ac:dyDescent="0.3">
      <c r="A1773" s="88" t="s">
        <v>483</v>
      </c>
      <c r="B1773" s="24">
        <v>39391</v>
      </c>
      <c r="C1773" s="32">
        <v>5.8176372328782904</v>
      </c>
      <c r="D1773" s="1">
        <v>9.9</v>
      </c>
      <c r="E1773" s="1">
        <v>0</v>
      </c>
      <c r="F1773" s="1">
        <v>1.52</v>
      </c>
      <c r="G1773" s="1"/>
      <c r="H1773" s="126">
        <f t="shared" si="27"/>
        <v>0.61099999999999999</v>
      </c>
      <c r="I1773" s="89">
        <v>144</v>
      </c>
      <c r="J1773" s="126">
        <v>81.856250000000003</v>
      </c>
    </row>
    <row r="1774" spans="1:10" x14ac:dyDescent="0.3">
      <c r="A1774" s="88" t="s">
        <v>483</v>
      </c>
      <c r="B1774" s="24">
        <v>39392</v>
      </c>
      <c r="C1774" s="32">
        <v>3.3597215022176141</v>
      </c>
      <c r="D1774" s="1">
        <v>8</v>
      </c>
      <c r="E1774" s="1">
        <v>4.3</v>
      </c>
      <c r="F1774" s="1">
        <v>8.0299999999999994</v>
      </c>
      <c r="G1774" s="1"/>
      <c r="H1774" s="126">
        <f t="shared" si="27"/>
        <v>0.83086609768035358</v>
      </c>
      <c r="I1774" s="89">
        <v>436.14</v>
      </c>
      <c r="J1774" s="126">
        <v>86.201041666666697</v>
      </c>
    </row>
    <row r="1775" spans="1:10" x14ac:dyDescent="0.3">
      <c r="A1775" s="88" t="s">
        <v>483</v>
      </c>
      <c r="B1775" s="24">
        <v>39393</v>
      </c>
      <c r="C1775" s="32">
        <v>0.66780427394735331</v>
      </c>
      <c r="D1775" s="1">
        <v>9.5</v>
      </c>
      <c r="E1775" s="1">
        <v>5.4</v>
      </c>
      <c r="F1775" s="1">
        <v>5.97</v>
      </c>
      <c r="G1775" s="1"/>
      <c r="H1775" s="126">
        <f t="shared" si="27"/>
        <v>0.8972630930441321</v>
      </c>
      <c r="I1775" s="89">
        <v>539.82000000000016</v>
      </c>
      <c r="J1775" s="126">
        <v>87.441666666666706</v>
      </c>
    </row>
    <row r="1776" spans="1:10" x14ac:dyDescent="0.3">
      <c r="A1776" s="88" t="s">
        <v>483</v>
      </c>
      <c r="B1776" s="24">
        <v>39394</v>
      </c>
      <c r="C1776" s="32">
        <v>3.0834197338862968</v>
      </c>
      <c r="D1776" s="1">
        <v>9.9</v>
      </c>
      <c r="E1776" s="1">
        <v>0</v>
      </c>
      <c r="F1776" s="1">
        <v>3.4849999999999999</v>
      </c>
      <c r="G1776" s="1"/>
      <c r="H1776" s="126">
        <f t="shared" si="27"/>
        <v>0.61099999999999999</v>
      </c>
      <c r="I1776" s="89">
        <v>388.35000000000014</v>
      </c>
      <c r="J1776" s="126">
        <v>83.491666666666688</v>
      </c>
    </row>
    <row r="1777" spans="1:10" x14ac:dyDescent="0.3">
      <c r="A1777" s="88" t="s">
        <v>483</v>
      </c>
      <c r="B1777" s="24">
        <v>39395</v>
      </c>
      <c r="C1777" s="32">
        <v>2.91601866251944</v>
      </c>
      <c r="D1777" s="1">
        <v>6.9</v>
      </c>
      <c r="E1777" s="1">
        <v>1.3</v>
      </c>
      <c r="F1777" s="1">
        <v>5.09</v>
      </c>
      <c r="G1777" s="1"/>
      <c r="H1777" s="126">
        <f t="shared" si="27"/>
        <v>0.67128358518521281</v>
      </c>
      <c r="I1777" s="89">
        <v>585.09</v>
      </c>
      <c r="J1777" s="126">
        <v>84.984375</v>
      </c>
    </row>
    <row r="1778" spans="1:10" x14ac:dyDescent="0.3">
      <c r="A1778" s="88" t="s">
        <v>483</v>
      </c>
      <c r="B1778" s="24">
        <v>39396</v>
      </c>
      <c r="C1778" s="32">
        <v>2.492115949542077</v>
      </c>
      <c r="D1778" s="1">
        <v>5.0999999999999996</v>
      </c>
      <c r="E1778" s="1">
        <v>2.2000000000000002</v>
      </c>
      <c r="F1778" s="1">
        <v>6.3049999999999997</v>
      </c>
      <c r="G1778" s="1"/>
      <c r="H1778" s="126">
        <f t="shared" si="27"/>
        <v>0.71603982725344328</v>
      </c>
      <c r="I1778" s="89">
        <v>343.35</v>
      </c>
      <c r="J1778" s="126">
        <v>89.006249999999994</v>
      </c>
    </row>
    <row r="1779" spans="1:10" x14ac:dyDescent="0.3">
      <c r="A1779" s="88" t="s">
        <v>483</v>
      </c>
      <c r="B1779" s="24">
        <v>39397</v>
      </c>
      <c r="C1779" s="32">
        <v>1.30590835781349</v>
      </c>
      <c r="D1779" s="1">
        <v>8.6</v>
      </c>
      <c r="E1779" s="1">
        <v>2</v>
      </c>
      <c r="F1779" s="1">
        <v>7.5</v>
      </c>
      <c r="G1779" s="1"/>
      <c r="H1779" s="126">
        <f t="shared" si="27"/>
        <v>0.70587248896856769</v>
      </c>
      <c r="I1779" s="89">
        <v>394.20000000000005</v>
      </c>
      <c r="J1779" s="126">
        <v>88.651041666666671</v>
      </c>
    </row>
    <row r="1780" spans="1:10" x14ac:dyDescent="0.3">
      <c r="A1780" s="88" t="s">
        <v>483</v>
      </c>
      <c r="B1780" s="24">
        <v>39398</v>
      </c>
      <c r="C1780" s="32">
        <v>2.3364149530556997</v>
      </c>
      <c r="D1780" s="1">
        <v>6.5</v>
      </c>
      <c r="E1780" s="1">
        <v>1.8</v>
      </c>
      <c r="F1780" s="1">
        <v>5.6150000000000002</v>
      </c>
      <c r="G1780" s="1"/>
      <c r="H1780" s="126">
        <f t="shared" si="27"/>
        <v>0.69583287280742301</v>
      </c>
      <c r="I1780" s="89">
        <v>451.43999999999994</v>
      </c>
      <c r="J1780" s="126">
        <v>85.47708333333334</v>
      </c>
    </row>
    <row r="1781" spans="1:10" x14ac:dyDescent="0.3">
      <c r="A1781" s="88" t="s">
        <v>483</v>
      </c>
      <c r="B1781" s="24">
        <v>39399</v>
      </c>
      <c r="C1781" s="32">
        <v>0.51840331778123383</v>
      </c>
      <c r="D1781" s="1">
        <v>5</v>
      </c>
      <c r="E1781" s="1">
        <v>2</v>
      </c>
      <c r="F1781" s="1">
        <v>6.2249999999999996</v>
      </c>
      <c r="G1781" s="1"/>
      <c r="H1781" s="126">
        <f t="shared" si="27"/>
        <v>0.70587248896856769</v>
      </c>
      <c r="I1781" s="89">
        <v>300.60000000000025</v>
      </c>
      <c r="J1781" s="126">
        <v>88.889583333333306</v>
      </c>
    </row>
    <row r="1782" spans="1:10" x14ac:dyDescent="0.3">
      <c r="A1782" s="88" t="s">
        <v>483</v>
      </c>
      <c r="B1782" s="24">
        <v>39400</v>
      </c>
      <c r="C1782" s="32">
        <v>2.558716375784805</v>
      </c>
      <c r="D1782" s="1">
        <v>2.6</v>
      </c>
      <c r="E1782" s="1">
        <v>0.4</v>
      </c>
      <c r="F1782" s="1">
        <v>0.19500000000000001</v>
      </c>
      <c r="G1782" s="1"/>
      <c r="H1782" s="126">
        <f t="shared" si="27"/>
        <v>0.62901732612537431</v>
      </c>
      <c r="I1782" s="89">
        <v>329.75999999999982</v>
      </c>
      <c r="J1782" s="126">
        <v>87.676041666666663</v>
      </c>
    </row>
    <row r="1783" spans="1:10" x14ac:dyDescent="0.3">
      <c r="A1783" s="88" t="s">
        <v>483</v>
      </c>
      <c r="B1783" s="24">
        <v>39401</v>
      </c>
      <c r="C1783" s="32">
        <v>2.799017913714648</v>
      </c>
      <c r="D1783" s="1">
        <v>3.8</v>
      </c>
      <c r="E1783" s="1">
        <v>0.5</v>
      </c>
      <c r="F1783" s="1">
        <v>0</v>
      </c>
      <c r="G1783" s="1"/>
      <c r="H1783" s="126">
        <f t="shared" si="27"/>
        <v>0.63359438986733596</v>
      </c>
      <c r="I1783" s="89">
        <v>234</v>
      </c>
      <c r="J1783" s="126">
        <v>85.626041666666652</v>
      </c>
    </row>
    <row r="1784" spans="1:10" x14ac:dyDescent="0.3">
      <c r="A1784" s="88" t="s">
        <v>483</v>
      </c>
      <c r="B1784" s="24">
        <v>39402</v>
      </c>
      <c r="C1784" s="32">
        <v>1.0962070157249006</v>
      </c>
      <c r="D1784" s="1">
        <v>4.0999999999999996</v>
      </c>
      <c r="E1784" s="1">
        <v>0</v>
      </c>
      <c r="F1784" s="1">
        <v>1.22</v>
      </c>
      <c r="G1784" s="1"/>
      <c r="H1784" s="126">
        <f t="shared" si="27"/>
        <v>0.61099999999999999</v>
      </c>
      <c r="I1784" s="89">
        <v>236.88000000000002</v>
      </c>
      <c r="J1784" s="126">
        <v>87.641666666666666</v>
      </c>
    </row>
    <row r="1785" spans="1:10" x14ac:dyDescent="0.3">
      <c r="A1785" s="88" t="s">
        <v>483</v>
      </c>
      <c r="B1785" s="24">
        <v>39403</v>
      </c>
      <c r="C1785" s="32">
        <v>1.1943076435689188</v>
      </c>
      <c r="D1785" s="1">
        <v>6.2</v>
      </c>
      <c r="E1785" s="1">
        <v>4.0999999999999996</v>
      </c>
      <c r="F1785" s="1">
        <v>0.90500000000000003</v>
      </c>
      <c r="G1785" s="1"/>
      <c r="H1785" s="126">
        <f t="shared" si="27"/>
        <v>0.81927114982761395</v>
      </c>
      <c r="I1785" s="89">
        <v>228.60000000000008</v>
      </c>
      <c r="J1785" s="126">
        <v>91.75</v>
      </c>
    </row>
    <row r="1786" spans="1:10" x14ac:dyDescent="0.3">
      <c r="A1786" s="88" t="s">
        <v>483</v>
      </c>
      <c r="B1786" s="24">
        <v>39404</v>
      </c>
      <c r="C1786" s="32">
        <v>0.83340533379413639</v>
      </c>
      <c r="D1786" s="1">
        <v>6.3</v>
      </c>
      <c r="E1786" s="1">
        <v>3.6</v>
      </c>
      <c r="F1786" s="1">
        <v>0.57499999999999996</v>
      </c>
      <c r="G1786" s="1"/>
      <c r="H1786" s="126">
        <f t="shared" si="27"/>
        <v>0.79090602148237243</v>
      </c>
      <c r="I1786" s="89">
        <v>168.84</v>
      </c>
      <c r="J1786" s="126">
        <v>91.014583333333306</v>
      </c>
    </row>
    <row r="1787" spans="1:10" x14ac:dyDescent="0.3">
      <c r="A1787" s="88" t="s">
        <v>483</v>
      </c>
      <c r="B1787" s="24">
        <v>39405</v>
      </c>
      <c r="C1787" s="32">
        <v>1.7595112608720695</v>
      </c>
      <c r="D1787" s="1">
        <v>3.5</v>
      </c>
      <c r="E1787" s="1">
        <v>0.5</v>
      </c>
      <c r="F1787" s="1">
        <v>0.19500000000000001</v>
      </c>
      <c r="G1787" s="1"/>
      <c r="H1787" s="126">
        <f t="shared" si="27"/>
        <v>0.63359438986733596</v>
      </c>
      <c r="I1787" s="89">
        <v>299.60999999999996</v>
      </c>
      <c r="J1787" s="126">
        <v>85.45</v>
      </c>
    </row>
    <row r="1788" spans="1:10" x14ac:dyDescent="0.3">
      <c r="A1788" s="88" t="s">
        <v>483</v>
      </c>
      <c r="B1788" s="24">
        <v>39406</v>
      </c>
      <c r="C1788" s="32">
        <v>2.1978140660100225</v>
      </c>
      <c r="D1788" s="1">
        <v>5.6</v>
      </c>
      <c r="E1788" s="1">
        <v>0.7</v>
      </c>
      <c r="F1788" s="1">
        <v>0</v>
      </c>
      <c r="G1788" s="1"/>
      <c r="H1788" s="126">
        <f t="shared" si="27"/>
        <v>0.64283692539220627</v>
      </c>
      <c r="I1788" s="89">
        <v>116.37</v>
      </c>
      <c r="J1788" s="126">
        <v>88.009375000000006</v>
      </c>
    </row>
    <row r="1789" spans="1:10" x14ac:dyDescent="0.3">
      <c r="A1789" s="88" t="s">
        <v>483</v>
      </c>
      <c r="B1789" s="24">
        <v>39407</v>
      </c>
      <c r="C1789" s="32">
        <v>1.4418092275790566</v>
      </c>
      <c r="D1789" s="1">
        <v>7.8</v>
      </c>
      <c r="E1789" s="1">
        <v>0.1</v>
      </c>
      <c r="F1789" s="1">
        <v>0</v>
      </c>
      <c r="G1789" s="1"/>
      <c r="H1789" s="126">
        <f t="shared" si="27"/>
        <v>0.61546101269605991</v>
      </c>
      <c r="I1789" s="89">
        <v>147.06</v>
      </c>
      <c r="J1789" s="126">
        <v>85.783333333333303</v>
      </c>
    </row>
    <row r="1790" spans="1:10" x14ac:dyDescent="0.3">
      <c r="A1790" s="88" t="s">
        <v>483</v>
      </c>
      <c r="B1790" s="24">
        <v>39408</v>
      </c>
      <c r="C1790" s="32">
        <v>0.97380623235988717</v>
      </c>
      <c r="D1790" s="1">
        <v>9.6</v>
      </c>
      <c r="E1790" s="1">
        <v>4.2</v>
      </c>
      <c r="F1790" s="1">
        <v>0</v>
      </c>
      <c r="G1790" s="1"/>
      <c r="H1790" s="126">
        <f t="shared" si="27"/>
        <v>0.82505065566727931</v>
      </c>
      <c r="I1790" s="89">
        <v>103.05000000000003</v>
      </c>
      <c r="J1790" s="126">
        <v>85.840625000000003</v>
      </c>
    </row>
    <row r="1791" spans="1:10" x14ac:dyDescent="0.3">
      <c r="A1791" s="88" t="s">
        <v>483</v>
      </c>
      <c r="B1791" s="24">
        <v>39409</v>
      </c>
      <c r="C1791" s="32">
        <v>1.072806865963942</v>
      </c>
      <c r="D1791" s="1">
        <v>9</v>
      </c>
      <c r="E1791" s="1">
        <v>3.8</v>
      </c>
      <c r="F1791" s="1">
        <v>0.28999999999999998</v>
      </c>
      <c r="G1791" s="1"/>
      <c r="H1791" s="126">
        <f t="shared" si="27"/>
        <v>0.80214634758046521</v>
      </c>
      <c r="I1791" s="89">
        <v>206.55</v>
      </c>
      <c r="J1791" s="126">
        <v>88.568749999999994</v>
      </c>
    </row>
    <row r="1792" spans="1:10" x14ac:dyDescent="0.3">
      <c r="A1792" s="88" t="s">
        <v>483</v>
      </c>
      <c r="B1792" s="24">
        <v>39410</v>
      </c>
      <c r="C1792" s="32">
        <v>4.6719299003513619</v>
      </c>
      <c r="D1792" s="1">
        <v>4.8</v>
      </c>
      <c r="E1792" s="1">
        <v>0.1</v>
      </c>
      <c r="F1792" s="1">
        <v>0</v>
      </c>
      <c r="G1792" s="1"/>
      <c r="H1792" s="126">
        <f t="shared" si="27"/>
        <v>0.61546101269605991</v>
      </c>
      <c r="I1792" s="89">
        <v>260.82</v>
      </c>
      <c r="J1792" s="126">
        <v>74.807291666666686</v>
      </c>
    </row>
    <row r="1793" spans="1:10" x14ac:dyDescent="0.3">
      <c r="A1793" s="88" t="s">
        <v>483</v>
      </c>
      <c r="B1793" s="24">
        <v>39411</v>
      </c>
      <c r="C1793" s="32">
        <v>1.9287123437590001</v>
      </c>
      <c r="D1793" s="1">
        <v>8.1</v>
      </c>
      <c r="E1793" s="1">
        <v>1.6</v>
      </c>
      <c r="F1793" s="1">
        <v>3.8050000000000002</v>
      </c>
      <c r="G1793" s="1"/>
      <c r="H1793" s="126">
        <f t="shared" si="27"/>
        <v>0.68591959793818613</v>
      </c>
      <c r="I1793" s="89">
        <v>439.92000000000013</v>
      </c>
      <c r="J1793" s="126">
        <v>84.10833333333332</v>
      </c>
    </row>
    <row r="1794" spans="1:10" x14ac:dyDescent="0.3">
      <c r="A1794" s="88" t="s">
        <v>483</v>
      </c>
      <c r="B1794" s="24">
        <v>39412</v>
      </c>
      <c r="C1794" s="32">
        <v>1.7982115085536547</v>
      </c>
      <c r="D1794" s="1">
        <v>2.8</v>
      </c>
      <c r="E1794" s="1">
        <v>0.7</v>
      </c>
      <c r="F1794" s="1">
        <v>1.21</v>
      </c>
      <c r="G1794" s="1"/>
      <c r="H1794" s="126">
        <f t="shared" si="27"/>
        <v>0.64283692539220627</v>
      </c>
      <c r="I1794" s="89">
        <v>517.50000000000045</v>
      </c>
      <c r="J1794" s="126">
        <v>86.579166666666637</v>
      </c>
    </row>
    <row r="1795" spans="1:10" x14ac:dyDescent="0.3">
      <c r="A1795" s="88" t="s">
        <v>483</v>
      </c>
      <c r="B1795" s="24">
        <v>39413</v>
      </c>
      <c r="C1795" s="32">
        <v>3.9960255745636775</v>
      </c>
      <c r="D1795" s="1">
        <v>4.8</v>
      </c>
      <c r="E1795" s="1">
        <v>0.1</v>
      </c>
      <c r="F1795" s="1">
        <v>0</v>
      </c>
      <c r="G1795" s="1"/>
      <c r="H1795" s="126">
        <f t="shared" si="27"/>
        <v>0.61546101269605991</v>
      </c>
      <c r="I1795" s="89">
        <v>270.71999999999991</v>
      </c>
      <c r="J1795" s="126">
        <v>86.316666666666677</v>
      </c>
    </row>
    <row r="1796" spans="1:10" x14ac:dyDescent="0.3">
      <c r="A1796" s="88" t="s">
        <v>483</v>
      </c>
      <c r="B1796" s="24">
        <v>39414</v>
      </c>
      <c r="C1796" s="32">
        <v>2.2032141005702437</v>
      </c>
      <c r="D1796" s="1">
        <v>5.0999999999999996</v>
      </c>
      <c r="E1796" s="1">
        <v>0.4</v>
      </c>
      <c r="F1796" s="1">
        <v>0</v>
      </c>
      <c r="G1796" s="1"/>
      <c r="H1796" s="126">
        <f t="shared" ref="H1796:H1859" si="28">0.611*EXP((17.27*E1796)/(E1796+237.3))</f>
        <v>0.62901732612537431</v>
      </c>
      <c r="I1796" s="89">
        <v>171.27</v>
      </c>
      <c r="J1796" s="126">
        <v>84.182291666666643</v>
      </c>
    </row>
    <row r="1797" spans="1:10" x14ac:dyDescent="0.3">
      <c r="A1797" s="88" t="s">
        <v>483</v>
      </c>
      <c r="B1797" s="24">
        <v>39415</v>
      </c>
      <c r="C1797" s="32">
        <v>1.1628074419676286</v>
      </c>
      <c r="D1797" s="1">
        <v>4.5999999999999996</v>
      </c>
      <c r="E1797" s="1">
        <v>0.6</v>
      </c>
      <c r="F1797" s="1">
        <v>0.13</v>
      </c>
      <c r="G1797" s="1"/>
      <c r="H1797" s="126">
        <f t="shared" si="28"/>
        <v>0.63820086880942895</v>
      </c>
      <c r="I1797" s="89">
        <v>288.99000000000007</v>
      </c>
      <c r="J1797" s="126">
        <v>78.193749999999994</v>
      </c>
    </row>
    <row r="1798" spans="1:10" x14ac:dyDescent="0.3">
      <c r="A1798" s="88" t="s">
        <v>483</v>
      </c>
      <c r="B1798" s="24">
        <v>39416</v>
      </c>
      <c r="C1798" s="32">
        <v>1.9476124647197743</v>
      </c>
      <c r="D1798" s="1">
        <v>7.6</v>
      </c>
      <c r="E1798" s="1">
        <v>3.8</v>
      </c>
      <c r="F1798" s="1">
        <v>3.9950000000000001</v>
      </c>
      <c r="G1798" s="1"/>
      <c r="H1798" s="126">
        <f t="shared" si="28"/>
        <v>0.80214634758046521</v>
      </c>
      <c r="I1798" s="89">
        <v>387.63000000000011</v>
      </c>
      <c r="J1798" s="126">
        <v>86.36145833333336</v>
      </c>
    </row>
    <row r="1799" spans="1:10" x14ac:dyDescent="0.3">
      <c r="A1799" s="88" t="s">
        <v>483</v>
      </c>
      <c r="B1799" s="24">
        <v>39417</v>
      </c>
      <c r="C1799" s="32">
        <v>2.1654138586486953</v>
      </c>
      <c r="D1799" s="1">
        <v>9.9</v>
      </c>
      <c r="E1799" s="1">
        <v>0</v>
      </c>
      <c r="F1799" s="1">
        <v>1.355</v>
      </c>
      <c r="G1799" s="1"/>
      <c r="H1799" s="126">
        <f t="shared" si="28"/>
        <v>0.61099999999999999</v>
      </c>
      <c r="I1799" s="89">
        <v>363.24000000000018</v>
      </c>
      <c r="J1799" s="126">
        <v>77.541666666666643</v>
      </c>
    </row>
    <row r="1800" spans="1:10" x14ac:dyDescent="0.3">
      <c r="A1800" s="88" t="s">
        <v>483</v>
      </c>
      <c r="B1800" s="24">
        <v>39418</v>
      </c>
      <c r="C1800" s="32">
        <v>0.60300385922469912</v>
      </c>
      <c r="D1800" s="1">
        <v>9.9</v>
      </c>
      <c r="E1800" s="1">
        <v>6</v>
      </c>
      <c r="F1800" s="1">
        <v>3.8149999999999999</v>
      </c>
      <c r="G1800" s="1"/>
      <c r="H1800" s="126">
        <f t="shared" si="28"/>
        <v>0.93541559507788385</v>
      </c>
      <c r="I1800" s="89">
        <v>388.17000000000007</v>
      </c>
      <c r="J1800" s="126">
        <v>79.706249999999997</v>
      </c>
    </row>
    <row r="1801" spans="1:10" x14ac:dyDescent="0.3">
      <c r="A1801" s="88" t="s">
        <v>483</v>
      </c>
      <c r="B1801" s="24">
        <v>39419</v>
      </c>
      <c r="C1801" s="32">
        <v>1.0822806108064356</v>
      </c>
      <c r="D1801" s="1">
        <v>8.4</v>
      </c>
      <c r="E1801" s="1">
        <v>3.8</v>
      </c>
      <c r="F1801" s="1">
        <v>6.17</v>
      </c>
      <c r="G1801" s="1"/>
      <c r="H1801" s="126">
        <f t="shared" si="28"/>
        <v>0.80214634758046521</v>
      </c>
      <c r="I1801" s="89">
        <v>617.89642105263147</v>
      </c>
      <c r="J1801" s="126">
        <v>82.214736842105282</v>
      </c>
    </row>
    <row r="1802" spans="1:10" x14ac:dyDescent="0.3">
      <c r="A1802" s="88" t="s">
        <v>483</v>
      </c>
      <c r="B1802" s="24">
        <v>39420</v>
      </c>
      <c r="C1802" s="32">
        <v>2.4192154829790913</v>
      </c>
      <c r="D1802" s="1">
        <v>7.1</v>
      </c>
      <c r="E1802" s="1">
        <v>4.3</v>
      </c>
      <c r="F1802" s="1">
        <v>0.51500000000000001</v>
      </c>
      <c r="G1802" s="1"/>
      <c r="H1802" s="126">
        <f t="shared" si="28"/>
        <v>0.83086609768035358</v>
      </c>
      <c r="I1802" s="89">
        <v>394.20000000000005</v>
      </c>
      <c r="J1802" s="126">
        <v>81.279166666666669</v>
      </c>
    </row>
    <row r="1803" spans="1:10" x14ac:dyDescent="0.3">
      <c r="A1803" s="88" t="s">
        <v>483</v>
      </c>
      <c r="B1803" s="24">
        <v>39421</v>
      </c>
      <c r="C1803" s="32">
        <v>0.78300501123207189</v>
      </c>
      <c r="D1803" s="1">
        <v>9.9</v>
      </c>
      <c r="E1803" s="1">
        <v>0</v>
      </c>
      <c r="F1803" s="1">
        <v>0.34</v>
      </c>
      <c r="G1803" s="1"/>
      <c r="H1803" s="126">
        <f t="shared" si="28"/>
        <v>0.61099999999999999</v>
      </c>
      <c r="I1803" s="89">
        <v>341.1</v>
      </c>
      <c r="J1803" s="126">
        <v>80.816666666666691</v>
      </c>
    </row>
    <row r="1804" spans="1:10" x14ac:dyDescent="0.3">
      <c r="A1804" s="88" t="s">
        <v>483</v>
      </c>
      <c r="B1804" s="24">
        <v>39422</v>
      </c>
      <c r="C1804" s="32">
        <v>1.5642100109440702</v>
      </c>
      <c r="D1804" s="1">
        <v>9.9</v>
      </c>
      <c r="E1804" s="1">
        <v>0</v>
      </c>
      <c r="F1804" s="1">
        <v>5.085</v>
      </c>
      <c r="G1804" s="1"/>
      <c r="H1804" s="126">
        <f t="shared" si="28"/>
        <v>0.61099999999999999</v>
      </c>
      <c r="I1804" s="89">
        <v>332.00999999999993</v>
      </c>
      <c r="J1804" s="126">
        <v>83.05</v>
      </c>
    </row>
    <row r="1805" spans="1:10" x14ac:dyDescent="0.3">
      <c r="A1805" s="88" t="s">
        <v>483</v>
      </c>
      <c r="B1805" s="24">
        <v>39423</v>
      </c>
      <c r="C1805" s="32">
        <v>1.3509086458153332</v>
      </c>
      <c r="D1805" s="1">
        <v>9.8000000000000007</v>
      </c>
      <c r="E1805" s="1">
        <v>0</v>
      </c>
      <c r="F1805" s="1">
        <v>8.1349999999999998</v>
      </c>
      <c r="G1805" s="1"/>
      <c r="H1805" s="126">
        <f t="shared" si="28"/>
        <v>0.61099999999999999</v>
      </c>
      <c r="I1805" s="89">
        <v>563.94000000000017</v>
      </c>
      <c r="J1805" s="126">
        <v>81.379166666666677</v>
      </c>
    </row>
    <row r="1806" spans="1:10" x14ac:dyDescent="0.3">
      <c r="A1806" s="88" t="s">
        <v>483</v>
      </c>
      <c r="B1806" s="24">
        <v>39424</v>
      </c>
      <c r="C1806" s="32">
        <v>1.4472092621392778</v>
      </c>
      <c r="D1806" s="1">
        <v>7</v>
      </c>
      <c r="E1806" s="1">
        <v>4.3</v>
      </c>
      <c r="F1806" s="1">
        <v>0.185</v>
      </c>
      <c r="G1806" s="1"/>
      <c r="H1806" s="126">
        <f t="shared" si="28"/>
        <v>0.83086609768035358</v>
      </c>
      <c r="I1806" s="89">
        <v>393.75</v>
      </c>
      <c r="J1806" s="126">
        <v>74.263541666666711</v>
      </c>
    </row>
    <row r="1807" spans="1:10" x14ac:dyDescent="0.3">
      <c r="A1807" s="88" t="s">
        <v>483</v>
      </c>
      <c r="B1807" s="24">
        <v>39425</v>
      </c>
      <c r="C1807" s="32">
        <v>2.1267136109671103</v>
      </c>
      <c r="D1807" s="1">
        <v>9.1999999999999993</v>
      </c>
      <c r="E1807" s="1">
        <v>4.0999999999999996</v>
      </c>
      <c r="F1807" s="1">
        <v>2.2250000000000001</v>
      </c>
      <c r="G1807" s="1"/>
      <c r="H1807" s="126">
        <f t="shared" si="28"/>
        <v>0.81927114982761395</v>
      </c>
      <c r="I1807" s="89">
        <v>247.86</v>
      </c>
      <c r="J1807" s="126">
        <v>79.135416666666686</v>
      </c>
    </row>
    <row r="1808" spans="1:10" x14ac:dyDescent="0.3">
      <c r="A1808" s="88" t="s">
        <v>483</v>
      </c>
      <c r="B1808" s="24">
        <v>39426</v>
      </c>
      <c r="C1808" s="32">
        <v>0.73530470595011799</v>
      </c>
      <c r="D1808" s="1">
        <v>5.9</v>
      </c>
      <c r="E1808" s="1">
        <v>4.3</v>
      </c>
      <c r="F1808" s="1">
        <v>1.24</v>
      </c>
      <c r="G1808" s="1"/>
      <c r="H1808" s="126">
        <f t="shared" si="28"/>
        <v>0.83086609768035358</v>
      </c>
      <c r="I1808" s="89">
        <v>163.89000000000001</v>
      </c>
      <c r="J1808" s="126">
        <v>87.397916666666674</v>
      </c>
    </row>
    <row r="1809" spans="1:10" x14ac:dyDescent="0.3">
      <c r="A1809" s="88" t="s">
        <v>483</v>
      </c>
      <c r="B1809" s="24">
        <v>39427</v>
      </c>
      <c r="C1809" s="32">
        <v>0.16380104832670928</v>
      </c>
      <c r="D1809" s="1">
        <v>5</v>
      </c>
      <c r="E1809" s="1">
        <v>3.6</v>
      </c>
      <c r="F1809" s="1">
        <v>3.415</v>
      </c>
      <c r="G1809" s="1"/>
      <c r="H1809" s="126">
        <f t="shared" si="28"/>
        <v>0.79090602148237243</v>
      </c>
      <c r="I1809" s="89">
        <v>282.78000000000009</v>
      </c>
      <c r="J1809" s="126">
        <v>94.272916666666632</v>
      </c>
    </row>
    <row r="1810" spans="1:10" x14ac:dyDescent="0.3">
      <c r="A1810" s="88" t="s">
        <v>483</v>
      </c>
      <c r="B1810" s="24">
        <v>39428</v>
      </c>
      <c r="C1810" s="32">
        <v>0.27450175681124361</v>
      </c>
      <c r="D1810" s="1">
        <v>4.5999999999999996</v>
      </c>
      <c r="E1810" s="1">
        <v>3.7</v>
      </c>
      <c r="F1810" s="1">
        <v>0.23499999999999999</v>
      </c>
      <c r="G1810" s="1"/>
      <c r="H1810" s="126">
        <f t="shared" si="28"/>
        <v>0.79650868879481573</v>
      </c>
      <c r="I1810" s="89">
        <v>275.31000000000017</v>
      </c>
      <c r="J1810" s="126">
        <v>89.775000000000006</v>
      </c>
    </row>
    <row r="1811" spans="1:10" x14ac:dyDescent="0.3">
      <c r="A1811" s="88" t="s">
        <v>483</v>
      </c>
      <c r="B1811" s="24">
        <v>39429</v>
      </c>
      <c r="C1811" s="32">
        <v>0.98280628996025576</v>
      </c>
      <c r="D1811" s="1">
        <v>4</v>
      </c>
      <c r="E1811" s="1">
        <v>2.2000000000000002</v>
      </c>
      <c r="F1811" s="1">
        <v>0</v>
      </c>
      <c r="G1811" s="1"/>
      <c r="H1811" s="126">
        <f t="shared" si="28"/>
        <v>0.71603982725344328</v>
      </c>
      <c r="I1811" s="89">
        <v>130.58999999999997</v>
      </c>
      <c r="J1811" s="126">
        <v>85.198958333333323</v>
      </c>
    </row>
    <row r="1812" spans="1:10" x14ac:dyDescent="0.3">
      <c r="A1812" s="88" t="s">
        <v>483</v>
      </c>
      <c r="B1812" s="24">
        <v>39430</v>
      </c>
      <c r="C1812" s="32">
        <v>0.24660157825010079</v>
      </c>
      <c r="D1812" s="1">
        <v>2.2999999999999998</v>
      </c>
      <c r="E1812" s="1">
        <v>1.4</v>
      </c>
      <c r="F1812" s="1">
        <v>0.01</v>
      </c>
      <c r="G1812" s="1"/>
      <c r="H1812" s="126">
        <f t="shared" si="28"/>
        <v>0.67613129580825593</v>
      </c>
      <c r="I1812" s="89">
        <v>98.550000000000011</v>
      </c>
      <c r="J1812" s="126">
        <v>81.890625</v>
      </c>
    </row>
    <row r="1813" spans="1:10" x14ac:dyDescent="0.3">
      <c r="A1813" s="88" t="s">
        <v>483</v>
      </c>
      <c r="B1813" s="24">
        <v>39431</v>
      </c>
      <c r="C1813" s="32">
        <v>2.7909178618743162</v>
      </c>
      <c r="D1813" s="1">
        <v>3</v>
      </c>
      <c r="E1813" s="1">
        <v>0</v>
      </c>
      <c r="F1813" s="1">
        <v>0</v>
      </c>
      <c r="G1813" s="1"/>
      <c r="H1813" s="126">
        <f t="shared" si="28"/>
        <v>0.61099999999999999</v>
      </c>
      <c r="I1813" s="89">
        <v>221.03999999999996</v>
      </c>
      <c r="J1813" s="126">
        <v>82.481250000000003</v>
      </c>
    </row>
    <row r="1814" spans="1:10" x14ac:dyDescent="0.3">
      <c r="A1814" s="88" t="s">
        <v>483</v>
      </c>
      <c r="B1814" s="24">
        <v>39432</v>
      </c>
      <c r="C1814" s="32">
        <v>0.55980358274292963</v>
      </c>
      <c r="D1814" s="1">
        <v>4.4000000000000004</v>
      </c>
      <c r="E1814" s="1">
        <v>1.1000000000000001</v>
      </c>
      <c r="F1814" s="1">
        <v>0</v>
      </c>
      <c r="G1814" s="1"/>
      <c r="H1814" s="126">
        <f t="shared" si="28"/>
        <v>0.66168020278676021</v>
      </c>
      <c r="I1814" s="89">
        <v>181.61999999999995</v>
      </c>
      <c r="J1814" s="126">
        <v>91.106250000000003</v>
      </c>
    </row>
    <row r="1815" spans="1:10" x14ac:dyDescent="0.3">
      <c r="A1815" s="88" t="s">
        <v>483</v>
      </c>
      <c r="B1815" s="24">
        <v>39433</v>
      </c>
      <c r="C1815" s="32">
        <v>1.7964114970335812</v>
      </c>
      <c r="D1815" s="1">
        <v>1.4</v>
      </c>
      <c r="E1815" s="1">
        <v>0</v>
      </c>
      <c r="F1815" s="1">
        <v>0</v>
      </c>
      <c r="G1815" s="1"/>
      <c r="H1815" s="126">
        <f t="shared" si="28"/>
        <v>0.61099999999999999</v>
      </c>
      <c r="I1815" s="89">
        <v>301.76999999999987</v>
      </c>
      <c r="J1815" s="126">
        <v>84.293750000000003</v>
      </c>
    </row>
    <row r="1816" spans="1:10" x14ac:dyDescent="0.3">
      <c r="A1816" s="88" t="s">
        <v>483</v>
      </c>
      <c r="B1816" s="24">
        <v>39434</v>
      </c>
      <c r="C1816" s="32">
        <v>1.1349072634064858</v>
      </c>
      <c r="D1816" s="1">
        <v>2.4</v>
      </c>
      <c r="E1816" s="1">
        <v>0.3</v>
      </c>
      <c r="F1816" s="1">
        <v>0</v>
      </c>
      <c r="G1816" s="1"/>
      <c r="H1816" s="126">
        <f t="shared" si="28"/>
        <v>0.62446951587741306</v>
      </c>
      <c r="I1816" s="89">
        <v>271.17</v>
      </c>
      <c r="J1816" s="126">
        <v>88.55520833333334</v>
      </c>
    </row>
    <row r="1817" spans="1:10" x14ac:dyDescent="0.3">
      <c r="A1817" s="88" t="s">
        <v>483</v>
      </c>
      <c r="B1817" s="24">
        <v>39435</v>
      </c>
      <c r="C1817" s="32">
        <v>0.38610247105581474</v>
      </c>
      <c r="D1817" s="1">
        <v>3.5</v>
      </c>
      <c r="E1817" s="1">
        <v>2.4</v>
      </c>
      <c r="F1817" s="1">
        <v>0</v>
      </c>
      <c r="G1817" s="1"/>
      <c r="H1817" s="126">
        <f t="shared" si="28"/>
        <v>0.7263362808555901</v>
      </c>
      <c r="I1817" s="89">
        <v>118.17000000000002</v>
      </c>
      <c r="J1817" s="126">
        <v>94.529166666666654</v>
      </c>
    </row>
    <row r="1818" spans="1:10" x14ac:dyDescent="0.3">
      <c r="A1818" s="88" t="s">
        <v>483</v>
      </c>
      <c r="B1818" s="24">
        <v>39436</v>
      </c>
      <c r="C1818" s="32">
        <v>0.85320546051494728</v>
      </c>
      <c r="D1818" s="1">
        <v>4.5</v>
      </c>
      <c r="E1818" s="1">
        <v>3.3</v>
      </c>
      <c r="F1818" s="1">
        <v>0</v>
      </c>
      <c r="G1818" s="1"/>
      <c r="H1818" s="126">
        <f t="shared" si="28"/>
        <v>0.77430610767805441</v>
      </c>
      <c r="I1818" s="89">
        <v>89.460000000000008</v>
      </c>
      <c r="J1818" s="126">
        <v>96.25833333333334</v>
      </c>
    </row>
    <row r="1819" spans="1:10" x14ac:dyDescent="0.3">
      <c r="A1819" s="88" t="s">
        <v>483</v>
      </c>
      <c r="B1819" s="24">
        <v>39437</v>
      </c>
      <c r="C1819" s="32">
        <v>1.2411079430908358</v>
      </c>
      <c r="D1819" s="1">
        <v>5.2</v>
      </c>
      <c r="E1819" s="1">
        <v>3.8</v>
      </c>
      <c r="F1819" s="1">
        <v>0</v>
      </c>
      <c r="G1819" s="1"/>
      <c r="H1819" s="126">
        <f t="shared" si="28"/>
        <v>0.80214634758046521</v>
      </c>
      <c r="I1819" s="89">
        <v>143.73000000000005</v>
      </c>
      <c r="J1819" s="126">
        <v>98.844791666666694</v>
      </c>
    </row>
    <row r="1820" spans="1:10" x14ac:dyDescent="0.3">
      <c r="A1820" s="88" t="s">
        <v>483</v>
      </c>
      <c r="B1820" s="24">
        <v>39438</v>
      </c>
      <c r="C1820" s="32">
        <v>2.2473143828120503</v>
      </c>
      <c r="D1820" s="1">
        <v>6.6</v>
      </c>
      <c r="E1820" s="1">
        <v>2.7</v>
      </c>
      <c r="F1820" s="1">
        <v>0</v>
      </c>
      <c r="G1820" s="1"/>
      <c r="H1820" s="126">
        <f t="shared" si="28"/>
        <v>0.74202613073523482</v>
      </c>
      <c r="I1820" s="89">
        <v>60.480000000000004</v>
      </c>
      <c r="J1820" s="126">
        <v>98.269791666666677</v>
      </c>
    </row>
    <row r="1821" spans="1:10" x14ac:dyDescent="0.3">
      <c r="A1821" s="88" t="s">
        <v>483</v>
      </c>
      <c r="B1821" s="24">
        <v>39439</v>
      </c>
      <c r="C1821" s="32">
        <v>0.86220551811531587</v>
      </c>
      <c r="D1821" s="1">
        <v>5.2</v>
      </c>
      <c r="E1821" s="1">
        <v>0</v>
      </c>
      <c r="F1821" s="1">
        <v>0.18</v>
      </c>
      <c r="G1821" s="1"/>
      <c r="H1821" s="126">
        <f t="shared" si="28"/>
        <v>0.61099999999999999</v>
      </c>
      <c r="I1821" s="89">
        <v>174.51000000000002</v>
      </c>
      <c r="J1821" s="126">
        <v>94.275000000000006</v>
      </c>
    </row>
    <row r="1822" spans="1:10" x14ac:dyDescent="0.3">
      <c r="A1822" s="88" t="s">
        <v>483</v>
      </c>
      <c r="B1822" s="24">
        <v>39440</v>
      </c>
      <c r="C1822" s="32">
        <v>0.85680548355509467</v>
      </c>
      <c r="D1822" s="1">
        <v>1.3</v>
      </c>
      <c r="E1822" s="1">
        <v>0</v>
      </c>
      <c r="F1822" s="1">
        <v>0</v>
      </c>
      <c r="G1822" s="1"/>
      <c r="H1822" s="126">
        <f t="shared" si="28"/>
        <v>0.61099999999999999</v>
      </c>
      <c r="I1822" s="89">
        <v>94.23</v>
      </c>
      <c r="J1822" s="126">
        <v>97.38229166666666</v>
      </c>
    </row>
    <row r="1823" spans="1:10" x14ac:dyDescent="0.3">
      <c r="A1823" s="88" t="s">
        <v>483</v>
      </c>
      <c r="B1823" s="24">
        <v>39441</v>
      </c>
      <c r="C1823" s="32">
        <v>3.0078192500432004</v>
      </c>
      <c r="D1823" s="1">
        <v>3.1</v>
      </c>
      <c r="E1823" s="1">
        <v>0.1</v>
      </c>
      <c r="F1823" s="1">
        <v>0</v>
      </c>
      <c r="G1823" s="1"/>
      <c r="H1823" s="126">
        <f t="shared" si="28"/>
        <v>0.61546101269605991</v>
      </c>
      <c r="I1823" s="89">
        <v>163.98</v>
      </c>
      <c r="J1823" s="126">
        <v>77.314583333333317</v>
      </c>
    </row>
    <row r="1824" spans="1:10" x14ac:dyDescent="0.3">
      <c r="A1824" s="88" t="s">
        <v>483</v>
      </c>
      <c r="B1824" s="24">
        <v>39442</v>
      </c>
      <c r="C1824" s="32">
        <v>0.80010512067277229</v>
      </c>
      <c r="D1824" s="1">
        <v>2.2000000000000002</v>
      </c>
      <c r="E1824" s="1">
        <v>0</v>
      </c>
      <c r="F1824" s="1">
        <v>0</v>
      </c>
      <c r="G1824" s="1"/>
      <c r="H1824" s="126">
        <f t="shared" si="28"/>
        <v>0.61099999999999999</v>
      </c>
      <c r="I1824" s="89">
        <v>234.63000000000002</v>
      </c>
      <c r="J1824" s="126">
        <v>75.290625000000006</v>
      </c>
    </row>
    <row r="1825" spans="1:10" x14ac:dyDescent="0.3">
      <c r="A1825" s="88" t="s">
        <v>483</v>
      </c>
      <c r="B1825" s="24">
        <v>39443</v>
      </c>
      <c r="C1825" s="32">
        <v>2.2833146132135247</v>
      </c>
      <c r="D1825" s="1">
        <v>3.9</v>
      </c>
      <c r="E1825" s="1">
        <v>0.1</v>
      </c>
      <c r="F1825" s="1">
        <v>0</v>
      </c>
      <c r="G1825" s="1"/>
      <c r="H1825" s="126">
        <f t="shared" si="28"/>
        <v>0.61546101269605991</v>
      </c>
      <c r="I1825" s="89">
        <v>250.74000000000004</v>
      </c>
      <c r="J1825" s="126">
        <v>82.422916666666637</v>
      </c>
    </row>
    <row r="1826" spans="1:10" x14ac:dyDescent="0.3">
      <c r="A1826" s="88" t="s">
        <v>483</v>
      </c>
      <c r="B1826" s="24">
        <v>39444</v>
      </c>
      <c r="C1826" s="32">
        <v>1.570510051264328</v>
      </c>
      <c r="D1826" s="1">
        <v>6</v>
      </c>
      <c r="E1826" s="1">
        <v>3.8</v>
      </c>
      <c r="F1826" s="1">
        <v>0</v>
      </c>
      <c r="G1826" s="1"/>
      <c r="H1826" s="126">
        <f t="shared" si="28"/>
        <v>0.80214634758046521</v>
      </c>
      <c r="I1826" s="89">
        <v>328.95</v>
      </c>
      <c r="J1826" s="126">
        <v>80.294791666666683</v>
      </c>
    </row>
    <row r="1827" spans="1:10" x14ac:dyDescent="0.3">
      <c r="A1827" s="88" t="s">
        <v>483</v>
      </c>
      <c r="B1827" s="24">
        <v>39445</v>
      </c>
      <c r="C1827" s="32">
        <v>0.82260526467369399</v>
      </c>
      <c r="D1827" s="1">
        <v>5</v>
      </c>
      <c r="E1827" s="1">
        <v>2.5</v>
      </c>
      <c r="F1827" s="1">
        <v>0</v>
      </c>
      <c r="G1827" s="1"/>
      <c r="H1827" s="126">
        <f t="shared" si="28"/>
        <v>0.73153336467415264</v>
      </c>
      <c r="I1827" s="89">
        <v>329.31000000000006</v>
      </c>
      <c r="J1827" s="126">
        <v>72.228125000000006</v>
      </c>
    </row>
    <row r="1828" spans="1:10" x14ac:dyDescent="0.3">
      <c r="A1828" s="88" t="s">
        <v>483</v>
      </c>
      <c r="B1828" s="24">
        <v>39446</v>
      </c>
      <c r="C1828" s="32">
        <v>0.6741043142676113</v>
      </c>
      <c r="D1828" s="1">
        <v>4.9000000000000004</v>
      </c>
      <c r="E1828" s="1">
        <v>2.7</v>
      </c>
      <c r="F1828" s="1">
        <v>0.52500000000000002</v>
      </c>
      <c r="G1828" s="1"/>
      <c r="H1828" s="126">
        <f t="shared" si="28"/>
        <v>0.74202613073523482</v>
      </c>
      <c r="I1828" s="89">
        <v>246.15000000000003</v>
      </c>
      <c r="J1828" s="126">
        <v>84.98333333333332</v>
      </c>
    </row>
    <row r="1829" spans="1:10" x14ac:dyDescent="0.3">
      <c r="A1829" s="88" t="s">
        <v>483</v>
      </c>
      <c r="B1829" s="24">
        <v>39447</v>
      </c>
      <c r="C1829" s="32">
        <v>1.9368123955993319</v>
      </c>
      <c r="D1829" s="1">
        <v>4</v>
      </c>
      <c r="E1829" s="1">
        <v>1.1000000000000001</v>
      </c>
      <c r="F1829" s="1">
        <v>0</v>
      </c>
      <c r="G1829" s="1"/>
      <c r="H1829" s="126">
        <f t="shared" si="28"/>
        <v>0.66168020278676021</v>
      </c>
      <c r="I1829" s="89">
        <v>256.41000000000003</v>
      </c>
      <c r="J1829" s="126">
        <v>90.83645833333334</v>
      </c>
    </row>
    <row r="1830" spans="1:10" x14ac:dyDescent="0.3">
      <c r="A1830" s="88" t="s">
        <v>483</v>
      </c>
      <c r="B1830" s="24">
        <v>39448</v>
      </c>
      <c r="C1830" s="32">
        <v>0.84240539139450499</v>
      </c>
      <c r="D1830" s="1">
        <v>1.1000000000000001</v>
      </c>
      <c r="E1830" s="1">
        <v>-1</v>
      </c>
      <c r="F1830" s="1">
        <v>1.4650000000000001</v>
      </c>
      <c r="G1830" s="1"/>
      <c r="H1830" s="126">
        <f t="shared" si="28"/>
        <v>0.5679377955282604</v>
      </c>
      <c r="I1830" s="89">
        <v>141.84000000000003</v>
      </c>
      <c r="J1830" s="125">
        <v>95.430208333333326</v>
      </c>
    </row>
    <row r="1831" spans="1:10" x14ac:dyDescent="0.3">
      <c r="A1831" s="88" t="s">
        <v>483</v>
      </c>
      <c r="B1831" s="24">
        <v>39449</v>
      </c>
      <c r="C1831" s="32">
        <v>1.30590835781349</v>
      </c>
      <c r="D1831" s="1">
        <v>0</v>
      </c>
      <c r="E1831" s="1">
        <v>-1.2</v>
      </c>
      <c r="F1831" s="1">
        <v>0.48</v>
      </c>
      <c r="G1831" s="1"/>
      <c r="H1831" s="126">
        <f t="shared" si="28"/>
        <v>0.55965503960920326</v>
      </c>
      <c r="I1831" s="89">
        <v>209.97000000000008</v>
      </c>
      <c r="J1831" s="125">
        <v>92.261458333333351</v>
      </c>
    </row>
    <row r="1832" spans="1:10" x14ac:dyDescent="0.3">
      <c r="A1832" s="88" t="s">
        <v>483</v>
      </c>
      <c r="B1832" s="24">
        <v>39450</v>
      </c>
      <c r="C1832" s="32">
        <v>0.85680548355509467</v>
      </c>
      <c r="D1832" s="1">
        <v>-1.1000000000000001</v>
      </c>
      <c r="E1832" s="1">
        <v>-3.6</v>
      </c>
      <c r="F1832" s="1">
        <v>0</v>
      </c>
      <c r="G1832" s="1"/>
      <c r="H1832" s="126">
        <f t="shared" si="28"/>
        <v>0.46827867731545425</v>
      </c>
      <c r="I1832" s="89">
        <v>589.95000000000005</v>
      </c>
      <c r="J1832" s="125">
        <v>89.7708333333333</v>
      </c>
    </row>
    <row r="1833" spans="1:10" x14ac:dyDescent="0.3">
      <c r="A1833" s="88" t="s">
        <v>483</v>
      </c>
      <c r="B1833" s="24">
        <v>39451</v>
      </c>
      <c r="C1833" s="32">
        <v>2.6073166868267954</v>
      </c>
      <c r="D1833" s="1">
        <v>-3.1</v>
      </c>
      <c r="E1833" s="1">
        <v>-5.5</v>
      </c>
      <c r="F1833" s="1">
        <v>0</v>
      </c>
      <c r="G1833" s="1"/>
      <c r="H1833" s="126">
        <f t="shared" si="28"/>
        <v>0.40558302691933429</v>
      </c>
      <c r="I1833" s="89">
        <v>428.4</v>
      </c>
      <c r="J1833" s="125">
        <v>92.546875</v>
      </c>
    </row>
    <row r="1834" spans="1:10" x14ac:dyDescent="0.3">
      <c r="A1834" s="88" t="s">
        <v>483</v>
      </c>
      <c r="B1834" s="24">
        <v>39452</v>
      </c>
      <c r="C1834" s="32">
        <v>0.58500374402396171</v>
      </c>
      <c r="D1834" s="1">
        <v>7.4</v>
      </c>
      <c r="E1834" s="1">
        <v>-3.2</v>
      </c>
      <c r="F1834" s="1">
        <v>0</v>
      </c>
      <c r="G1834" s="1"/>
      <c r="H1834" s="126">
        <f t="shared" si="28"/>
        <v>0.48252218724041501</v>
      </c>
      <c r="I1834" s="89">
        <v>248.39999999999998</v>
      </c>
      <c r="J1834" s="125">
        <v>83.01770833333336</v>
      </c>
    </row>
    <row r="1835" spans="1:10" x14ac:dyDescent="0.3">
      <c r="A1835" s="88" t="s">
        <v>483</v>
      </c>
      <c r="B1835" s="24">
        <v>39453</v>
      </c>
      <c r="C1835" s="32">
        <v>0.53820344450204483</v>
      </c>
      <c r="D1835" s="1">
        <v>5.2</v>
      </c>
      <c r="E1835" s="1">
        <v>1.5</v>
      </c>
      <c r="F1835" s="1">
        <v>5.3650000000000002</v>
      </c>
      <c r="G1835" s="1"/>
      <c r="H1835" s="126">
        <f t="shared" si="28"/>
        <v>0.68100991033793745</v>
      </c>
      <c r="I1835" s="89">
        <v>175.86</v>
      </c>
      <c r="J1835" s="125">
        <v>91.404166666666626</v>
      </c>
    </row>
    <row r="1836" spans="1:10" x14ac:dyDescent="0.3">
      <c r="A1836" s="88" t="s">
        <v>483</v>
      </c>
      <c r="B1836" s="24">
        <v>39454</v>
      </c>
      <c r="C1836" s="32">
        <v>1.7334110938310006</v>
      </c>
      <c r="D1836" s="1">
        <v>8</v>
      </c>
      <c r="E1836" s="1">
        <v>0.6</v>
      </c>
      <c r="F1836" s="1">
        <v>10.875</v>
      </c>
      <c r="G1836" s="1"/>
      <c r="H1836" s="126">
        <f t="shared" si="28"/>
        <v>0.63820086880942895</v>
      </c>
      <c r="I1836" s="89">
        <v>303.65999999999997</v>
      </c>
      <c r="J1836" s="125">
        <v>80.059375000000003</v>
      </c>
    </row>
    <row r="1837" spans="1:10" x14ac:dyDescent="0.3">
      <c r="A1837" s="88" t="s">
        <v>483</v>
      </c>
      <c r="B1837" s="24">
        <v>39455</v>
      </c>
      <c r="C1837" s="32">
        <v>2.691917228270261</v>
      </c>
      <c r="D1837" s="1">
        <v>7.2</v>
      </c>
      <c r="E1837" s="1">
        <v>2.9</v>
      </c>
      <c r="F1837" s="1">
        <v>2.37</v>
      </c>
      <c r="G1837" s="1"/>
      <c r="H1837" s="126">
        <f t="shared" si="28"/>
        <v>0.75265154972421666</v>
      </c>
      <c r="I1837" s="89">
        <v>323.90999999999997</v>
      </c>
      <c r="J1837" s="125">
        <v>79.465625000000003</v>
      </c>
    </row>
    <row r="1838" spans="1:10" x14ac:dyDescent="0.3">
      <c r="A1838" s="88" t="s">
        <v>483</v>
      </c>
      <c r="B1838" s="24">
        <v>39456</v>
      </c>
      <c r="C1838" s="32">
        <v>2.0889133690455619</v>
      </c>
      <c r="D1838" s="1">
        <v>6.8</v>
      </c>
      <c r="E1838" s="1">
        <v>1.5</v>
      </c>
      <c r="F1838" s="1">
        <v>0.245</v>
      </c>
      <c r="G1838" s="1"/>
      <c r="H1838" s="126">
        <f t="shared" si="28"/>
        <v>0.68100991033793745</v>
      </c>
      <c r="I1838" s="89">
        <v>204.20999999999992</v>
      </c>
      <c r="J1838" s="125">
        <v>79.347916666666663</v>
      </c>
    </row>
    <row r="1839" spans="1:10" x14ac:dyDescent="0.3">
      <c r="A1839" s="88" t="s">
        <v>483</v>
      </c>
      <c r="B1839" s="24">
        <v>39457</v>
      </c>
      <c r="C1839" s="32">
        <v>2.4471156615402339</v>
      </c>
      <c r="D1839" s="1">
        <v>8.6</v>
      </c>
      <c r="E1839" s="1">
        <v>2.7</v>
      </c>
      <c r="F1839" s="1">
        <v>0</v>
      </c>
      <c r="G1839" s="1"/>
      <c r="H1839" s="126">
        <f t="shared" si="28"/>
        <v>0.74202613073523482</v>
      </c>
      <c r="I1839" s="89">
        <v>297.27</v>
      </c>
      <c r="J1839" s="125">
        <v>74.86770833333334</v>
      </c>
    </row>
    <row r="1840" spans="1:10" x14ac:dyDescent="0.3">
      <c r="A1840" s="88" t="s">
        <v>483</v>
      </c>
      <c r="B1840" s="24">
        <v>39458</v>
      </c>
      <c r="C1840" s="32">
        <v>2.9574189274811356</v>
      </c>
      <c r="D1840" s="1">
        <v>12.3</v>
      </c>
      <c r="E1840" s="1">
        <v>8.3000000000000007</v>
      </c>
      <c r="F1840" s="1">
        <v>0</v>
      </c>
      <c r="G1840" s="1"/>
      <c r="H1840" s="126">
        <f t="shared" si="28"/>
        <v>1.0952445521994474</v>
      </c>
      <c r="I1840" s="89">
        <v>263.70000000000005</v>
      </c>
      <c r="J1840" s="125">
        <v>67.873958333333363</v>
      </c>
    </row>
    <row r="1841" spans="1:10" x14ac:dyDescent="0.3">
      <c r="A1841" s="88" t="s">
        <v>483</v>
      </c>
      <c r="B1841" s="24">
        <v>39459</v>
      </c>
      <c r="C1841" s="32">
        <v>1.8639119290363459</v>
      </c>
      <c r="D1841" s="1">
        <v>11.5</v>
      </c>
      <c r="E1841" s="1">
        <v>4</v>
      </c>
      <c r="F1841" s="1">
        <v>0</v>
      </c>
      <c r="G1841" s="1"/>
      <c r="H1841" s="126">
        <f t="shared" si="28"/>
        <v>0.81352738957079329</v>
      </c>
      <c r="I1841" s="89">
        <v>349.74000000000018</v>
      </c>
      <c r="J1841" s="125">
        <v>64.84375</v>
      </c>
    </row>
    <row r="1842" spans="1:10" x14ac:dyDescent="0.3">
      <c r="A1842" s="88" t="s">
        <v>483</v>
      </c>
      <c r="B1842" s="24">
        <v>39460</v>
      </c>
      <c r="C1842" s="32">
        <v>3.783624215194977</v>
      </c>
      <c r="D1842" s="1">
        <v>6.8</v>
      </c>
      <c r="E1842" s="1">
        <v>0.5</v>
      </c>
      <c r="F1842" s="1">
        <v>0</v>
      </c>
      <c r="G1842" s="1"/>
      <c r="H1842" s="126">
        <f t="shared" si="28"/>
        <v>0.63359438986733596</v>
      </c>
      <c r="I1842" s="89">
        <v>158.49</v>
      </c>
      <c r="J1842" s="125">
        <v>73.597916666666677</v>
      </c>
    </row>
    <row r="1843" spans="1:10" x14ac:dyDescent="0.3">
      <c r="A1843" s="88" t="s">
        <v>483</v>
      </c>
      <c r="B1843" s="24">
        <v>39461</v>
      </c>
      <c r="C1843" s="32">
        <v>1.8954121306376361</v>
      </c>
      <c r="D1843" s="1">
        <v>7.1</v>
      </c>
      <c r="E1843" s="1">
        <v>-1.1000000000000001</v>
      </c>
      <c r="F1843" s="1">
        <v>0</v>
      </c>
      <c r="G1843" s="1"/>
      <c r="H1843" s="126">
        <f t="shared" si="28"/>
        <v>0.56378296039812681</v>
      </c>
      <c r="I1843" s="89">
        <v>220.05</v>
      </c>
      <c r="J1843" s="125">
        <v>72.89895833333334</v>
      </c>
    </row>
    <row r="1844" spans="1:10" x14ac:dyDescent="0.3">
      <c r="A1844" s="88" t="s">
        <v>483</v>
      </c>
      <c r="B1844" s="24">
        <v>39462</v>
      </c>
      <c r="C1844" s="32">
        <v>1.7658113011923278</v>
      </c>
      <c r="D1844" s="1">
        <v>10.1</v>
      </c>
      <c r="E1844" s="1">
        <v>6</v>
      </c>
      <c r="F1844" s="1">
        <v>1.4999999999999999E-2</v>
      </c>
      <c r="G1844" s="1"/>
      <c r="H1844" s="126">
        <f t="shared" si="28"/>
        <v>0.93541559507788385</v>
      </c>
      <c r="I1844" s="89">
        <v>301.68000000000006</v>
      </c>
      <c r="J1844" s="125">
        <v>65.488541666666663</v>
      </c>
    </row>
    <row r="1845" spans="1:10" x14ac:dyDescent="0.3">
      <c r="A1845" s="88" t="s">
        <v>483</v>
      </c>
      <c r="B1845" s="24">
        <v>39463</v>
      </c>
      <c r="C1845" s="32">
        <v>0.86490553539542647</v>
      </c>
      <c r="D1845" s="1">
        <v>10.4</v>
      </c>
      <c r="E1845" s="1">
        <v>3.7</v>
      </c>
      <c r="F1845" s="1">
        <v>0.25</v>
      </c>
      <c r="G1845" s="1"/>
      <c r="H1845" s="126">
        <f t="shared" si="28"/>
        <v>0.79650868879481573</v>
      </c>
      <c r="I1845" s="89">
        <v>244.80000000000013</v>
      </c>
      <c r="J1845" s="125">
        <v>71.362499999999997</v>
      </c>
    </row>
    <row r="1846" spans="1:10" x14ac:dyDescent="0.3">
      <c r="A1846" s="88" t="s">
        <v>483</v>
      </c>
      <c r="B1846" s="24">
        <v>39464</v>
      </c>
      <c r="C1846" s="32">
        <v>2.6496169575485284</v>
      </c>
      <c r="D1846" s="1">
        <v>8.8000000000000007</v>
      </c>
      <c r="E1846" s="1">
        <v>3.5</v>
      </c>
      <c r="F1846" s="1">
        <v>2.63</v>
      </c>
      <c r="G1846" s="1"/>
      <c r="H1846" s="126">
        <f t="shared" si="28"/>
        <v>0.78533815916549388</v>
      </c>
      <c r="I1846" s="89">
        <v>175.76999999999998</v>
      </c>
      <c r="J1846" s="125">
        <v>78.018749999999997</v>
      </c>
    </row>
    <row r="1847" spans="1:10" x14ac:dyDescent="0.3">
      <c r="A1847" s="88" t="s">
        <v>483</v>
      </c>
      <c r="B1847" s="24">
        <v>39465</v>
      </c>
      <c r="C1847" s="32">
        <v>2.1159135418466679</v>
      </c>
      <c r="D1847" s="1">
        <v>9.8000000000000007</v>
      </c>
      <c r="E1847" s="1">
        <v>5.3</v>
      </c>
      <c r="F1847" s="1">
        <v>7</v>
      </c>
      <c r="G1847" s="1"/>
      <c r="H1847" s="126">
        <f t="shared" si="28"/>
        <v>0.89103953465215091</v>
      </c>
      <c r="I1847" s="89">
        <v>327.78000000000003</v>
      </c>
      <c r="J1847" s="125">
        <v>82.441666666666677</v>
      </c>
    </row>
    <row r="1848" spans="1:10" x14ac:dyDescent="0.3">
      <c r="A1848" s="88" t="s">
        <v>483</v>
      </c>
      <c r="B1848" s="24">
        <v>39466</v>
      </c>
      <c r="C1848" s="32">
        <v>0.49140314498012788</v>
      </c>
      <c r="D1848" s="1">
        <v>12.6</v>
      </c>
      <c r="E1848" s="1">
        <v>8.1999999999999993</v>
      </c>
      <c r="F1848" s="1">
        <v>12.14</v>
      </c>
      <c r="G1848" s="1"/>
      <c r="H1848" s="126">
        <f t="shared" si="28"/>
        <v>1.0878255375495476</v>
      </c>
      <c r="I1848" s="89">
        <v>424.25999999999988</v>
      </c>
      <c r="J1848" s="125">
        <v>92.212500000000006</v>
      </c>
    </row>
    <row r="1849" spans="1:10" x14ac:dyDescent="0.3">
      <c r="A1849" s="88" t="s">
        <v>483</v>
      </c>
      <c r="B1849" s="24">
        <v>39467</v>
      </c>
      <c r="C1849" s="32">
        <v>0.43830280513795289</v>
      </c>
      <c r="D1849" s="1">
        <v>11.8</v>
      </c>
      <c r="E1849" s="1">
        <v>7.9</v>
      </c>
      <c r="F1849" s="1">
        <v>19.074999999999999</v>
      </c>
      <c r="G1849" s="1"/>
      <c r="H1849" s="126">
        <f t="shared" si="28"/>
        <v>1.0658332114824252</v>
      </c>
      <c r="I1849" s="89">
        <v>377.73</v>
      </c>
      <c r="J1849" s="125">
        <v>94.283333333333317</v>
      </c>
    </row>
    <row r="1850" spans="1:10" x14ac:dyDescent="0.3">
      <c r="A1850" s="88" t="s">
        <v>483</v>
      </c>
      <c r="B1850" s="24">
        <v>39468</v>
      </c>
      <c r="C1850" s="32">
        <v>0.19440124416796267</v>
      </c>
      <c r="D1850" s="1">
        <v>10.7</v>
      </c>
      <c r="E1850" s="1">
        <v>7.2</v>
      </c>
      <c r="F1850" s="1">
        <v>6.7549999999999999</v>
      </c>
      <c r="G1850" s="1"/>
      <c r="H1850" s="126">
        <f t="shared" si="28"/>
        <v>1.0160332727272676</v>
      </c>
      <c r="I1850" s="89">
        <v>556.01999999999987</v>
      </c>
      <c r="J1850" s="125">
        <v>90.035416666666706</v>
      </c>
    </row>
    <row r="1851" spans="1:10" x14ac:dyDescent="0.3">
      <c r="A1851" s="88" t="s">
        <v>483</v>
      </c>
      <c r="B1851" s="24">
        <v>39469</v>
      </c>
      <c r="C1851" s="32">
        <v>4.007725649444156</v>
      </c>
      <c r="D1851" s="1">
        <v>8.8000000000000007</v>
      </c>
      <c r="E1851" s="1">
        <v>2.4</v>
      </c>
      <c r="F1851" s="1">
        <v>2.7949999999999999</v>
      </c>
      <c r="G1851" s="1"/>
      <c r="H1851" s="126">
        <f t="shared" si="28"/>
        <v>0.7263362808555901</v>
      </c>
      <c r="I1851" s="89">
        <v>461.79</v>
      </c>
      <c r="J1851" s="125">
        <v>79.666666666666657</v>
      </c>
    </row>
    <row r="1852" spans="1:10" x14ac:dyDescent="0.3">
      <c r="A1852" s="88" t="s">
        <v>483</v>
      </c>
      <c r="B1852" s="24">
        <v>39470</v>
      </c>
      <c r="C1852" s="32">
        <v>2.7594176602730256</v>
      </c>
      <c r="D1852" s="1">
        <v>6.1</v>
      </c>
      <c r="E1852" s="1">
        <v>0.3</v>
      </c>
      <c r="F1852" s="1">
        <v>0</v>
      </c>
      <c r="G1852" s="1"/>
      <c r="H1852" s="126">
        <f t="shared" si="28"/>
        <v>0.62446951587741306</v>
      </c>
      <c r="I1852" s="89">
        <v>282.06000000000006</v>
      </c>
      <c r="J1852" s="125">
        <v>78.181250000000006</v>
      </c>
    </row>
    <row r="1853" spans="1:10" x14ac:dyDescent="0.3">
      <c r="A1853" s="88" t="s">
        <v>483</v>
      </c>
      <c r="B1853" s="24">
        <v>39471</v>
      </c>
      <c r="C1853" s="32">
        <v>0.49500316802027539</v>
      </c>
      <c r="D1853" s="1">
        <v>8.1</v>
      </c>
      <c r="E1853" s="1">
        <v>5.2</v>
      </c>
      <c r="F1853" s="1">
        <v>3.5449999999999999</v>
      </c>
      <c r="G1853" s="1"/>
      <c r="H1853" s="126">
        <f t="shared" si="28"/>
        <v>0.88485406434684233</v>
      </c>
      <c r="I1853" s="89">
        <v>310.95000000000005</v>
      </c>
      <c r="J1853" s="125">
        <v>80.417708333333337</v>
      </c>
    </row>
    <row r="1854" spans="1:10" x14ac:dyDescent="0.3">
      <c r="A1854" s="88" t="s">
        <v>483</v>
      </c>
      <c r="B1854" s="24">
        <v>39472</v>
      </c>
      <c r="C1854" s="32">
        <v>4.6188295605091874</v>
      </c>
      <c r="D1854" s="1">
        <v>7.9</v>
      </c>
      <c r="E1854" s="1">
        <v>2.1</v>
      </c>
      <c r="F1854" s="1">
        <v>0</v>
      </c>
      <c r="G1854" s="1"/>
      <c r="H1854" s="126">
        <f t="shared" si="28"/>
        <v>0.7109401060616396</v>
      </c>
      <c r="I1854" s="89">
        <v>504.80999999999983</v>
      </c>
      <c r="J1854" s="125">
        <v>69.198958333333323</v>
      </c>
    </row>
    <row r="1855" spans="1:10" x14ac:dyDescent="0.3">
      <c r="A1855" s="88" t="s">
        <v>483</v>
      </c>
      <c r="B1855" s="24">
        <v>39473</v>
      </c>
      <c r="C1855" s="32">
        <v>3.2805209953343701</v>
      </c>
      <c r="D1855" s="1">
        <v>9.6</v>
      </c>
      <c r="E1855" s="1">
        <v>6.9</v>
      </c>
      <c r="F1855" s="1">
        <v>0.17</v>
      </c>
      <c r="G1855" s="1"/>
      <c r="H1855" s="126">
        <f t="shared" si="28"/>
        <v>0.99532561227749294</v>
      </c>
      <c r="I1855" s="89">
        <v>671.13000000000011</v>
      </c>
      <c r="J1855" s="125">
        <v>75.230208333333337</v>
      </c>
    </row>
    <row r="1856" spans="1:10" x14ac:dyDescent="0.3">
      <c r="A1856" s="88" t="s">
        <v>483</v>
      </c>
      <c r="B1856" s="24">
        <v>39474</v>
      </c>
      <c r="C1856" s="32">
        <v>0.49050313922009098</v>
      </c>
      <c r="D1856" s="1">
        <v>8.1</v>
      </c>
      <c r="E1856" s="1">
        <v>6.4</v>
      </c>
      <c r="F1856" s="1">
        <v>12.925000000000001</v>
      </c>
      <c r="G1856" s="1"/>
      <c r="H1856" s="126">
        <f t="shared" si="28"/>
        <v>0.96163811340513428</v>
      </c>
      <c r="I1856" s="89">
        <v>577.79999999999995</v>
      </c>
      <c r="J1856" s="125">
        <v>95.278125000000003</v>
      </c>
    </row>
    <row r="1857" spans="1:10" x14ac:dyDescent="0.3">
      <c r="A1857" s="88" t="s">
        <v>483</v>
      </c>
      <c r="B1857" s="24">
        <v>39475</v>
      </c>
      <c r="C1857" s="32">
        <v>0.91620586371752777</v>
      </c>
      <c r="D1857" s="1">
        <v>8</v>
      </c>
      <c r="E1857" s="1">
        <v>6.7</v>
      </c>
      <c r="F1857" s="1">
        <v>0.16</v>
      </c>
      <c r="G1857" s="1"/>
      <c r="H1857" s="126">
        <f t="shared" si="28"/>
        <v>0.98172789008858663</v>
      </c>
      <c r="I1857" s="89">
        <v>256.85999999999996</v>
      </c>
      <c r="J1857" s="125">
        <v>92.686458333333306</v>
      </c>
    </row>
    <row r="1858" spans="1:10" x14ac:dyDescent="0.3">
      <c r="A1858" s="88" t="s">
        <v>483</v>
      </c>
      <c r="B1858" s="24">
        <v>39476</v>
      </c>
      <c r="C1858" s="32">
        <v>1.3005083232532688</v>
      </c>
      <c r="D1858" s="1">
        <v>7.1</v>
      </c>
      <c r="E1858" s="1">
        <v>4.9000000000000004</v>
      </c>
      <c r="F1858" s="1">
        <v>0</v>
      </c>
      <c r="G1858" s="1"/>
      <c r="H1858" s="126">
        <f t="shared" si="28"/>
        <v>0.86652418747176108</v>
      </c>
      <c r="I1858" s="89">
        <v>147.69</v>
      </c>
      <c r="J1858" s="125">
        <v>74.192708333333357</v>
      </c>
    </row>
    <row r="1859" spans="1:10" x14ac:dyDescent="0.3">
      <c r="A1859" s="88" t="s">
        <v>483</v>
      </c>
      <c r="B1859" s="24">
        <v>39477</v>
      </c>
      <c r="C1859" s="32">
        <v>0.7389047289902656</v>
      </c>
      <c r="D1859" s="1">
        <v>5</v>
      </c>
      <c r="E1859" s="1">
        <v>2.2000000000000002</v>
      </c>
      <c r="F1859" s="1">
        <v>2.1549999999999998</v>
      </c>
      <c r="G1859" s="1"/>
      <c r="H1859" s="126">
        <f t="shared" si="28"/>
        <v>0.71603982725344328</v>
      </c>
      <c r="I1859" s="89">
        <v>256.04999999999995</v>
      </c>
      <c r="J1859" s="125">
        <v>83.066666666666649</v>
      </c>
    </row>
    <row r="1860" spans="1:10" x14ac:dyDescent="0.3">
      <c r="A1860" s="88" t="s">
        <v>483</v>
      </c>
      <c r="B1860" s="24">
        <v>39478</v>
      </c>
      <c r="C1860" s="32">
        <v>2.0043128276020967</v>
      </c>
      <c r="D1860" s="1">
        <v>3.8</v>
      </c>
      <c r="E1860" s="1">
        <v>1</v>
      </c>
      <c r="F1860" s="1">
        <v>0</v>
      </c>
      <c r="G1860" s="1"/>
      <c r="H1860" s="126">
        <f t="shared" ref="H1860:H1923" si="29">0.611*EXP((17.27*E1860)/(E1860+237.3))</f>
        <v>0.65692419645928013</v>
      </c>
      <c r="I1860" s="89">
        <v>366.84000000000003</v>
      </c>
      <c r="J1860" s="125">
        <v>73.9375</v>
      </c>
    </row>
    <row r="1861" spans="1:10" x14ac:dyDescent="0.3">
      <c r="A1861" s="88" t="s">
        <v>483</v>
      </c>
      <c r="B1861" s="24">
        <v>39479</v>
      </c>
      <c r="C1861" s="32">
        <v>2.9358187892402512</v>
      </c>
      <c r="D1861" s="1">
        <v>6.9</v>
      </c>
      <c r="E1861" s="1">
        <v>3.3</v>
      </c>
      <c r="F1861" s="1">
        <v>0.76</v>
      </c>
      <c r="G1861" s="1"/>
      <c r="H1861" s="126">
        <f t="shared" si="29"/>
        <v>0.77430610767805441</v>
      </c>
      <c r="I1861" s="89">
        <v>490.9500000000001</v>
      </c>
      <c r="J1861" s="125">
        <v>71.586458333333383</v>
      </c>
    </row>
    <row r="1862" spans="1:10" x14ac:dyDescent="0.3">
      <c r="A1862" s="88" t="s">
        <v>483</v>
      </c>
      <c r="B1862" s="24">
        <v>39480</v>
      </c>
      <c r="C1862" s="32">
        <v>5.0526323368469557</v>
      </c>
      <c r="D1862" s="1">
        <v>6.2</v>
      </c>
      <c r="E1862" s="1">
        <v>0.3</v>
      </c>
      <c r="F1862" s="1">
        <v>1.2749999999999999</v>
      </c>
      <c r="G1862" s="1"/>
      <c r="H1862" s="126">
        <f t="shared" si="29"/>
        <v>0.62446951587741306</v>
      </c>
      <c r="I1862" s="89">
        <v>392.31000000000006</v>
      </c>
      <c r="J1862" s="125">
        <v>76.467708333333348</v>
      </c>
    </row>
    <row r="1863" spans="1:10" x14ac:dyDescent="0.3">
      <c r="A1863" s="88" t="s">
        <v>483</v>
      </c>
      <c r="B1863" s="24">
        <v>39481</v>
      </c>
      <c r="C1863" s="32">
        <v>5.4531349000633611</v>
      </c>
      <c r="D1863" s="1">
        <v>4.8</v>
      </c>
      <c r="E1863" s="1">
        <v>0.4</v>
      </c>
      <c r="F1863" s="1">
        <v>5.0000000000000001E-3</v>
      </c>
      <c r="G1863" s="1"/>
      <c r="H1863" s="126">
        <f t="shared" si="29"/>
        <v>0.62901732612537431</v>
      </c>
      <c r="I1863" s="89">
        <v>221.39999999999998</v>
      </c>
      <c r="J1863" s="125">
        <v>66.2083333333333</v>
      </c>
    </row>
    <row r="1864" spans="1:10" x14ac:dyDescent="0.3">
      <c r="A1864" s="88" t="s">
        <v>483</v>
      </c>
      <c r="B1864" s="24">
        <v>39482</v>
      </c>
      <c r="C1864" s="32">
        <v>2.3787152237774323</v>
      </c>
      <c r="D1864" s="1">
        <v>7.8</v>
      </c>
      <c r="E1864" s="1">
        <v>0.1</v>
      </c>
      <c r="F1864" s="1">
        <v>2.5000000000000001E-2</v>
      </c>
      <c r="G1864" s="1"/>
      <c r="H1864" s="126">
        <f t="shared" si="29"/>
        <v>0.61546101269605991</v>
      </c>
      <c r="I1864" s="89">
        <v>195.83999999999997</v>
      </c>
      <c r="J1864" s="125">
        <v>67.93020833333334</v>
      </c>
    </row>
    <row r="1865" spans="1:10" x14ac:dyDescent="0.3">
      <c r="A1865" s="88" t="s">
        <v>483</v>
      </c>
      <c r="B1865" s="24">
        <v>39483</v>
      </c>
      <c r="C1865" s="32">
        <v>1.1673074707678128</v>
      </c>
      <c r="D1865" s="1">
        <v>7.6</v>
      </c>
      <c r="E1865" s="1">
        <v>2.5</v>
      </c>
      <c r="F1865" s="1">
        <v>5.5E-2</v>
      </c>
      <c r="G1865" s="1"/>
      <c r="H1865" s="126">
        <f t="shared" si="29"/>
        <v>0.73153336467415264</v>
      </c>
      <c r="I1865" s="89">
        <v>275.22000000000008</v>
      </c>
      <c r="J1865" s="125">
        <v>75.441666666666663</v>
      </c>
    </row>
    <row r="1866" spans="1:10" x14ac:dyDescent="0.3">
      <c r="A1866" s="88" t="s">
        <v>483</v>
      </c>
      <c r="B1866" s="24">
        <v>39484</v>
      </c>
      <c r="C1866" s="32">
        <v>1.8891120903173779</v>
      </c>
      <c r="D1866" s="1">
        <v>9.5</v>
      </c>
      <c r="E1866" s="1">
        <v>4.5</v>
      </c>
      <c r="F1866" s="1">
        <v>10.029999999999999</v>
      </c>
      <c r="G1866" s="1"/>
      <c r="H1866" s="126">
        <f t="shared" si="29"/>
        <v>0.84260555674484927</v>
      </c>
      <c r="I1866" s="89">
        <v>396.36</v>
      </c>
      <c r="J1866" s="125">
        <v>86.836458333333326</v>
      </c>
    </row>
    <row r="1867" spans="1:10" x14ac:dyDescent="0.3">
      <c r="A1867" s="88" t="s">
        <v>483</v>
      </c>
      <c r="B1867" s="24">
        <v>39485</v>
      </c>
      <c r="C1867" s="32">
        <v>5.9409380220033414</v>
      </c>
      <c r="D1867" s="1">
        <v>7.2</v>
      </c>
      <c r="E1867" s="1">
        <v>3.3</v>
      </c>
      <c r="F1867" s="1">
        <v>0</v>
      </c>
      <c r="G1867" s="1"/>
      <c r="H1867" s="126">
        <f t="shared" si="29"/>
        <v>0.77430610767805441</v>
      </c>
      <c r="I1867" s="89">
        <v>342.18000000000006</v>
      </c>
      <c r="J1867" s="125">
        <v>79.191666666666691</v>
      </c>
    </row>
    <row r="1868" spans="1:10" x14ac:dyDescent="0.3">
      <c r="A1868" s="88" t="s">
        <v>483</v>
      </c>
      <c r="B1868" s="24">
        <v>39486</v>
      </c>
      <c r="C1868" s="32">
        <v>6.5340418178676343</v>
      </c>
      <c r="D1868" s="1">
        <v>11.1</v>
      </c>
      <c r="E1868" s="1">
        <v>3.3</v>
      </c>
      <c r="F1868" s="1">
        <v>0</v>
      </c>
      <c r="G1868" s="1"/>
      <c r="H1868" s="126">
        <f t="shared" si="29"/>
        <v>0.77430610767805441</v>
      </c>
      <c r="I1868" s="89">
        <v>149.67000000000002</v>
      </c>
      <c r="J1868" s="125">
        <v>65.585416666666688</v>
      </c>
    </row>
    <row r="1869" spans="1:10" x14ac:dyDescent="0.3">
      <c r="A1869" s="88" t="s">
        <v>483</v>
      </c>
      <c r="B1869" s="24">
        <v>39487</v>
      </c>
      <c r="C1869" s="32">
        <v>7.1730459074938073</v>
      </c>
      <c r="D1869" s="1">
        <v>11.1</v>
      </c>
      <c r="E1869" s="1">
        <v>0.9</v>
      </c>
      <c r="F1869" s="1">
        <v>2.5000000000000001E-2</v>
      </c>
      <c r="G1869" s="1"/>
      <c r="H1869" s="126">
        <f t="shared" si="29"/>
        <v>0.65219842492921176</v>
      </c>
      <c r="I1869" s="89">
        <v>71.910000000000011</v>
      </c>
      <c r="J1869" s="125">
        <v>76.946875000000006</v>
      </c>
    </row>
    <row r="1870" spans="1:10" x14ac:dyDescent="0.3">
      <c r="A1870" s="88" t="s">
        <v>483</v>
      </c>
      <c r="B1870" s="24">
        <v>39488</v>
      </c>
      <c r="C1870" s="32">
        <v>6.9399444156442609</v>
      </c>
      <c r="D1870" s="1">
        <v>12.1</v>
      </c>
      <c r="E1870" s="1">
        <v>1.4</v>
      </c>
      <c r="F1870" s="1">
        <v>0</v>
      </c>
      <c r="G1870" s="1"/>
      <c r="H1870" s="126">
        <f t="shared" si="29"/>
        <v>0.67613129580825593</v>
      </c>
      <c r="I1870" s="89">
        <v>82.08</v>
      </c>
      <c r="J1870" s="125">
        <v>80.159374999999997</v>
      </c>
    </row>
    <row r="1871" spans="1:10" x14ac:dyDescent="0.3">
      <c r="A1871" s="88" t="s">
        <v>483</v>
      </c>
      <c r="B1871" s="24">
        <v>39489</v>
      </c>
      <c r="C1871" s="32">
        <v>7.4511476873451983</v>
      </c>
      <c r="D1871" s="1">
        <v>11.6</v>
      </c>
      <c r="E1871" s="1">
        <v>0.1</v>
      </c>
      <c r="F1871" s="1">
        <v>0</v>
      </c>
      <c r="G1871" s="1"/>
      <c r="H1871" s="126">
        <f t="shared" si="29"/>
        <v>0.61546101269605991</v>
      </c>
      <c r="I1871" s="89">
        <v>75.87</v>
      </c>
      <c r="J1871" s="125">
        <v>82</v>
      </c>
    </row>
    <row r="1872" spans="1:10" x14ac:dyDescent="0.3">
      <c r="A1872" s="88" t="s">
        <v>483</v>
      </c>
      <c r="B1872" s="24">
        <v>39490</v>
      </c>
      <c r="C1872" s="32">
        <v>1.1745075168481078</v>
      </c>
      <c r="D1872" s="1">
        <v>5.5</v>
      </c>
      <c r="E1872" s="1">
        <v>1.7</v>
      </c>
      <c r="F1872" s="1">
        <v>9.5000000000000001E-2</v>
      </c>
      <c r="G1872" s="1"/>
      <c r="H1872" s="126">
        <f t="shared" si="29"/>
        <v>0.69086052853268343</v>
      </c>
      <c r="I1872" s="89">
        <v>132.12</v>
      </c>
      <c r="J1872" s="125">
        <v>91.746875000000003</v>
      </c>
    </row>
    <row r="1873" spans="1:10" x14ac:dyDescent="0.3">
      <c r="A1873" s="88" t="s">
        <v>483</v>
      </c>
      <c r="B1873" s="24">
        <v>39491</v>
      </c>
      <c r="C1873" s="32">
        <v>5.6763363285525035</v>
      </c>
      <c r="D1873" s="1">
        <v>5.3</v>
      </c>
      <c r="E1873" s="1">
        <v>0.3</v>
      </c>
      <c r="F1873" s="1">
        <v>0</v>
      </c>
      <c r="G1873" s="1"/>
      <c r="H1873" s="126">
        <f t="shared" si="29"/>
        <v>0.62446951587741306</v>
      </c>
      <c r="I1873" s="89">
        <v>106.10999999999999</v>
      </c>
      <c r="J1873" s="125">
        <v>75.506249999999994</v>
      </c>
    </row>
    <row r="1874" spans="1:10" x14ac:dyDescent="0.3">
      <c r="A1874" s="88" t="s">
        <v>483</v>
      </c>
      <c r="B1874" s="24">
        <v>39492</v>
      </c>
      <c r="C1874" s="32">
        <v>0.7470047808305974</v>
      </c>
      <c r="D1874" s="1">
        <v>2.7</v>
      </c>
      <c r="E1874" s="1">
        <v>1.1000000000000001</v>
      </c>
      <c r="F1874" s="1">
        <v>0</v>
      </c>
      <c r="G1874" s="1"/>
      <c r="H1874" s="126">
        <f t="shared" si="29"/>
        <v>0.66168020278676021</v>
      </c>
      <c r="I1874" s="89">
        <v>91.170000000000016</v>
      </c>
      <c r="J1874" s="125">
        <v>91.102083333333326</v>
      </c>
    </row>
    <row r="1875" spans="1:10" x14ac:dyDescent="0.3">
      <c r="A1875" s="88" t="s">
        <v>483</v>
      </c>
      <c r="B1875" s="24">
        <v>39493</v>
      </c>
      <c r="C1875" s="32">
        <v>9.6201615690340425</v>
      </c>
      <c r="D1875" s="1">
        <v>4</v>
      </c>
      <c r="E1875" s="1">
        <v>0</v>
      </c>
      <c r="F1875" s="1">
        <v>0</v>
      </c>
      <c r="G1875" s="1"/>
      <c r="H1875" s="126">
        <f t="shared" si="29"/>
        <v>0.61099999999999999</v>
      </c>
      <c r="I1875" s="89">
        <v>188.73000000000002</v>
      </c>
      <c r="J1875" s="125">
        <v>78.13333333333334</v>
      </c>
    </row>
    <row r="1876" spans="1:10" x14ac:dyDescent="0.3">
      <c r="A1876" s="88" t="s">
        <v>483</v>
      </c>
      <c r="B1876" s="24">
        <v>39494</v>
      </c>
      <c r="C1876" s="32">
        <v>9.7650624963999775</v>
      </c>
      <c r="D1876" s="1">
        <v>6.2</v>
      </c>
      <c r="E1876" s="1">
        <v>0</v>
      </c>
      <c r="F1876" s="1">
        <v>0</v>
      </c>
      <c r="G1876" s="1"/>
      <c r="H1876" s="126">
        <f t="shared" si="29"/>
        <v>0.61099999999999999</v>
      </c>
      <c r="I1876" s="89">
        <v>75.149999999999977</v>
      </c>
      <c r="J1876" s="125">
        <v>90.405208333333334</v>
      </c>
    </row>
    <row r="1877" spans="1:10" x14ac:dyDescent="0.3">
      <c r="A1877" s="88" t="s">
        <v>483</v>
      </c>
      <c r="B1877" s="24">
        <v>39495</v>
      </c>
      <c r="C1877" s="32">
        <v>8.0235513507286438</v>
      </c>
      <c r="D1877" s="1">
        <v>5.0999999999999996</v>
      </c>
      <c r="E1877" s="1">
        <v>0.1</v>
      </c>
      <c r="F1877" s="1">
        <v>0</v>
      </c>
      <c r="G1877" s="1"/>
      <c r="H1877" s="126">
        <f t="shared" si="29"/>
        <v>0.61546101269605991</v>
      </c>
      <c r="I1877" s="89">
        <v>272.79000000000008</v>
      </c>
      <c r="J1877" s="125">
        <v>71.652083333333351</v>
      </c>
    </row>
    <row r="1878" spans="1:10" x14ac:dyDescent="0.3">
      <c r="A1878" s="88" t="s">
        <v>483</v>
      </c>
      <c r="B1878" s="24">
        <v>39496</v>
      </c>
      <c r="C1878" s="32">
        <v>0.80550515523299349</v>
      </c>
      <c r="D1878" s="1">
        <v>3.9</v>
      </c>
      <c r="E1878" s="1">
        <v>0.8</v>
      </c>
      <c r="F1878" s="1">
        <v>0</v>
      </c>
      <c r="G1878" s="1"/>
      <c r="H1878" s="126">
        <f t="shared" si="29"/>
        <v>0.64750272279315535</v>
      </c>
      <c r="I1878" s="89">
        <v>415.71000000000004</v>
      </c>
      <c r="J1878" s="125">
        <v>88.866666666666674</v>
      </c>
    </row>
    <row r="1879" spans="1:10" x14ac:dyDescent="0.3">
      <c r="A1879" s="88" t="s">
        <v>483</v>
      </c>
      <c r="B1879" s="24">
        <v>39497</v>
      </c>
      <c r="C1879" s="32">
        <v>3.4047217902194573</v>
      </c>
      <c r="D1879" s="1">
        <v>6.2</v>
      </c>
      <c r="E1879" s="1">
        <v>0.4</v>
      </c>
      <c r="F1879" s="1">
        <v>0</v>
      </c>
      <c r="G1879" s="1"/>
      <c r="H1879" s="126">
        <f t="shared" si="29"/>
        <v>0.62901732612537431</v>
      </c>
      <c r="I1879" s="89">
        <v>211.41</v>
      </c>
      <c r="J1879" s="125">
        <v>85.503124999999997</v>
      </c>
    </row>
    <row r="1880" spans="1:10" x14ac:dyDescent="0.3">
      <c r="A1880" s="88" t="s">
        <v>483</v>
      </c>
      <c r="B1880" s="24">
        <v>39498</v>
      </c>
      <c r="C1880" s="32">
        <v>4.2939274811358787</v>
      </c>
      <c r="D1880" s="1">
        <v>6.7</v>
      </c>
      <c r="E1880" s="1">
        <v>0.1</v>
      </c>
      <c r="F1880" s="1">
        <v>0</v>
      </c>
      <c r="G1880" s="1"/>
      <c r="H1880" s="126">
        <f t="shared" si="29"/>
        <v>0.61546101269605991</v>
      </c>
      <c r="I1880" s="89">
        <v>138.95999999999992</v>
      </c>
      <c r="J1880" s="125">
        <v>81.130208333333357</v>
      </c>
    </row>
    <row r="1881" spans="1:10" x14ac:dyDescent="0.3">
      <c r="A1881" s="88" t="s">
        <v>483</v>
      </c>
      <c r="B1881" s="24">
        <v>39499</v>
      </c>
      <c r="C1881" s="32">
        <v>4.420828293301077</v>
      </c>
      <c r="D1881" s="1">
        <v>9.1</v>
      </c>
      <c r="E1881" s="1">
        <v>2.1</v>
      </c>
      <c r="F1881" s="1">
        <v>0</v>
      </c>
      <c r="G1881" s="1"/>
      <c r="H1881" s="126">
        <f t="shared" si="29"/>
        <v>0.7109401060616396</v>
      </c>
      <c r="I1881" s="89">
        <v>304.10999999999996</v>
      </c>
      <c r="J1881" s="125">
        <v>80.115624999999994</v>
      </c>
    </row>
    <row r="1882" spans="1:10" x14ac:dyDescent="0.3">
      <c r="A1882" s="88" t="s">
        <v>483</v>
      </c>
      <c r="B1882" s="24">
        <v>39500</v>
      </c>
      <c r="C1882" s="32">
        <v>0.7236046310696389</v>
      </c>
      <c r="D1882" s="1">
        <v>10.4</v>
      </c>
      <c r="E1882" s="1">
        <v>8.9</v>
      </c>
      <c r="F1882" s="1">
        <v>0.36</v>
      </c>
      <c r="G1882" s="1"/>
      <c r="H1882" s="126">
        <f t="shared" si="29"/>
        <v>1.1407010860938473</v>
      </c>
      <c r="I1882" s="89">
        <v>628.29</v>
      </c>
      <c r="J1882" s="125">
        <v>80.77395833333334</v>
      </c>
    </row>
    <row r="1883" spans="1:10" x14ac:dyDescent="0.3">
      <c r="A1883" s="88" t="s">
        <v>483</v>
      </c>
      <c r="B1883" s="24">
        <v>39501</v>
      </c>
      <c r="C1883" s="32">
        <v>7.3593470998214388</v>
      </c>
      <c r="D1883" s="1">
        <v>10.5</v>
      </c>
      <c r="E1883" s="1">
        <v>5.8</v>
      </c>
      <c r="F1883" s="1">
        <v>0.7</v>
      </c>
      <c r="G1883" s="1"/>
      <c r="H1883" s="126">
        <f t="shared" si="29"/>
        <v>0.92254223518646628</v>
      </c>
      <c r="I1883" s="89">
        <v>459.89999999999986</v>
      </c>
      <c r="J1883" s="125">
        <v>66.754166666666663</v>
      </c>
    </row>
    <row r="1884" spans="1:10" x14ac:dyDescent="0.3">
      <c r="A1884" s="88" t="s">
        <v>483</v>
      </c>
      <c r="B1884" s="24">
        <v>39502</v>
      </c>
      <c r="C1884" s="32">
        <v>2.651416969068602</v>
      </c>
      <c r="D1884" s="1">
        <v>9.5</v>
      </c>
      <c r="E1884" s="1">
        <v>7</v>
      </c>
      <c r="F1884" s="1">
        <v>0</v>
      </c>
      <c r="G1884" s="1"/>
      <c r="H1884" s="126">
        <f t="shared" si="29"/>
        <v>1.0021864739217894</v>
      </c>
      <c r="I1884" s="89">
        <v>265.50000000000011</v>
      </c>
      <c r="J1884" s="125">
        <v>76.366666666666703</v>
      </c>
    </row>
    <row r="1885" spans="1:10" x14ac:dyDescent="0.3">
      <c r="A1885" s="88" t="s">
        <v>483</v>
      </c>
      <c r="B1885" s="24">
        <v>39503</v>
      </c>
      <c r="C1885" s="32">
        <v>8.8236564714014172</v>
      </c>
      <c r="D1885" s="1">
        <v>9.6</v>
      </c>
      <c r="E1885" s="1">
        <v>3.8</v>
      </c>
      <c r="F1885" s="1">
        <v>2.2749999999999999</v>
      </c>
      <c r="G1885" s="1"/>
      <c r="H1885" s="126">
        <f t="shared" si="29"/>
        <v>0.80214634758046521</v>
      </c>
      <c r="I1885" s="89">
        <v>276.48</v>
      </c>
      <c r="J1885" s="125">
        <v>73.801041666666706</v>
      </c>
    </row>
    <row r="1886" spans="1:10" x14ac:dyDescent="0.3">
      <c r="A1886" s="88" t="s">
        <v>483</v>
      </c>
      <c r="B1886" s="24">
        <v>39504</v>
      </c>
      <c r="C1886" s="32">
        <v>2.3976153447382065</v>
      </c>
      <c r="D1886" s="1">
        <v>13.1</v>
      </c>
      <c r="E1886" s="1">
        <v>2.9</v>
      </c>
      <c r="F1886" s="1">
        <v>1.675</v>
      </c>
      <c r="G1886" s="1"/>
      <c r="H1886" s="126">
        <f t="shared" si="29"/>
        <v>0.75265154972421666</v>
      </c>
      <c r="I1886" s="89">
        <v>350.6400000000001</v>
      </c>
      <c r="J1886" s="125">
        <v>76.696875000000006</v>
      </c>
    </row>
    <row r="1887" spans="1:10" x14ac:dyDescent="0.3">
      <c r="A1887" s="88" t="s">
        <v>483</v>
      </c>
      <c r="B1887" s="24">
        <v>39505</v>
      </c>
      <c r="C1887" s="32">
        <v>5.4153346581418127</v>
      </c>
      <c r="D1887" s="1">
        <v>9.5</v>
      </c>
      <c r="E1887" s="1">
        <v>4.2</v>
      </c>
      <c r="F1887" s="1">
        <v>0</v>
      </c>
      <c r="G1887" s="1"/>
      <c r="H1887" s="126">
        <f t="shared" si="29"/>
        <v>0.82505065566727931</v>
      </c>
      <c r="I1887" s="89">
        <v>536.39999999999964</v>
      </c>
      <c r="J1887" s="125">
        <v>67.446875000000006</v>
      </c>
    </row>
    <row r="1888" spans="1:10" x14ac:dyDescent="0.3">
      <c r="A1888" s="88" t="s">
        <v>483</v>
      </c>
      <c r="B1888" s="24">
        <v>39506</v>
      </c>
      <c r="C1888" s="32">
        <v>6.3324405276193776</v>
      </c>
      <c r="D1888" s="1">
        <v>9.3000000000000007</v>
      </c>
      <c r="E1888" s="1">
        <v>3.4</v>
      </c>
      <c r="F1888" s="1">
        <v>0</v>
      </c>
      <c r="G1888" s="1"/>
      <c r="H1888" s="126">
        <f t="shared" si="29"/>
        <v>0.77980491618110859</v>
      </c>
      <c r="I1888" s="89">
        <v>247.41000000000008</v>
      </c>
      <c r="J1888" s="125">
        <v>71.170833333333363</v>
      </c>
    </row>
    <row r="1889" spans="1:10" x14ac:dyDescent="0.3">
      <c r="A1889" s="88" t="s">
        <v>483</v>
      </c>
      <c r="B1889" s="24">
        <v>39507</v>
      </c>
      <c r="C1889" s="32">
        <v>5.5728356661482632</v>
      </c>
      <c r="D1889" s="1">
        <v>9.8000000000000007</v>
      </c>
      <c r="E1889" s="1">
        <v>3.3</v>
      </c>
      <c r="F1889" s="1">
        <v>3.57</v>
      </c>
      <c r="G1889" s="1"/>
      <c r="H1889" s="126">
        <f t="shared" si="29"/>
        <v>0.77430610767805441</v>
      </c>
      <c r="I1889" s="89">
        <v>215.91000000000003</v>
      </c>
      <c r="J1889" s="125">
        <v>74.789583333333326</v>
      </c>
    </row>
    <row r="1890" spans="1:10" x14ac:dyDescent="0.3">
      <c r="A1890" s="88" t="s">
        <v>483</v>
      </c>
      <c r="B1890" s="24">
        <v>39508</v>
      </c>
      <c r="C1890" s="32">
        <v>2.7009172858706298</v>
      </c>
      <c r="D1890" s="1">
        <v>9.1</v>
      </c>
      <c r="E1890" s="1">
        <v>2.1</v>
      </c>
      <c r="F1890" s="1">
        <v>12.815</v>
      </c>
      <c r="G1890" s="1"/>
      <c r="H1890" s="126">
        <f t="shared" si="29"/>
        <v>0.7109401060616396</v>
      </c>
      <c r="I1890" s="89">
        <v>776.16000000000031</v>
      </c>
      <c r="J1890" s="125">
        <v>83.407291666666694</v>
      </c>
    </row>
    <row r="1891" spans="1:10" x14ac:dyDescent="0.3">
      <c r="A1891" s="88" t="s">
        <v>483</v>
      </c>
      <c r="B1891" s="24">
        <v>39509</v>
      </c>
      <c r="C1891" s="32">
        <v>5.0922325902885781</v>
      </c>
      <c r="D1891" s="1">
        <v>10</v>
      </c>
      <c r="E1891" s="1">
        <v>3.9</v>
      </c>
      <c r="F1891" s="1">
        <v>4.16</v>
      </c>
      <c r="G1891" s="1"/>
      <c r="H1891" s="126">
        <f t="shared" si="29"/>
        <v>0.80781918513419737</v>
      </c>
      <c r="I1891" s="89">
        <v>700.74000000000035</v>
      </c>
      <c r="J1891" s="125">
        <v>75.793750000000003</v>
      </c>
    </row>
    <row r="1892" spans="1:10" x14ac:dyDescent="0.3">
      <c r="A1892" s="88" t="s">
        <v>483</v>
      </c>
      <c r="B1892" s="24">
        <v>39510</v>
      </c>
      <c r="C1892" s="32">
        <v>6.3486406313000412</v>
      </c>
      <c r="D1892" s="1">
        <v>8.6999999999999993</v>
      </c>
      <c r="E1892" s="1">
        <v>1.1000000000000001</v>
      </c>
      <c r="F1892" s="1">
        <v>0.57499999999999996</v>
      </c>
      <c r="G1892" s="1"/>
      <c r="H1892" s="126">
        <f t="shared" si="29"/>
        <v>0.66168020278676021</v>
      </c>
      <c r="I1892" s="89">
        <v>459.44999999999982</v>
      </c>
      <c r="J1892" s="125">
        <v>72.411458333333329</v>
      </c>
    </row>
    <row r="1893" spans="1:10" x14ac:dyDescent="0.3">
      <c r="A1893" s="88" t="s">
        <v>483</v>
      </c>
      <c r="B1893" s="24">
        <v>39511</v>
      </c>
      <c r="C1893" s="32">
        <v>8.381753643223318</v>
      </c>
      <c r="D1893" s="1">
        <v>6.7</v>
      </c>
      <c r="E1893" s="1">
        <v>0.1</v>
      </c>
      <c r="F1893" s="1">
        <v>0</v>
      </c>
      <c r="G1893" s="1"/>
      <c r="H1893" s="126">
        <f t="shared" si="29"/>
        <v>0.61546101269605991</v>
      </c>
      <c r="I1893" s="89">
        <v>429.93000000000018</v>
      </c>
      <c r="J1893" s="125">
        <v>70.205208333333331</v>
      </c>
    </row>
    <row r="1894" spans="1:10" x14ac:dyDescent="0.3">
      <c r="A1894" s="88" t="s">
        <v>483</v>
      </c>
      <c r="B1894" s="24">
        <v>39512</v>
      </c>
      <c r="C1894" s="32">
        <v>12.923182708369334</v>
      </c>
      <c r="D1894" s="1">
        <v>4.8</v>
      </c>
      <c r="E1894" s="1">
        <v>0.1</v>
      </c>
      <c r="F1894" s="1">
        <v>0</v>
      </c>
      <c r="G1894" s="1"/>
      <c r="H1894" s="126">
        <f t="shared" si="29"/>
        <v>0.61546101269605991</v>
      </c>
      <c r="I1894" s="89">
        <v>324.4500000000001</v>
      </c>
      <c r="J1894" s="125">
        <v>63.315624999999997</v>
      </c>
    </row>
    <row r="1895" spans="1:10" x14ac:dyDescent="0.3">
      <c r="A1895" s="88" t="s">
        <v>483</v>
      </c>
      <c r="B1895" s="24">
        <v>39513</v>
      </c>
      <c r="C1895" s="32">
        <v>2.5011160071424459</v>
      </c>
      <c r="D1895" s="1">
        <v>6.2</v>
      </c>
      <c r="E1895" s="1">
        <v>0.8</v>
      </c>
      <c r="F1895" s="1">
        <v>0.42</v>
      </c>
      <c r="G1895" s="1"/>
      <c r="H1895" s="126">
        <f t="shared" si="29"/>
        <v>0.64750272279315535</v>
      </c>
      <c r="I1895" s="89">
        <v>407.43</v>
      </c>
      <c r="J1895" s="125">
        <v>73.8489583333333</v>
      </c>
    </row>
    <row r="1896" spans="1:10" x14ac:dyDescent="0.3">
      <c r="A1896" s="88" t="s">
        <v>483</v>
      </c>
      <c r="B1896" s="24">
        <v>39514</v>
      </c>
      <c r="C1896" s="32">
        <v>2.7639176890732098</v>
      </c>
      <c r="D1896" s="1">
        <v>8.6</v>
      </c>
      <c r="E1896" s="1">
        <v>5.8</v>
      </c>
      <c r="F1896" s="1">
        <v>1.45</v>
      </c>
      <c r="G1896" s="1"/>
      <c r="H1896" s="126">
        <f t="shared" si="29"/>
        <v>0.92254223518646628</v>
      </c>
      <c r="I1896" s="89">
        <v>190.70999999999992</v>
      </c>
      <c r="J1896" s="125">
        <v>87.746875000000003</v>
      </c>
    </row>
    <row r="1897" spans="1:10" x14ac:dyDescent="0.3">
      <c r="A1897" s="88" t="s">
        <v>483</v>
      </c>
      <c r="B1897" s="24">
        <v>39515</v>
      </c>
      <c r="C1897" s="32">
        <v>9.7992627152813778</v>
      </c>
      <c r="D1897" s="1">
        <v>10.6</v>
      </c>
      <c r="E1897" s="1">
        <v>5.4</v>
      </c>
      <c r="F1897" s="1">
        <v>0.12</v>
      </c>
      <c r="G1897" s="1"/>
      <c r="H1897" s="126">
        <f t="shared" si="29"/>
        <v>0.8972630930441321</v>
      </c>
      <c r="I1897" s="89">
        <v>155.79000000000002</v>
      </c>
      <c r="J1897" s="125">
        <v>74.701041666666669</v>
      </c>
    </row>
    <row r="1898" spans="1:10" x14ac:dyDescent="0.3">
      <c r="A1898" s="88" t="s">
        <v>483</v>
      </c>
      <c r="B1898" s="24">
        <v>39516</v>
      </c>
      <c r="C1898" s="32">
        <v>6.781543401877772</v>
      </c>
      <c r="D1898" s="1">
        <v>12</v>
      </c>
      <c r="E1898" s="1">
        <v>4.8</v>
      </c>
      <c r="F1898" s="1">
        <v>0</v>
      </c>
      <c r="G1898" s="1"/>
      <c r="H1898" s="126">
        <f t="shared" si="29"/>
        <v>0.86048907931200158</v>
      </c>
      <c r="I1898" s="89">
        <v>247.68</v>
      </c>
      <c r="J1898" s="125">
        <v>62.44166666666667</v>
      </c>
    </row>
    <row r="1899" spans="1:10" x14ac:dyDescent="0.3">
      <c r="A1899" s="88" t="s">
        <v>483</v>
      </c>
      <c r="B1899" s="24">
        <v>39517</v>
      </c>
      <c r="C1899" s="32">
        <v>10.206965324578078</v>
      </c>
      <c r="D1899" s="1">
        <v>13.4</v>
      </c>
      <c r="E1899" s="1">
        <v>6</v>
      </c>
      <c r="F1899" s="1">
        <v>4.4999999999999998E-2</v>
      </c>
      <c r="G1899" s="1"/>
      <c r="H1899" s="126">
        <f t="shared" si="29"/>
        <v>0.93541559507788385</v>
      </c>
      <c r="I1899" s="89">
        <v>250.46999999999994</v>
      </c>
      <c r="J1899" s="125">
        <v>57.521875000000001</v>
      </c>
    </row>
    <row r="1900" spans="1:10" x14ac:dyDescent="0.3">
      <c r="A1900" s="88" t="s">
        <v>483</v>
      </c>
      <c r="B1900" s="24">
        <v>39518</v>
      </c>
      <c r="C1900" s="32">
        <v>7.088445366050343</v>
      </c>
      <c r="D1900" s="1">
        <v>11</v>
      </c>
      <c r="E1900" s="1">
        <v>6.4</v>
      </c>
      <c r="F1900" s="1">
        <v>1.615</v>
      </c>
      <c r="G1900" s="1"/>
      <c r="H1900" s="126">
        <f t="shared" si="29"/>
        <v>0.96163811340513428</v>
      </c>
      <c r="I1900" s="89">
        <v>343.53000000000009</v>
      </c>
      <c r="J1900" s="125">
        <v>63.59375</v>
      </c>
    </row>
    <row r="1901" spans="1:10" x14ac:dyDescent="0.3">
      <c r="A1901" s="88" t="s">
        <v>483</v>
      </c>
      <c r="B1901" s="24">
        <v>39519</v>
      </c>
      <c r="C1901" s="32">
        <v>7.3386469673405914</v>
      </c>
      <c r="D1901" s="1">
        <v>9.9</v>
      </c>
      <c r="E1901" s="1">
        <v>1.1000000000000001</v>
      </c>
      <c r="F1901" s="1">
        <v>7.31</v>
      </c>
      <c r="G1901" s="1"/>
      <c r="H1901" s="126">
        <f t="shared" si="29"/>
        <v>0.66168020278676021</v>
      </c>
      <c r="I1901" s="89">
        <v>665.99999999999966</v>
      </c>
      <c r="J1901" s="125">
        <v>74.915625000000006</v>
      </c>
    </row>
    <row r="1902" spans="1:10" x14ac:dyDescent="0.3">
      <c r="A1902" s="88" t="s">
        <v>483</v>
      </c>
      <c r="B1902" s="24">
        <v>39520</v>
      </c>
      <c r="C1902" s="32">
        <v>7.4430476355048674</v>
      </c>
      <c r="D1902" s="1">
        <v>9.6</v>
      </c>
      <c r="E1902" s="1">
        <v>2.4</v>
      </c>
      <c r="F1902" s="1">
        <v>2.0750000000000002</v>
      </c>
      <c r="G1902" s="1"/>
      <c r="H1902" s="126">
        <f t="shared" si="29"/>
        <v>0.7263362808555901</v>
      </c>
      <c r="I1902" s="89">
        <v>619.73999999999967</v>
      </c>
      <c r="J1902" s="125">
        <v>69.563541666666666</v>
      </c>
    </row>
    <row r="1903" spans="1:10" x14ac:dyDescent="0.3">
      <c r="A1903" s="88" t="s">
        <v>483</v>
      </c>
      <c r="B1903" s="24">
        <v>39521</v>
      </c>
      <c r="C1903" s="32">
        <v>6.4440412418639479</v>
      </c>
      <c r="D1903" s="1">
        <v>10</v>
      </c>
      <c r="E1903" s="1">
        <v>2.4</v>
      </c>
      <c r="F1903" s="1">
        <v>2.0249999999999999</v>
      </c>
      <c r="G1903" s="1"/>
      <c r="H1903" s="126">
        <f t="shared" si="29"/>
        <v>0.7263362808555901</v>
      </c>
      <c r="I1903" s="89">
        <v>314.63999999999993</v>
      </c>
      <c r="J1903" s="125">
        <v>75.316666666666663</v>
      </c>
    </row>
    <row r="1904" spans="1:10" x14ac:dyDescent="0.3">
      <c r="A1904" s="88" t="s">
        <v>483</v>
      </c>
      <c r="B1904" s="24">
        <v>39522</v>
      </c>
      <c r="C1904" s="32">
        <v>11.989876735211107</v>
      </c>
      <c r="D1904" s="1">
        <v>12.3</v>
      </c>
      <c r="E1904" s="1">
        <v>0.8</v>
      </c>
      <c r="F1904" s="1">
        <v>0</v>
      </c>
      <c r="G1904" s="1"/>
      <c r="H1904" s="126">
        <f t="shared" si="29"/>
        <v>0.64750272279315535</v>
      </c>
      <c r="I1904" s="89">
        <v>156.51</v>
      </c>
      <c r="J1904" s="125">
        <v>67.84270833333332</v>
      </c>
    </row>
    <row r="1905" spans="1:10" x14ac:dyDescent="0.3">
      <c r="A1905" s="88" t="s">
        <v>483</v>
      </c>
      <c r="B1905" s="24">
        <v>39523</v>
      </c>
      <c r="C1905" s="32">
        <v>2.2518144116122345</v>
      </c>
      <c r="D1905" s="1">
        <v>6.5</v>
      </c>
      <c r="E1905" s="1">
        <v>3.5</v>
      </c>
      <c r="F1905" s="1">
        <v>11.975</v>
      </c>
      <c r="G1905" s="1"/>
      <c r="H1905" s="126">
        <f t="shared" si="29"/>
        <v>0.78533815916549388</v>
      </c>
      <c r="I1905" s="89">
        <v>181.89000000000007</v>
      </c>
      <c r="J1905" s="125">
        <v>90.364583333333329</v>
      </c>
    </row>
    <row r="1906" spans="1:10" x14ac:dyDescent="0.3">
      <c r="A1906" s="88" t="s">
        <v>483</v>
      </c>
      <c r="B1906" s="24">
        <v>39524</v>
      </c>
      <c r="C1906" s="32">
        <v>9.4509604861471121</v>
      </c>
      <c r="D1906" s="1">
        <v>6.3</v>
      </c>
      <c r="E1906" s="1">
        <v>0.5</v>
      </c>
      <c r="F1906" s="1">
        <v>0.39</v>
      </c>
      <c r="G1906" s="1"/>
      <c r="H1906" s="126">
        <f t="shared" si="29"/>
        <v>0.63359438986733596</v>
      </c>
      <c r="I1906" s="89">
        <v>489.5999999999998</v>
      </c>
      <c r="J1906" s="125">
        <v>74.732291666666683</v>
      </c>
    </row>
    <row r="1907" spans="1:10" x14ac:dyDescent="0.3">
      <c r="A1907" s="88" t="s">
        <v>483</v>
      </c>
      <c r="B1907" s="24">
        <v>39525</v>
      </c>
      <c r="C1907" s="32">
        <v>7.0065448418869885</v>
      </c>
      <c r="D1907" s="1">
        <v>5.4</v>
      </c>
      <c r="E1907" s="1">
        <v>0</v>
      </c>
      <c r="F1907" s="1">
        <v>3.0950000000000002</v>
      </c>
      <c r="G1907" s="1"/>
      <c r="H1907" s="126">
        <f t="shared" si="29"/>
        <v>0.61099999999999999</v>
      </c>
      <c r="I1907" s="89">
        <v>410.93999999999994</v>
      </c>
      <c r="J1907" s="125">
        <v>79.091666666666669</v>
      </c>
    </row>
    <row r="1908" spans="1:10" x14ac:dyDescent="0.3">
      <c r="A1908" s="88" t="s">
        <v>483</v>
      </c>
      <c r="B1908" s="24">
        <v>39526</v>
      </c>
      <c r="C1908" s="32">
        <v>11.292372271182535</v>
      </c>
      <c r="D1908" s="1">
        <v>6.9</v>
      </c>
      <c r="E1908" s="1">
        <v>0.7</v>
      </c>
      <c r="F1908" s="1">
        <v>1.375</v>
      </c>
      <c r="G1908" s="1"/>
      <c r="H1908" s="126">
        <f t="shared" si="29"/>
        <v>0.64283692539220627</v>
      </c>
      <c r="I1908" s="89">
        <v>351</v>
      </c>
      <c r="J1908" s="125">
        <v>76.373958333333348</v>
      </c>
    </row>
    <row r="1909" spans="1:10" x14ac:dyDescent="0.3">
      <c r="A1909" s="88" t="s">
        <v>483</v>
      </c>
      <c r="B1909" s="24">
        <v>39527</v>
      </c>
      <c r="C1909" s="32">
        <v>6.9444444444444446</v>
      </c>
      <c r="D1909" s="1">
        <v>5.8</v>
      </c>
      <c r="E1909" s="1">
        <v>0</v>
      </c>
      <c r="F1909" s="1">
        <v>0.52</v>
      </c>
      <c r="G1909" s="1"/>
      <c r="H1909" s="126">
        <f t="shared" si="29"/>
        <v>0.61099999999999999</v>
      </c>
      <c r="I1909" s="89">
        <v>351.45000000000016</v>
      </c>
      <c r="J1909" s="125">
        <v>82.566666666666677</v>
      </c>
    </row>
    <row r="1910" spans="1:10" x14ac:dyDescent="0.3">
      <c r="A1910" s="88" t="s">
        <v>483</v>
      </c>
      <c r="B1910" s="24">
        <v>39528</v>
      </c>
      <c r="C1910" s="32">
        <v>6.619542365071136</v>
      </c>
      <c r="D1910" s="1">
        <v>6.4</v>
      </c>
      <c r="E1910" s="1">
        <v>1.3</v>
      </c>
      <c r="F1910" s="1">
        <v>10.1</v>
      </c>
      <c r="G1910" s="1"/>
      <c r="H1910" s="126">
        <f t="shared" si="29"/>
        <v>0.67128358518521281</v>
      </c>
      <c r="I1910" s="89">
        <v>349.56000000000006</v>
      </c>
      <c r="J1910" s="125">
        <v>88.1822916666667</v>
      </c>
    </row>
    <row r="1911" spans="1:10" x14ac:dyDescent="0.3">
      <c r="A1911" s="88" t="s">
        <v>483</v>
      </c>
      <c r="B1911" s="24">
        <v>39529</v>
      </c>
      <c r="C1911" s="32">
        <v>2.718917401071367</v>
      </c>
      <c r="D1911" s="1">
        <v>3.7</v>
      </c>
      <c r="E1911" s="1">
        <v>0</v>
      </c>
      <c r="F1911" s="1">
        <v>6.779999999999994</v>
      </c>
      <c r="G1911" s="1"/>
      <c r="H1911" s="126">
        <f t="shared" si="29"/>
        <v>0.61099999999999999</v>
      </c>
      <c r="I1911" s="89">
        <v>401.03999999999974</v>
      </c>
      <c r="J1911" s="125">
        <v>94.978125000000006</v>
      </c>
    </row>
    <row r="1912" spans="1:10" x14ac:dyDescent="0.3">
      <c r="A1912" s="88" t="s">
        <v>483</v>
      </c>
      <c r="B1912" s="24">
        <v>39530</v>
      </c>
      <c r="C1912" s="32">
        <v>13.740387938482806</v>
      </c>
      <c r="D1912" s="1">
        <v>3.7</v>
      </c>
      <c r="E1912" s="1">
        <v>0.1</v>
      </c>
      <c r="F1912" s="1">
        <v>6.5000000000000002E-2</v>
      </c>
      <c r="G1912" s="1"/>
      <c r="H1912" s="126">
        <f t="shared" si="29"/>
        <v>0.61546101269605991</v>
      </c>
      <c r="I1912" s="89">
        <v>194.76</v>
      </c>
      <c r="J1912" s="125">
        <v>82.745833333333323</v>
      </c>
    </row>
    <row r="1913" spans="1:10" x14ac:dyDescent="0.3">
      <c r="A1913" s="88" t="s">
        <v>483</v>
      </c>
      <c r="B1913" s="24">
        <v>39531</v>
      </c>
      <c r="C1913" s="32">
        <v>10.543567478831864</v>
      </c>
      <c r="D1913" s="1">
        <v>4.5999999999999996</v>
      </c>
      <c r="E1913" s="1">
        <v>0</v>
      </c>
      <c r="F1913" s="1">
        <v>0.15</v>
      </c>
      <c r="G1913" s="1"/>
      <c r="H1913" s="126">
        <f t="shared" si="29"/>
        <v>0.61099999999999999</v>
      </c>
      <c r="I1913" s="89">
        <v>210.60000000000002</v>
      </c>
      <c r="J1913" s="125">
        <v>82.084374999999994</v>
      </c>
    </row>
    <row r="1914" spans="1:10" x14ac:dyDescent="0.3">
      <c r="A1914" s="88" t="s">
        <v>483</v>
      </c>
      <c r="B1914" s="24">
        <v>39532</v>
      </c>
      <c r="C1914" s="32">
        <v>8.5626548009907264</v>
      </c>
      <c r="D1914" s="1">
        <v>4.4000000000000004</v>
      </c>
      <c r="E1914" s="1">
        <v>0</v>
      </c>
      <c r="F1914" s="1">
        <v>0.38</v>
      </c>
      <c r="G1914" s="1"/>
      <c r="H1914" s="126">
        <f t="shared" si="29"/>
        <v>0.61099999999999999</v>
      </c>
      <c r="I1914" s="89">
        <v>423.27</v>
      </c>
      <c r="J1914" s="125">
        <v>80.86041666666668</v>
      </c>
    </row>
    <row r="1915" spans="1:10" x14ac:dyDescent="0.3">
      <c r="A1915" s="88" t="s">
        <v>483</v>
      </c>
      <c r="B1915" s="24">
        <v>39533</v>
      </c>
      <c r="C1915" s="32">
        <v>7.5051480329474103</v>
      </c>
      <c r="D1915" s="1">
        <v>5.5</v>
      </c>
      <c r="E1915" s="1">
        <v>0</v>
      </c>
      <c r="F1915" s="1">
        <v>2.6</v>
      </c>
      <c r="G1915" s="1"/>
      <c r="H1915" s="126">
        <f t="shared" si="29"/>
        <v>0.61099999999999999</v>
      </c>
      <c r="I1915" s="89">
        <v>343.44</v>
      </c>
      <c r="J1915" s="125">
        <v>84.707291666666663</v>
      </c>
    </row>
    <row r="1916" spans="1:10" x14ac:dyDescent="0.3">
      <c r="A1916" s="88" t="s">
        <v>483</v>
      </c>
      <c r="B1916" s="24">
        <v>39534</v>
      </c>
      <c r="C1916" s="32">
        <v>12.325578883704855</v>
      </c>
      <c r="D1916" s="1">
        <v>7.7</v>
      </c>
      <c r="E1916" s="1">
        <v>0.1</v>
      </c>
      <c r="F1916" s="1">
        <v>0</v>
      </c>
      <c r="G1916" s="1"/>
      <c r="H1916" s="126">
        <f t="shared" si="29"/>
        <v>0.61546101269605991</v>
      </c>
      <c r="I1916" s="89">
        <v>189.63000000000008</v>
      </c>
      <c r="J1916" s="125">
        <v>74.95416666666668</v>
      </c>
    </row>
    <row r="1917" spans="1:10" x14ac:dyDescent="0.3">
      <c r="A1917" s="88" t="s">
        <v>483</v>
      </c>
      <c r="B1917" s="24">
        <v>39535</v>
      </c>
      <c r="C1917" s="32">
        <v>10.841469385404068</v>
      </c>
      <c r="D1917" s="1">
        <v>10.7</v>
      </c>
      <c r="E1917" s="1">
        <v>0</v>
      </c>
      <c r="F1917" s="1">
        <v>0.105</v>
      </c>
      <c r="G1917" s="1"/>
      <c r="H1917" s="126">
        <f t="shared" si="29"/>
        <v>0.61099999999999999</v>
      </c>
      <c r="I1917" s="89">
        <v>197.82</v>
      </c>
      <c r="J1917" s="125">
        <v>66.851041666666646</v>
      </c>
    </row>
    <row r="1918" spans="1:10" x14ac:dyDescent="0.3">
      <c r="A1918" s="88" t="s">
        <v>483</v>
      </c>
      <c r="B1918" s="24">
        <v>39536</v>
      </c>
      <c r="C1918" s="32">
        <v>11.40942038871154</v>
      </c>
      <c r="D1918" s="1">
        <v>11.9</v>
      </c>
      <c r="E1918" s="1">
        <v>5.5</v>
      </c>
      <c r="F1918" s="1">
        <v>1.1299999999999999</v>
      </c>
      <c r="G1918" s="1"/>
      <c r="H1918" s="126">
        <f t="shared" si="29"/>
        <v>0.90352494025987484</v>
      </c>
      <c r="I1918" s="89">
        <v>410.71831578947365</v>
      </c>
      <c r="J1918" s="125">
        <v>62.613684210526287</v>
      </c>
    </row>
    <row r="1919" spans="1:10" x14ac:dyDescent="0.3">
      <c r="A1919" s="88" t="s">
        <v>483</v>
      </c>
      <c r="B1919" s="24">
        <v>39537</v>
      </c>
      <c r="C1919" s="32">
        <v>16.138003283221014</v>
      </c>
      <c r="D1919" s="1">
        <v>19.8</v>
      </c>
      <c r="E1919" s="1">
        <v>4.5999999999999996</v>
      </c>
      <c r="F1919" s="1">
        <v>5.0000000000000001E-3</v>
      </c>
      <c r="G1919" s="1"/>
      <c r="H1919" s="126">
        <f t="shared" si="29"/>
        <v>0.84852995914135099</v>
      </c>
      <c r="I1919" s="89">
        <v>272.25</v>
      </c>
      <c r="J1919" s="125">
        <v>43.648958333333347</v>
      </c>
    </row>
    <row r="1920" spans="1:10" x14ac:dyDescent="0.3">
      <c r="A1920" s="88" t="s">
        <v>483</v>
      </c>
      <c r="B1920" s="24">
        <v>39538</v>
      </c>
      <c r="C1920" s="32">
        <v>9.6237615920741906</v>
      </c>
      <c r="D1920" s="1">
        <v>14.1</v>
      </c>
      <c r="E1920" s="1">
        <v>6.6</v>
      </c>
      <c r="F1920" s="1">
        <v>0</v>
      </c>
      <c r="G1920" s="1"/>
      <c r="H1920" s="126">
        <f t="shared" si="29"/>
        <v>0.97499060249070812</v>
      </c>
      <c r="I1920" s="89">
        <v>178.82999999999998</v>
      </c>
      <c r="J1920" s="125">
        <v>66.91354166666666</v>
      </c>
    </row>
    <row r="1921" spans="1:10" x14ac:dyDescent="0.3">
      <c r="A1921" s="88" t="s">
        <v>483</v>
      </c>
      <c r="B1921" s="24">
        <v>39539</v>
      </c>
      <c r="C1921" s="32">
        <v>15.342398191348424</v>
      </c>
      <c r="D1921" s="1">
        <v>16.600000000000001</v>
      </c>
      <c r="E1921" s="1">
        <v>3.1</v>
      </c>
      <c r="F1921" s="1">
        <v>0.85</v>
      </c>
      <c r="G1921" s="1"/>
      <c r="H1921" s="126">
        <f t="shared" si="29"/>
        <v>0.76341105875491733</v>
      </c>
      <c r="I1921" s="89">
        <v>215.90999999999997</v>
      </c>
      <c r="J1921" s="125">
        <v>73.177083333333329</v>
      </c>
    </row>
    <row r="1922" spans="1:10" x14ac:dyDescent="0.3">
      <c r="A1922" s="88" t="s">
        <v>483</v>
      </c>
      <c r="B1922" s="24">
        <v>39540</v>
      </c>
      <c r="C1922" s="32">
        <v>5.3055339554173147</v>
      </c>
      <c r="D1922" s="1">
        <v>10.1</v>
      </c>
      <c r="E1922" s="1">
        <v>6.1</v>
      </c>
      <c r="F1922" s="1">
        <v>4.24</v>
      </c>
      <c r="G1922" s="1"/>
      <c r="H1922" s="126">
        <f t="shared" si="29"/>
        <v>0.94191143925241705</v>
      </c>
      <c r="I1922" s="89">
        <v>389.07</v>
      </c>
      <c r="J1922" s="125">
        <v>80.914583333333312</v>
      </c>
    </row>
    <row r="1923" spans="1:10" x14ac:dyDescent="0.3">
      <c r="A1923" s="88" t="s">
        <v>483</v>
      </c>
      <c r="B1923" s="24">
        <v>39541</v>
      </c>
      <c r="C1923" s="32">
        <v>8.0334514140890505</v>
      </c>
      <c r="D1923" s="1">
        <v>9.9</v>
      </c>
      <c r="E1923" s="1">
        <v>5.3</v>
      </c>
      <c r="F1923" s="1">
        <v>2.0150000000000001</v>
      </c>
      <c r="G1923" s="1"/>
      <c r="H1923" s="126">
        <f t="shared" si="29"/>
        <v>0.89103953465215091</v>
      </c>
      <c r="I1923" s="89">
        <v>389.1600000000002</v>
      </c>
      <c r="J1923" s="125">
        <v>86.461458333333383</v>
      </c>
    </row>
    <row r="1924" spans="1:10" x14ac:dyDescent="0.3">
      <c r="A1924" s="88" t="s">
        <v>483</v>
      </c>
      <c r="B1924" s="24">
        <v>39542</v>
      </c>
      <c r="C1924" s="32">
        <v>7.0542451471689418</v>
      </c>
      <c r="D1924" s="1">
        <v>9.6</v>
      </c>
      <c r="E1924" s="1">
        <v>5</v>
      </c>
      <c r="F1924" s="1">
        <v>7.4999999999999997E-2</v>
      </c>
      <c r="G1924" s="1"/>
      <c r="H1924" s="126">
        <f t="shared" ref="H1924:H1987" si="30">0.611*EXP((17.27*E1924)/(E1924+237.3))</f>
        <v>0.87259658934786222</v>
      </c>
      <c r="I1924" s="89">
        <v>219.69</v>
      </c>
      <c r="J1924" s="125">
        <v>82.756249999999994</v>
      </c>
    </row>
    <row r="1925" spans="1:10" x14ac:dyDescent="0.3">
      <c r="A1925" s="88" t="s">
        <v>483</v>
      </c>
      <c r="B1925" s="24">
        <v>39543</v>
      </c>
      <c r="C1925" s="32">
        <v>2.7162173837912564</v>
      </c>
      <c r="D1925" s="1">
        <v>7.8</v>
      </c>
      <c r="E1925" s="1">
        <v>3.3</v>
      </c>
      <c r="F1925" s="1">
        <v>14.62</v>
      </c>
      <c r="G1925" s="1"/>
      <c r="H1925" s="126">
        <f t="shared" si="30"/>
        <v>0.77430610767805441</v>
      </c>
      <c r="I1925" s="89">
        <v>207.89999999999998</v>
      </c>
      <c r="J1925" s="125">
        <v>90.783333333333317</v>
      </c>
    </row>
    <row r="1926" spans="1:10" x14ac:dyDescent="0.3">
      <c r="A1926" s="88" t="s">
        <v>483</v>
      </c>
      <c r="B1926" s="24">
        <v>39544</v>
      </c>
      <c r="C1926" s="32">
        <v>12.614480732676689</v>
      </c>
      <c r="D1926" s="1">
        <v>8.1999999999999993</v>
      </c>
      <c r="E1926" s="1">
        <v>2.2999999999999998</v>
      </c>
      <c r="F1926" s="1">
        <v>3.5000000000000003E-2</v>
      </c>
      <c r="G1926" s="1"/>
      <c r="H1926" s="126">
        <f t="shared" si="30"/>
        <v>0.72117182708011951</v>
      </c>
      <c r="I1926" s="89">
        <v>221.39999999999998</v>
      </c>
      <c r="J1926" s="125">
        <v>78.713541666666686</v>
      </c>
    </row>
    <row r="1927" spans="1:10" x14ac:dyDescent="0.3">
      <c r="A1927" s="88" t="s">
        <v>483</v>
      </c>
      <c r="B1927" s="24">
        <v>39545</v>
      </c>
      <c r="C1927" s="32">
        <v>5.6295360290305858</v>
      </c>
      <c r="D1927" s="1">
        <v>6.6</v>
      </c>
      <c r="E1927" s="1">
        <v>0.2</v>
      </c>
      <c r="F1927" s="1">
        <v>12.205</v>
      </c>
      <c r="G1927" s="1"/>
      <c r="H1927" s="126">
        <f t="shared" si="30"/>
        <v>0.61995079814923992</v>
      </c>
      <c r="I1927" s="89">
        <v>181.17</v>
      </c>
      <c r="J1927" s="125">
        <v>91.962500000000006</v>
      </c>
    </row>
    <row r="1928" spans="1:10" x14ac:dyDescent="0.3">
      <c r="A1928" s="88" t="s">
        <v>483</v>
      </c>
      <c r="B1928" s="24">
        <v>39546</v>
      </c>
      <c r="C1928" s="32">
        <v>13.524386556073958</v>
      </c>
      <c r="D1928" s="1">
        <v>8.9</v>
      </c>
      <c r="E1928" s="1">
        <v>1.1000000000000001</v>
      </c>
      <c r="F1928" s="1">
        <v>2.125</v>
      </c>
      <c r="G1928" s="1"/>
      <c r="H1928" s="126">
        <f t="shared" si="30"/>
        <v>0.66168020278676021</v>
      </c>
      <c r="I1928" s="89">
        <v>150.03000000000003</v>
      </c>
      <c r="J1928" s="125">
        <v>72.061458333333363</v>
      </c>
    </row>
    <row r="1929" spans="1:10" x14ac:dyDescent="0.3">
      <c r="A1929" s="88" t="s">
        <v>483</v>
      </c>
      <c r="B1929" s="24">
        <v>39547</v>
      </c>
      <c r="C1929" s="32">
        <v>7.5393482518288124</v>
      </c>
      <c r="D1929" s="1">
        <v>7.1</v>
      </c>
      <c r="E1929" s="1">
        <v>2.5</v>
      </c>
      <c r="F1929" s="1">
        <v>1.07</v>
      </c>
      <c r="G1929" s="1"/>
      <c r="H1929" s="126">
        <f t="shared" si="30"/>
        <v>0.73153336467415264</v>
      </c>
      <c r="I1929" s="89">
        <v>205.74</v>
      </c>
      <c r="J1929" s="125">
        <v>78.334374999999994</v>
      </c>
    </row>
    <row r="1930" spans="1:10" x14ac:dyDescent="0.3">
      <c r="A1930" s="88" t="s">
        <v>483</v>
      </c>
      <c r="B1930" s="24">
        <v>39548</v>
      </c>
      <c r="C1930" s="32">
        <v>2.6469169402684178</v>
      </c>
      <c r="D1930" s="1">
        <v>5</v>
      </c>
      <c r="E1930" s="1">
        <v>3.3</v>
      </c>
      <c r="F1930" s="1">
        <v>1.44</v>
      </c>
      <c r="G1930" s="1"/>
      <c r="H1930" s="126">
        <f t="shared" si="30"/>
        <v>0.77430610767805441</v>
      </c>
      <c r="I1930" s="89">
        <v>236.52</v>
      </c>
      <c r="J1930" s="125">
        <v>92.423958333333346</v>
      </c>
    </row>
    <row r="1931" spans="1:10" x14ac:dyDescent="0.3">
      <c r="A1931" s="88" t="s">
        <v>483</v>
      </c>
      <c r="B1931" s="24">
        <v>39549</v>
      </c>
      <c r="C1931" s="32">
        <v>2.94481884684062</v>
      </c>
      <c r="D1931" s="1">
        <v>7</v>
      </c>
      <c r="E1931" s="1">
        <v>3.3</v>
      </c>
      <c r="F1931" s="1">
        <v>0.83</v>
      </c>
      <c r="G1931" s="1"/>
      <c r="H1931" s="126">
        <f t="shared" si="30"/>
        <v>0.77430610767805441</v>
      </c>
      <c r="I1931" s="89">
        <v>257.31</v>
      </c>
      <c r="J1931" s="125">
        <v>92.947916666666643</v>
      </c>
    </row>
    <row r="1932" spans="1:10" x14ac:dyDescent="0.3">
      <c r="A1932" s="88" t="s">
        <v>483</v>
      </c>
      <c r="B1932" s="24">
        <v>39550</v>
      </c>
      <c r="C1932" s="32">
        <v>18.466318184436378</v>
      </c>
      <c r="D1932" s="1">
        <v>14.4</v>
      </c>
      <c r="E1932" s="1">
        <v>3.8</v>
      </c>
      <c r="F1932" s="1">
        <v>0.19</v>
      </c>
      <c r="G1932" s="1"/>
      <c r="H1932" s="126">
        <f t="shared" si="30"/>
        <v>0.80214634758046521</v>
      </c>
      <c r="I1932" s="89">
        <v>240.03000000000003</v>
      </c>
      <c r="J1932" s="125">
        <v>67.744791666666657</v>
      </c>
    </row>
    <row r="1933" spans="1:10" x14ac:dyDescent="0.3">
      <c r="A1933" s="88" t="s">
        <v>483</v>
      </c>
      <c r="B1933" s="24">
        <v>39551</v>
      </c>
      <c r="C1933" s="32">
        <v>11.171771499337597</v>
      </c>
      <c r="D1933" s="1">
        <v>13.5</v>
      </c>
      <c r="E1933" s="1">
        <v>5.4</v>
      </c>
      <c r="F1933" s="1">
        <v>5.4850000000000003</v>
      </c>
      <c r="G1933" s="1"/>
      <c r="H1933" s="126">
        <f t="shared" si="30"/>
        <v>0.8972630930441321</v>
      </c>
      <c r="I1933" s="89">
        <v>168.48</v>
      </c>
      <c r="J1933" s="125">
        <v>76.794791666666669</v>
      </c>
    </row>
    <row r="1934" spans="1:10" x14ac:dyDescent="0.3">
      <c r="A1934" s="88" t="s">
        <v>483</v>
      </c>
      <c r="B1934" s="24">
        <v>39552</v>
      </c>
      <c r="C1934" s="32">
        <v>4.9887319278843387</v>
      </c>
      <c r="D1934" s="1">
        <v>9.1</v>
      </c>
      <c r="E1934" s="1">
        <v>5.7</v>
      </c>
      <c r="F1934" s="1">
        <v>11.895</v>
      </c>
      <c r="G1934" s="1"/>
      <c r="H1934" s="126">
        <f t="shared" si="30"/>
        <v>0.91616430843021424</v>
      </c>
      <c r="I1934" s="89">
        <v>173.78999999999996</v>
      </c>
      <c r="J1934" s="125">
        <v>92.35208333333334</v>
      </c>
    </row>
    <row r="1935" spans="1:10" x14ac:dyDescent="0.3">
      <c r="A1935" s="88" t="s">
        <v>483</v>
      </c>
      <c r="B1935" s="24">
        <v>39553</v>
      </c>
      <c r="C1935" s="32">
        <v>9.1260584067738026</v>
      </c>
      <c r="D1935" s="1">
        <v>10.199999999999999</v>
      </c>
      <c r="E1935" s="1">
        <v>4.5999999999999996</v>
      </c>
      <c r="F1935" s="1">
        <v>0.89</v>
      </c>
      <c r="G1935" s="1"/>
      <c r="H1935" s="126">
        <f t="shared" si="30"/>
        <v>0.84852995914135099</v>
      </c>
      <c r="I1935" s="89">
        <v>272.43</v>
      </c>
      <c r="J1935" s="125">
        <v>79.563541666666623</v>
      </c>
    </row>
    <row r="1936" spans="1:10" x14ac:dyDescent="0.3">
      <c r="A1936" s="88" t="s">
        <v>483</v>
      </c>
      <c r="B1936" s="24">
        <v>39554</v>
      </c>
      <c r="C1936" s="32">
        <v>16.341404584989345</v>
      </c>
      <c r="D1936" s="1">
        <v>9.1</v>
      </c>
      <c r="E1936" s="1">
        <v>1.8</v>
      </c>
      <c r="F1936" s="1">
        <v>0.89</v>
      </c>
      <c r="G1936" s="1"/>
      <c r="H1936" s="126">
        <f t="shared" si="30"/>
        <v>0.69583287280742301</v>
      </c>
      <c r="I1936" s="89">
        <v>218.33999999999992</v>
      </c>
      <c r="J1936" s="125">
        <v>75.394791666666649</v>
      </c>
    </row>
    <row r="1937" spans="1:10" x14ac:dyDescent="0.3">
      <c r="A1937" s="88" t="s">
        <v>483</v>
      </c>
      <c r="B1937" s="24">
        <v>39555</v>
      </c>
      <c r="C1937" s="32">
        <v>13.496486377512817</v>
      </c>
      <c r="D1937" s="1">
        <v>8.8000000000000007</v>
      </c>
      <c r="E1937" s="1">
        <v>0.1</v>
      </c>
      <c r="F1937" s="1">
        <v>0.06</v>
      </c>
      <c r="G1937" s="1"/>
      <c r="H1937" s="126">
        <f t="shared" si="30"/>
        <v>0.61546101269605991</v>
      </c>
      <c r="I1937" s="89">
        <v>228.33000000000004</v>
      </c>
      <c r="J1937" s="125">
        <v>83.351041666666674</v>
      </c>
    </row>
    <row r="1938" spans="1:10" x14ac:dyDescent="0.3">
      <c r="A1938" s="88" t="s">
        <v>483</v>
      </c>
      <c r="B1938" s="24">
        <v>39556</v>
      </c>
      <c r="C1938" s="32">
        <v>4.4604285467426994</v>
      </c>
      <c r="D1938" s="1">
        <v>7.9</v>
      </c>
      <c r="E1938" s="1">
        <v>4.5999999999999996</v>
      </c>
      <c r="F1938" s="1">
        <v>2.5000000000000001E-2</v>
      </c>
      <c r="G1938" s="1"/>
      <c r="H1938" s="126">
        <f t="shared" si="30"/>
        <v>0.84852995914135099</v>
      </c>
      <c r="I1938" s="89">
        <v>370.53</v>
      </c>
      <c r="J1938" s="125">
        <v>85.385416666666671</v>
      </c>
    </row>
    <row r="1939" spans="1:10" x14ac:dyDescent="0.3">
      <c r="A1939" s="88" t="s">
        <v>483</v>
      </c>
      <c r="B1939" s="24">
        <v>39557</v>
      </c>
      <c r="C1939" s="32">
        <v>9.7128621623178386</v>
      </c>
      <c r="D1939" s="1">
        <v>8.6</v>
      </c>
      <c r="E1939" s="1">
        <v>3.6</v>
      </c>
      <c r="F1939" s="1">
        <v>0</v>
      </c>
      <c r="G1939" s="1"/>
      <c r="H1939" s="126">
        <f t="shared" si="30"/>
        <v>0.79090602148237243</v>
      </c>
      <c r="I1939" s="89">
        <v>476.18999999999994</v>
      </c>
      <c r="J1939" s="125">
        <v>76.173958333333331</v>
      </c>
    </row>
    <row r="1940" spans="1:10" x14ac:dyDescent="0.3">
      <c r="A1940" s="88" t="s">
        <v>483</v>
      </c>
      <c r="B1940" s="24">
        <v>39558</v>
      </c>
      <c r="C1940" s="32">
        <v>19.054921951500489</v>
      </c>
      <c r="D1940" s="1">
        <v>13.1</v>
      </c>
      <c r="E1940" s="1">
        <v>5.2</v>
      </c>
      <c r="F1940" s="1">
        <v>0</v>
      </c>
      <c r="G1940" s="1"/>
      <c r="H1940" s="126">
        <f t="shared" si="30"/>
        <v>0.88485406434684233</v>
      </c>
      <c r="I1940" s="89">
        <v>316.17</v>
      </c>
      <c r="J1940" s="125">
        <v>63.832291666666698</v>
      </c>
    </row>
    <row r="1941" spans="1:10" x14ac:dyDescent="0.3">
      <c r="A1941" s="88" t="s">
        <v>483</v>
      </c>
      <c r="B1941" s="24">
        <v>39559</v>
      </c>
      <c r="C1941" s="32">
        <v>22.040241057542769</v>
      </c>
      <c r="D1941" s="1">
        <v>16.100000000000001</v>
      </c>
      <c r="E1941" s="1">
        <v>4.5999999999999996</v>
      </c>
      <c r="F1941" s="1">
        <v>0</v>
      </c>
      <c r="G1941" s="1"/>
      <c r="H1941" s="126">
        <f t="shared" si="30"/>
        <v>0.84852995914135099</v>
      </c>
      <c r="I1941" s="89">
        <v>500.39999999999986</v>
      </c>
      <c r="J1941" s="125">
        <v>64.115624999999994</v>
      </c>
    </row>
    <row r="1942" spans="1:10" x14ac:dyDescent="0.3">
      <c r="A1942" s="88" t="s">
        <v>483</v>
      </c>
      <c r="B1942" s="24">
        <v>39560</v>
      </c>
      <c r="C1942" s="32">
        <v>19.20702292494672</v>
      </c>
      <c r="D1942" s="1">
        <v>16.100000000000001</v>
      </c>
      <c r="E1942" s="1">
        <v>7.1</v>
      </c>
      <c r="F1942" s="1">
        <v>0</v>
      </c>
      <c r="G1942" s="1"/>
      <c r="H1942" s="126">
        <f t="shared" si="30"/>
        <v>1.0090889554747804</v>
      </c>
      <c r="I1942" s="89">
        <v>512.81999999999971</v>
      </c>
      <c r="J1942" s="125">
        <v>58.255208333333307</v>
      </c>
    </row>
    <row r="1943" spans="1:10" x14ac:dyDescent="0.3">
      <c r="A1943" s="88" t="s">
        <v>483</v>
      </c>
      <c r="B1943" s="24">
        <v>39561</v>
      </c>
      <c r="C1943" s="32">
        <v>18.337617360751111</v>
      </c>
      <c r="D1943" s="1">
        <v>16.8</v>
      </c>
      <c r="E1943" s="1">
        <v>3.1</v>
      </c>
      <c r="F1943" s="1">
        <v>5.0000000000000001E-3</v>
      </c>
      <c r="G1943" s="1"/>
      <c r="H1943" s="126">
        <f t="shared" si="30"/>
        <v>0.76341105875491733</v>
      </c>
      <c r="I1943" s="89">
        <v>170.28000000000009</v>
      </c>
      <c r="J1943" s="125">
        <v>61.542708333333316</v>
      </c>
    </row>
    <row r="1944" spans="1:10" x14ac:dyDescent="0.3">
      <c r="A1944" s="88" t="s">
        <v>483</v>
      </c>
      <c r="B1944" s="24">
        <v>39562</v>
      </c>
      <c r="C1944" s="32">
        <v>16.626706410921031</v>
      </c>
      <c r="D1944" s="1">
        <v>18.600000000000001</v>
      </c>
      <c r="E1944" s="1">
        <v>7.8</v>
      </c>
      <c r="F1944" s="1">
        <v>0.39500000000000002</v>
      </c>
      <c r="G1944" s="1"/>
      <c r="H1944" s="126">
        <f t="shared" si="30"/>
        <v>1.0585899253295545</v>
      </c>
      <c r="I1944" s="89">
        <v>151.02000000000004</v>
      </c>
      <c r="J1944" s="125">
        <v>56.293750000000003</v>
      </c>
    </row>
    <row r="1945" spans="1:10" x14ac:dyDescent="0.3">
      <c r="A1945" s="88" t="s">
        <v>483</v>
      </c>
      <c r="B1945" s="24">
        <v>39563</v>
      </c>
      <c r="C1945" s="32">
        <v>15.55929957951731</v>
      </c>
      <c r="D1945" s="1">
        <v>15.6</v>
      </c>
      <c r="E1945" s="1">
        <v>7.8</v>
      </c>
      <c r="F1945" s="1">
        <v>2.895</v>
      </c>
      <c r="G1945" s="1"/>
      <c r="H1945" s="126">
        <f t="shared" si="30"/>
        <v>1.0585899253295545</v>
      </c>
      <c r="I1945" s="89">
        <v>307.62</v>
      </c>
      <c r="J1945" s="125">
        <v>74.840625000000003</v>
      </c>
    </row>
    <row r="1946" spans="1:10" x14ac:dyDescent="0.3">
      <c r="A1946" s="88" t="s">
        <v>483</v>
      </c>
      <c r="B1946" s="24">
        <v>39564</v>
      </c>
      <c r="C1946" s="32">
        <v>21.458837336558954</v>
      </c>
      <c r="D1946" s="1">
        <v>17.399999999999999</v>
      </c>
      <c r="E1946" s="1">
        <v>5.5</v>
      </c>
      <c r="F1946" s="1">
        <v>0</v>
      </c>
      <c r="G1946" s="1"/>
      <c r="H1946" s="126">
        <f t="shared" si="30"/>
        <v>0.90352494025987484</v>
      </c>
      <c r="I1946" s="89">
        <v>147.77999999999994</v>
      </c>
      <c r="J1946" s="125">
        <v>65.645833333333343</v>
      </c>
    </row>
    <row r="1947" spans="1:10" x14ac:dyDescent="0.3">
      <c r="A1947" s="88" t="s">
        <v>483</v>
      </c>
      <c r="B1947" s="24">
        <v>39565</v>
      </c>
      <c r="C1947" s="32">
        <v>20.681232359887105</v>
      </c>
      <c r="D1947" s="1">
        <v>19.899999999999999</v>
      </c>
      <c r="E1947" s="1">
        <v>8.8000000000000007</v>
      </c>
      <c r="F1947" s="1">
        <v>0</v>
      </c>
      <c r="G1947" s="1"/>
      <c r="H1947" s="126">
        <f t="shared" si="30"/>
        <v>1.1330116523877718</v>
      </c>
      <c r="I1947" s="89">
        <v>197.91</v>
      </c>
      <c r="J1947" s="125">
        <v>55.501041666666644</v>
      </c>
    </row>
    <row r="1948" spans="1:10" x14ac:dyDescent="0.3">
      <c r="A1948" s="88" t="s">
        <v>483</v>
      </c>
      <c r="B1948" s="24">
        <v>39566</v>
      </c>
      <c r="C1948" s="32">
        <v>18.227816658026612</v>
      </c>
      <c r="D1948" s="1">
        <v>19.899999999999999</v>
      </c>
      <c r="E1948" s="1">
        <v>10</v>
      </c>
      <c r="F1948" s="1">
        <v>14.805</v>
      </c>
      <c r="G1948" s="1"/>
      <c r="H1948" s="126">
        <f t="shared" si="30"/>
        <v>1.2283647027117881</v>
      </c>
      <c r="I1948" s="89">
        <v>231.66</v>
      </c>
      <c r="J1948" s="125">
        <v>65.622916666666683</v>
      </c>
    </row>
    <row r="1949" spans="1:10" x14ac:dyDescent="0.3">
      <c r="A1949" s="88" t="s">
        <v>483</v>
      </c>
      <c r="B1949" s="24">
        <v>39567</v>
      </c>
      <c r="C1949" s="32">
        <v>9.2331590922181892</v>
      </c>
      <c r="D1949" s="1">
        <v>13.7</v>
      </c>
      <c r="E1949" s="1">
        <v>9.4</v>
      </c>
      <c r="F1949" s="1">
        <v>7.7249999999999996</v>
      </c>
      <c r="G1949" s="1"/>
      <c r="H1949" s="126">
        <f t="shared" si="30"/>
        <v>1.1798411174091483</v>
      </c>
      <c r="I1949" s="89">
        <v>147.42000000000002</v>
      </c>
      <c r="J1949" s="125">
        <v>88.661458333333357</v>
      </c>
    </row>
    <row r="1950" spans="1:10" x14ac:dyDescent="0.3">
      <c r="A1950" s="88" t="s">
        <v>483</v>
      </c>
      <c r="B1950" s="24">
        <v>39568</v>
      </c>
      <c r="C1950" s="32">
        <v>19.719126202407693</v>
      </c>
      <c r="D1950" s="1">
        <v>18</v>
      </c>
      <c r="E1950" s="1">
        <v>7.6</v>
      </c>
      <c r="F1950" s="1">
        <v>1.88</v>
      </c>
      <c r="G1950" s="1"/>
      <c r="H1950" s="126">
        <f t="shared" si="30"/>
        <v>1.0442332464842816</v>
      </c>
      <c r="I1950" s="89">
        <v>296.28000000000014</v>
      </c>
      <c r="J1950" s="125">
        <v>67.460416666666646</v>
      </c>
    </row>
    <row r="1951" spans="1:10" x14ac:dyDescent="0.3">
      <c r="A1951" s="88" t="s">
        <v>483</v>
      </c>
      <c r="B1951" s="24">
        <v>39569</v>
      </c>
      <c r="C1951" s="32">
        <v>19.215122976787054</v>
      </c>
      <c r="D1951" s="1">
        <v>16.600000000000001</v>
      </c>
      <c r="E1951" s="1">
        <v>7.3</v>
      </c>
      <c r="F1951" s="1">
        <v>1.65</v>
      </c>
      <c r="G1951" s="1"/>
      <c r="H1951" s="126">
        <f t="shared" si="30"/>
        <v>1.0230196423808093</v>
      </c>
      <c r="I1951" s="89">
        <v>179.01</v>
      </c>
      <c r="J1951" s="125">
        <v>71.747916666666697</v>
      </c>
    </row>
    <row r="1952" spans="1:10" x14ac:dyDescent="0.3">
      <c r="A1952" s="88" t="s">
        <v>483</v>
      </c>
      <c r="B1952" s="24">
        <v>39570</v>
      </c>
      <c r="C1952" s="32">
        <v>15.719500604803871</v>
      </c>
      <c r="D1952" s="1">
        <v>15.3</v>
      </c>
      <c r="E1952" s="1">
        <v>5.9</v>
      </c>
      <c r="F1952" s="1">
        <v>6.0549999999999997</v>
      </c>
      <c r="G1952" s="1"/>
      <c r="H1952" s="126">
        <f t="shared" si="30"/>
        <v>0.92895926237531279</v>
      </c>
      <c r="I1952" s="89">
        <v>162.62999999999997</v>
      </c>
      <c r="J1952" s="125">
        <v>80.548958333333289</v>
      </c>
    </row>
    <row r="1953" spans="1:10" x14ac:dyDescent="0.3">
      <c r="A1953" s="88" t="s">
        <v>483</v>
      </c>
      <c r="B1953" s="24">
        <v>39571</v>
      </c>
      <c r="C1953" s="32">
        <v>23.988753528022578</v>
      </c>
      <c r="D1953" s="1">
        <v>16.8</v>
      </c>
      <c r="E1953" s="1">
        <v>4.8</v>
      </c>
      <c r="F1953" s="1">
        <v>0</v>
      </c>
      <c r="G1953" s="1"/>
      <c r="H1953" s="126">
        <f t="shared" si="30"/>
        <v>0.86048907931200158</v>
      </c>
      <c r="I1953" s="89">
        <v>89.28</v>
      </c>
      <c r="J1953" s="125">
        <v>71.247916666666669</v>
      </c>
    </row>
    <row r="1954" spans="1:10" x14ac:dyDescent="0.3">
      <c r="A1954" s="88" t="s">
        <v>483</v>
      </c>
      <c r="B1954" s="24">
        <v>39572</v>
      </c>
      <c r="C1954" s="32">
        <v>22.204942111629514</v>
      </c>
      <c r="D1954" s="1">
        <v>17.399999999999999</v>
      </c>
      <c r="E1954" s="1">
        <v>5.0999999999999996</v>
      </c>
      <c r="F1954" s="1">
        <v>0</v>
      </c>
      <c r="G1954" s="1"/>
      <c r="H1954" s="126">
        <f t="shared" si="30"/>
        <v>0.87870648225166126</v>
      </c>
      <c r="I1954" s="89">
        <v>144.26999999999995</v>
      </c>
      <c r="J1954" s="125">
        <v>63.55</v>
      </c>
    </row>
    <row r="1955" spans="1:10" x14ac:dyDescent="0.3">
      <c r="A1955" s="88" t="s">
        <v>483</v>
      </c>
      <c r="B1955" s="24">
        <v>39573</v>
      </c>
      <c r="C1955" s="32">
        <v>24.234455100512641</v>
      </c>
      <c r="D1955" s="1">
        <v>19.8</v>
      </c>
      <c r="E1955" s="1">
        <v>5.4</v>
      </c>
      <c r="F1955" s="1">
        <v>0</v>
      </c>
      <c r="G1955" s="1"/>
      <c r="H1955" s="126">
        <f t="shared" si="30"/>
        <v>0.8972630930441321</v>
      </c>
      <c r="I1955" s="89">
        <v>163.26000000000002</v>
      </c>
      <c r="J1955" s="125">
        <v>71.880208333333357</v>
      </c>
    </row>
    <row r="1956" spans="1:10" x14ac:dyDescent="0.3">
      <c r="A1956" s="88" t="s">
        <v>483</v>
      </c>
      <c r="B1956" s="24">
        <v>39574</v>
      </c>
      <c r="C1956" s="32">
        <v>26.134367259950466</v>
      </c>
      <c r="D1956" s="1">
        <v>20.100000000000001</v>
      </c>
      <c r="E1956" s="1">
        <v>8.5</v>
      </c>
      <c r="F1956" s="1">
        <v>0</v>
      </c>
      <c r="G1956" s="1"/>
      <c r="H1956" s="126">
        <f t="shared" si="30"/>
        <v>1.110216300480029</v>
      </c>
      <c r="I1956" s="89">
        <v>177.20999999999992</v>
      </c>
      <c r="J1956" s="125">
        <v>62.746875000000003</v>
      </c>
    </row>
    <row r="1957" spans="1:10" x14ac:dyDescent="0.3">
      <c r="A1957" s="88" t="s">
        <v>483</v>
      </c>
      <c r="B1957" s="24">
        <v>39575</v>
      </c>
      <c r="C1957" s="32">
        <v>24.695258049651521</v>
      </c>
      <c r="D1957" s="1">
        <v>21.5</v>
      </c>
      <c r="E1957" s="1">
        <v>7.3</v>
      </c>
      <c r="F1957" s="1">
        <v>0</v>
      </c>
      <c r="G1957" s="1"/>
      <c r="H1957" s="126">
        <f t="shared" si="30"/>
        <v>1.0230196423808093</v>
      </c>
      <c r="I1957" s="89">
        <v>82.710000000000008</v>
      </c>
      <c r="J1957" s="125">
        <v>62.941666666666684</v>
      </c>
    </row>
    <row r="1958" spans="1:10" x14ac:dyDescent="0.3">
      <c r="A1958" s="88" t="s">
        <v>483</v>
      </c>
      <c r="B1958" s="24">
        <v>39576</v>
      </c>
      <c r="C1958" s="32">
        <v>26.457469327803697</v>
      </c>
      <c r="D1958" s="1">
        <v>22.2</v>
      </c>
      <c r="E1958" s="1">
        <v>7.7</v>
      </c>
      <c r="F1958" s="1">
        <v>0</v>
      </c>
      <c r="G1958" s="1"/>
      <c r="H1958" s="126">
        <f t="shared" si="30"/>
        <v>1.0513900110721115</v>
      </c>
      <c r="I1958" s="89">
        <v>115.19999999999999</v>
      </c>
      <c r="J1958" s="125">
        <v>57.229166666666664</v>
      </c>
    </row>
    <row r="1959" spans="1:10" x14ac:dyDescent="0.3">
      <c r="A1959" s="88" t="s">
        <v>483</v>
      </c>
      <c r="B1959" s="24">
        <v>39577</v>
      </c>
      <c r="C1959" s="32">
        <v>26.619470364610333</v>
      </c>
      <c r="D1959" s="1">
        <v>22.9</v>
      </c>
      <c r="E1959" s="1">
        <v>7.9</v>
      </c>
      <c r="F1959" s="1">
        <v>0</v>
      </c>
      <c r="G1959" s="1"/>
      <c r="H1959" s="126">
        <f t="shared" si="30"/>
        <v>1.0658332114824252</v>
      </c>
      <c r="I1959" s="89">
        <v>220.5</v>
      </c>
      <c r="J1959" s="125">
        <v>52.765625</v>
      </c>
    </row>
    <row r="1960" spans="1:10" x14ac:dyDescent="0.3">
      <c r="A1960" s="88" t="s">
        <v>483</v>
      </c>
      <c r="B1960" s="24">
        <v>39578</v>
      </c>
      <c r="C1960" s="32">
        <v>26.994772766545708</v>
      </c>
      <c r="D1960" s="1">
        <v>22.8</v>
      </c>
      <c r="E1960" s="1">
        <v>8.5</v>
      </c>
      <c r="F1960" s="1">
        <v>0</v>
      </c>
      <c r="G1960" s="1"/>
      <c r="H1960" s="126">
        <f t="shared" si="30"/>
        <v>1.110216300480029</v>
      </c>
      <c r="I1960" s="89">
        <v>197.19</v>
      </c>
      <c r="J1960" s="125">
        <v>55.270833333333336</v>
      </c>
    </row>
    <row r="1961" spans="1:10" x14ac:dyDescent="0.3">
      <c r="A1961" s="88" t="s">
        <v>483</v>
      </c>
      <c r="B1961" s="24">
        <v>39579</v>
      </c>
      <c r="C1961" s="32">
        <v>25.933665975462244</v>
      </c>
      <c r="D1961" s="1">
        <v>23.4</v>
      </c>
      <c r="E1961" s="1">
        <v>9</v>
      </c>
      <c r="F1961" s="1">
        <v>0</v>
      </c>
      <c r="G1961" s="1"/>
      <c r="H1961" s="126">
        <f t="shared" si="30"/>
        <v>1.148436398239401</v>
      </c>
      <c r="I1961" s="89">
        <v>175.1399999999999</v>
      </c>
      <c r="J1961" s="125">
        <v>89.152083333333337</v>
      </c>
    </row>
    <row r="1962" spans="1:10" x14ac:dyDescent="0.3">
      <c r="A1962" s="88" t="s">
        <v>483</v>
      </c>
      <c r="B1962" s="24">
        <v>39580</v>
      </c>
      <c r="C1962" s="32">
        <v>26.830971718218997</v>
      </c>
      <c r="D1962" s="1">
        <v>23.6</v>
      </c>
      <c r="E1962" s="1">
        <v>9.6</v>
      </c>
      <c r="F1962" s="1">
        <v>0</v>
      </c>
      <c r="G1962" s="1"/>
      <c r="H1962" s="126">
        <f t="shared" si="30"/>
        <v>1.1958248668287446</v>
      </c>
      <c r="I1962" s="89">
        <v>135.27000000000001</v>
      </c>
      <c r="J1962" s="125">
        <v>99.178124999999994</v>
      </c>
    </row>
    <row r="1963" spans="1:10" x14ac:dyDescent="0.3">
      <c r="A1963" s="88" t="s">
        <v>483</v>
      </c>
      <c r="B1963" s="24">
        <v>39581</v>
      </c>
      <c r="C1963" s="32">
        <v>24.78165860261506</v>
      </c>
      <c r="D1963" s="1">
        <v>20</v>
      </c>
      <c r="E1963" s="1">
        <v>9.6999999999999993</v>
      </c>
      <c r="F1963" s="1">
        <v>0</v>
      </c>
      <c r="G1963" s="1"/>
      <c r="H1963" s="126">
        <f t="shared" si="30"/>
        <v>1.2038879226915637</v>
      </c>
      <c r="I1963" s="89">
        <v>282.32999999999981</v>
      </c>
      <c r="J1963" s="125">
        <v>76.097916666666677</v>
      </c>
    </row>
    <row r="1964" spans="1:10" x14ac:dyDescent="0.3">
      <c r="A1964" s="88" t="s">
        <v>483</v>
      </c>
      <c r="B1964" s="24">
        <v>39582</v>
      </c>
      <c r="C1964" s="32">
        <v>26.539369851967056</v>
      </c>
      <c r="D1964" s="1">
        <v>21.1</v>
      </c>
      <c r="E1964" s="1">
        <v>6.9</v>
      </c>
      <c r="F1964" s="1">
        <v>0</v>
      </c>
      <c r="G1964" s="1"/>
      <c r="H1964" s="126">
        <f t="shared" si="30"/>
        <v>0.99532561227749294</v>
      </c>
      <c r="I1964" s="89">
        <v>193.86</v>
      </c>
      <c r="J1964" s="125">
        <v>60.623958333333348</v>
      </c>
    </row>
    <row r="1965" spans="1:10" x14ac:dyDescent="0.3">
      <c r="A1965" s="88" t="s">
        <v>483</v>
      </c>
      <c r="B1965" s="24">
        <v>39583</v>
      </c>
      <c r="C1965" s="32">
        <v>13.579286907436208</v>
      </c>
      <c r="D1965" s="1">
        <v>19.8</v>
      </c>
      <c r="E1965" s="1">
        <v>8.9</v>
      </c>
      <c r="F1965" s="1">
        <v>0.93</v>
      </c>
      <c r="G1965" s="1"/>
      <c r="H1965" s="126">
        <f t="shared" si="30"/>
        <v>1.1407010860938473</v>
      </c>
      <c r="I1965" s="89">
        <v>91.980000000000018</v>
      </c>
      <c r="J1965" s="125">
        <v>73.508333333333354</v>
      </c>
    </row>
    <row r="1966" spans="1:10" x14ac:dyDescent="0.3">
      <c r="A1966" s="88" t="s">
        <v>483</v>
      </c>
      <c r="B1966" s="24">
        <v>39584</v>
      </c>
      <c r="C1966" s="32">
        <v>6.9525444962847764</v>
      </c>
      <c r="D1966" s="1">
        <v>17</v>
      </c>
      <c r="E1966" s="1">
        <v>11.2</v>
      </c>
      <c r="F1966" s="1">
        <v>3.4249999999999998</v>
      </c>
      <c r="G1966" s="1"/>
      <c r="H1966" s="126">
        <f t="shared" si="30"/>
        <v>1.3307036698161701</v>
      </c>
      <c r="I1966" s="89">
        <v>110.69999999999999</v>
      </c>
      <c r="J1966" s="125">
        <v>91.146874999999994</v>
      </c>
    </row>
    <row r="1967" spans="1:10" x14ac:dyDescent="0.3">
      <c r="A1967" s="88" t="s">
        <v>483</v>
      </c>
      <c r="B1967" s="24">
        <v>39585</v>
      </c>
      <c r="C1967" s="32">
        <v>4.490128736823916</v>
      </c>
      <c r="D1967" s="1">
        <v>15.5</v>
      </c>
      <c r="E1967" s="1">
        <v>9.1</v>
      </c>
      <c r="F1967" s="1">
        <v>10.195</v>
      </c>
      <c r="G1967" s="1"/>
      <c r="H1967" s="126">
        <f t="shared" si="30"/>
        <v>1.156217822409108</v>
      </c>
      <c r="I1967" s="89">
        <v>199.8</v>
      </c>
      <c r="J1967" s="125">
        <v>95.363541666666677</v>
      </c>
    </row>
    <row r="1968" spans="1:10" x14ac:dyDescent="0.3">
      <c r="A1968" s="88" t="s">
        <v>483</v>
      </c>
      <c r="B1968" s="24">
        <v>39586</v>
      </c>
      <c r="C1968" s="32">
        <v>18.505918437878002</v>
      </c>
      <c r="D1968" s="1">
        <v>15</v>
      </c>
      <c r="E1968" s="1">
        <v>8</v>
      </c>
      <c r="F1968" s="1">
        <v>0.02</v>
      </c>
      <c r="G1968" s="1"/>
      <c r="H1968" s="126">
        <f t="shared" si="30"/>
        <v>1.0731200926872433</v>
      </c>
      <c r="I1968" s="89">
        <v>194.13000000000002</v>
      </c>
      <c r="J1968" s="125">
        <v>72.006249999999994</v>
      </c>
    </row>
    <row r="1969" spans="1:10" x14ac:dyDescent="0.3">
      <c r="A1969" s="88" t="s">
        <v>483</v>
      </c>
      <c r="B1969" s="24">
        <v>39587</v>
      </c>
      <c r="C1969" s="32">
        <v>21.929540349058236</v>
      </c>
      <c r="D1969" s="1">
        <v>15.7</v>
      </c>
      <c r="E1969" s="1">
        <v>5.3</v>
      </c>
      <c r="F1969" s="1">
        <v>0</v>
      </c>
      <c r="G1969" s="1"/>
      <c r="H1969" s="126">
        <f t="shared" si="30"/>
        <v>0.89103953465215091</v>
      </c>
      <c r="I1969" s="89">
        <v>198.54000000000002</v>
      </c>
      <c r="J1969" s="125">
        <v>68.755208333333329</v>
      </c>
    </row>
    <row r="1970" spans="1:10" x14ac:dyDescent="0.3">
      <c r="A1970" s="88" t="s">
        <v>483</v>
      </c>
      <c r="B1970" s="24">
        <v>39588</v>
      </c>
      <c r="C1970" s="32">
        <v>21.606438281204998</v>
      </c>
      <c r="D1970" s="1">
        <v>15.8</v>
      </c>
      <c r="E1970" s="1">
        <v>5.7</v>
      </c>
      <c r="F1970" s="1">
        <v>0</v>
      </c>
      <c r="G1970" s="1"/>
      <c r="H1970" s="126">
        <f t="shared" si="30"/>
        <v>0.91616430843021424</v>
      </c>
      <c r="I1970" s="89">
        <v>157.05000000000007</v>
      </c>
      <c r="J1970" s="125">
        <v>60.460416666666653</v>
      </c>
    </row>
    <row r="1971" spans="1:10" x14ac:dyDescent="0.3">
      <c r="A1971" s="88" t="s">
        <v>483</v>
      </c>
      <c r="B1971" s="24">
        <v>39589</v>
      </c>
      <c r="C1971" s="32">
        <v>26.922772305742757</v>
      </c>
      <c r="D1971" s="1">
        <v>17.2</v>
      </c>
      <c r="E1971" s="1">
        <v>4.5</v>
      </c>
      <c r="F1971" s="1">
        <v>5.0000000000000001E-3</v>
      </c>
      <c r="G1971" s="1"/>
      <c r="H1971" s="126">
        <f t="shared" si="30"/>
        <v>0.84260555674484927</v>
      </c>
      <c r="I1971" s="89">
        <v>189.72000000000008</v>
      </c>
      <c r="J1971" s="125">
        <v>56.63020833333335</v>
      </c>
    </row>
    <row r="1972" spans="1:10" x14ac:dyDescent="0.3">
      <c r="A1972" s="88" t="s">
        <v>483</v>
      </c>
      <c r="B1972" s="24">
        <v>39590</v>
      </c>
      <c r="C1972" s="32">
        <v>28.984685501987212</v>
      </c>
      <c r="D1972" s="1">
        <v>18.8</v>
      </c>
      <c r="E1972" s="1">
        <v>6.6</v>
      </c>
      <c r="F1972" s="1">
        <v>5.0000000000000001E-3</v>
      </c>
      <c r="G1972" s="1"/>
      <c r="H1972" s="126">
        <f t="shared" si="30"/>
        <v>0.97499060249070812</v>
      </c>
      <c r="I1972" s="89">
        <v>162.98999999999998</v>
      </c>
      <c r="J1972" s="125">
        <v>57.242708333333326</v>
      </c>
    </row>
    <row r="1973" spans="1:10" x14ac:dyDescent="0.3">
      <c r="A1973" s="88" t="s">
        <v>483</v>
      </c>
      <c r="B1973" s="24">
        <v>39591</v>
      </c>
      <c r="C1973" s="32">
        <v>20.350930245953574</v>
      </c>
      <c r="D1973" s="1">
        <v>19</v>
      </c>
      <c r="E1973" s="1">
        <v>8.8000000000000007</v>
      </c>
      <c r="F1973" s="1">
        <v>0</v>
      </c>
      <c r="G1973" s="1"/>
      <c r="H1973" s="126">
        <f t="shared" si="30"/>
        <v>1.1330116523877718</v>
      </c>
      <c r="I1973" s="89">
        <v>186.66000000000011</v>
      </c>
      <c r="J1973" s="125">
        <v>61.58020833333331</v>
      </c>
    </row>
    <row r="1974" spans="1:10" x14ac:dyDescent="0.3">
      <c r="A1974" s="88" t="s">
        <v>483</v>
      </c>
      <c r="B1974" s="24">
        <v>39592</v>
      </c>
      <c r="C1974" s="32">
        <v>28.802884338459766</v>
      </c>
      <c r="D1974" s="1">
        <v>20.100000000000001</v>
      </c>
      <c r="E1974" s="1">
        <v>7</v>
      </c>
      <c r="F1974" s="1">
        <v>0</v>
      </c>
      <c r="G1974" s="1"/>
      <c r="H1974" s="126">
        <f t="shared" si="30"/>
        <v>1.0021864739217894</v>
      </c>
      <c r="I1974" s="89">
        <v>278.82000000000011</v>
      </c>
      <c r="J1974" s="125">
        <v>54.418750000000003</v>
      </c>
    </row>
    <row r="1975" spans="1:10" x14ac:dyDescent="0.3">
      <c r="A1975" s="88" t="s">
        <v>483</v>
      </c>
      <c r="B1975" s="24">
        <v>39593</v>
      </c>
      <c r="C1975" s="32">
        <v>16.337804561949195</v>
      </c>
      <c r="D1975" s="1">
        <v>19.5</v>
      </c>
      <c r="E1975" s="1">
        <v>8.3000000000000007</v>
      </c>
      <c r="F1975" s="1">
        <v>7.4999999999999997E-2</v>
      </c>
      <c r="G1975" s="1"/>
      <c r="H1975" s="126">
        <f t="shared" si="30"/>
        <v>1.0952445521994474</v>
      </c>
      <c r="I1975" s="89">
        <v>323.45999999999998</v>
      </c>
      <c r="J1975" s="125">
        <v>68.063541666666666</v>
      </c>
    </row>
    <row r="1976" spans="1:10" x14ac:dyDescent="0.3">
      <c r="A1976" s="88" t="s">
        <v>483</v>
      </c>
      <c r="B1976" s="24">
        <v>39594</v>
      </c>
      <c r="C1976" s="32">
        <v>9.9063634007257644</v>
      </c>
      <c r="D1976" s="1">
        <v>18.600000000000001</v>
      </c>
      <c r="E1976" s="1">
        <v>13.5</v>
      </c>
      <c r="F1976" s="1">
        <v>0.42499999999999999</v>
      </c>
      <c r="G1976" s="1"/>
      <c r="H1976" s="126">
        <f t="shared" si="30"/>
        <v>1.5479739445616383</v>
      </c>
      <c r="I1976" s="89">
        <v>213.3</v>
      </c>
      <c r="J1976" s="125">
        <v>73.763541666666654</v>
      </c>
    </row>
    <row r="1977" spans="1:10" x14ac:dyDescent="0.3">
      <c r="A1977" s="88" t="s">
        <v>483</v>
      </c>
      <c r="B1977" s="24">
        <v>39595</v>
      </c>
      <c r="C1977" s="32">
        <v>15.129096826219687</v>
      </c>
      <c r="D1977" s="1">
        <v>19.100000000000001</v>
      </c>
      <c r="E1977" s="1">
        <v>11.4</v>
      </c>
      <c r="F1977" s="1">
        <v>0</v>
      </c>
      <c r="G1977" s="1"/>
      <c r="H1977" s="126">
        <f t="shared" si="30"/>
        <v>1.3484693686655054</v>
      </c>
      <c r="I1977" s="89">
        <v>432.09000000000003</v>
      </c>
      <c r="J1977" s="125">
        <v>74.391666666666666</v>
      </c>
    </row>
    <row r="1978" spans="1:10" x14ac:dyDescent="0.3">
      <c r="A1978" s="88" t="s">
        <v>483</v>
      </c>
      <c r="B1978" s="24">
        <v>39596</v>
      </c>
      <c r="C1978" s="32">
        <v>22.818746039974659</v>
      </c>
      <c r="D1978" s="1">
        <v>24.6</v>
      </c>
      <c r="E1978" s="1">
        <v>13.1</v>
      </c>
      <c r="F1978" s="1">
        <v>0</v>
      </c>
      <c r="G1978" s="1"/>
      <c r="H1978" s="126">
        <f t="shared" si="30"/>
        <v>1.5080901913058991</v>
      </c>
      <c r="I1978" s="89">
        <v>461.70000000000005</v>
      </c>
      <c r="J1978" s="125">
        <v>61.951041666666676</v>
      </c>
    </row>
    <row r="1979" spans="1:10" x14ac:dyDescent="0.3">
      <c r="A1979" s="88" t="s">
        <v>483</v>
      </c>
      <c r="B1979" s="24">
        <v>39597</v>
      </c>
      <c r="C1979" s="32">
        <v>24.452256494441567</v>
      </c>
      <c r="D1979" s="1">
        <v>26.1</v>
      </c>
      <c r="E1979" s="1">
        <v>13</v>
      </c>
      <c r="F1979" s="1">
        <v>0</v>
      </c>
      <c r="G1979" s="1"/>
      <c r="H1979" s="126">
        <f t="shared" si="30"/>
        <v>1.498261331998219</v>
      </c>
      <c r="I1979" s="89">
        <v>346.31999999999994</v>
      </c>
      <c r="J1979" s="125">
        <v>51.638541666666661</v>
      </c>
    </row>
    <row r="1980" spans="1:10" x14ac:dyDescent="0.3">
      <c r="A1980" s="88" t="s">
        <v>483</v>
      </c>
      <c r="B1980" s="24">
        <v>39598</v>
      </c>
      <c r="C1980" s="32">
        <v>26.179367547952307</v>
      </c>
      <c r="D1980" s="1">
        <v>28.5</v>
      </c>
      <c r="E1980" s="1">
        <v>14.4</v>
      </c>
      <c r="F1980" s="1">
        <v>0</v>
      </c>
      <c r="G1980" s="1"/>
      <c r="H1980" s="126">
        <f t="shared" si="30"/>
        <v>1.6411136286522547</v>
      </c>
      <c r="I1980" s="89">
        <v>272.61000000000007</v>
      </c>
      <c r="J1980" s="125">
        <v>57.543750000000003</v>
      </c>
    </row>
    <row r="1981" spans="1:10" x14ac:dyDescent="0.3">
      <c r="A1981" s="88" t="s">
        <v>483</v>
      </c>
      <c r="B1981" s="24">
        <v>39599</v>
      </c>
      <c r="C1981" s="32">
        <v>24.423456310120383</v>
      </c>
      <c r="D1981" s="1">
        <v>29</v>
      </c>
      <c r="E1981" s="1">
        <v>15.7</v>
      </c>
      <c r="F1981" s="1">
        <v>6.0449999999999999</v>
      </c>
      <c r="G1981" s="1"/>
      <c r="H1981" s="126">
        <f t="shared" si="30"/>
        <v>1.7843198966763008</v>
      </c>
      <c r="I1981" s="89">
        <v>170.37</v>
      </c>
      <c r="J1981" s="125">
        <v>71.728125000000006</v>
      </c>
    </row>
    <row r="1982" spans="1:10" x14ac:dyDescent="0.3">
      <c r="A1982" s="88" t="s">
        <v>483</v>
      </c>
      <c r="B1982" s="24">
        <v>39600</v>
      </c>
      <c r="C1982" s="32">
        <v>20.713632567248432</v>
      </c>
      <c r="D1982" s="1">
        <v>25.6</v>
      </c>
      <c r="E1982" s="1">
        <v>16.3</v>
      </c>
      <c r="F1982" s="1">
        <v>0.02</v>
      </c>
      <c r="G1982" s="1"/>
      <c r="H1982" s="126">
        <f t="shared" si="30"/>
        <v>1.8540295328498797</v>
      </c>
      <c r="I1982" s="89">
        <v>98.730000000000018</v>
      </c>
      <c r="J1982" s="125">
        <v>81.195833333333354</v>
      </c>
    </row>
    <row r="1983" spans="1:10" x14ac:dyDescent="0.3">
      <c r="A1983" s="88" t="s">
        <v>483</v>
      </c>
      <c r="B1983" s="24">
        <v>39601</v>
      </c>
      <c r="C1983" s="32">
        <v>23.294849087034155</v>
      </c>
      <c r="D1983" s="1">
        <v>28.6</v>
      </c>
      <c r="E1983" s="1">
        <v>16.2</v>
      </c>
      <c r="F1983" s="1">
        <v>0</v>
      </c>
      <c r="G1983" s="1"/>
      <c r="H1983" s="126">
        <f t="shared" si="30"/>
        <v>1.842248157637969</v>
      </c>
      <c r="I1983" s="89">
        <v>140.13</v>
      </c>
      <c r="J1983" s="125">
        <v>68.555208333333354</v>
      </c>
    </row>
    <row r="1984" spans="1:10" x14ac:dyDescent="0.3">
      <c r="A1984" s="88" t="s">
        <v>483</v>
      </c>
      <c r="B1984" s="24">
        <v>39602</v>
      </c>
      <c r="C1984" s="32">
        <v>21.419237083117331</v>
      </c>
      <c r="D1984" s="1">
        <v>25.7</v>
      </c>
      <c r="E1984" s="1">
        <v>15.1</v>
      </c>
      <c r="F1984" s="1">
        <v>1.6950000000000001</v>
      </c>
      <c r="G1984" s="1"/>
      <c r="H1984" s="126">
        <f t="shared" si="30"/>
        <v>1.7169184104549529</v>
      </c>
      <c r="I1984" s="89">
        <v>184.50000000000006</v>
      </c>
      <c r="J1984" s="125">
        <v>67.572916666666657</v>
      </c>
    </row>
    <row r="1985" spans="1:11" x14ac:dyDescent="0.3">
      <c r="A1985" s="88" t="s">
        <v>483</v>
      </c>
      <c r="B1985" s="24">
        <v>39603</v>
      </c>
      <c r="C1985" s="32">
        <v>20.960234145498532</v>
      </c>
      <c r="D1985" s="1">
        <v>24.6</v>
      </c>
      <c r="E1985" s="1">
        <v>13.9</v>
      </c>
      <c r="F1985" s="1">
        <v>0.92500000000000004</v>
      </c>
      <c r="G1985" s="1"/>
      <c r="H1985" s="126">
        <f t="shared" si="30"/>
        <v>1.5887804036720876</v>
      </c>
      <c r="I1985" s="89">
        <v>147.60000000000002</v>
      </c>
      <c r="J1985" s="125">
        <v>74.59375</v>
      </c>
    </row>
    <row r="1986" spans="1:11" x14ac:dyDescent="0.3">
      <c r="A1986" s="88" t="s">
        <v>483</v>
      </c>
      <c r="B1986" s="24">
        <v>39604</v>
      </c>
      <c r="C1986" s="32">
        <v>27.132473647831347</v>
      </c>
      <c r="D1986" s="1">
        <v>24.4</v>
      </c>
      <c r="E1986" s="1">
        <v>12.6</v>
      </c>
      <c r="F1986" s="1">
        <v>0</v>
      </c>
      <c r="G1986" s="1"/>
      <c r="H1986" s="126">
        <f t="shared" si="30"/>
        <v>1.4595059422181114</v>
      </c>
      <c r="I1986" s="89">
        <v>296.28000000000003</v>
      </c>
      <c r="J1986" s="125">
        <v>55.057291666666664</v>
      </c>
    </row>
    <row r="1987" spans="1:11" x14ac:dyDescent="0.3">
      <c r="A1987" s="88" t="s">
        <v>483</v>
      </c>
      <c r="B1987" s="24">
        <v>39605</v>
      </c>
      <c r="C1987" s="32">
        <v>26.216267784113818</v>
      </c>
      <c r="D1987" s="1">
        <v>23.8</v>
      </c>
      <c r="E1987" s="1">
        <v>11.6</v>
      </c>
      <c r="F1987" s="1">
        <v>0</v>
      </c>
      <c r="G1987" s="1"/>
      <c r="H1987" s="126">
        <f t="shared" si="30"/>
        <v>1.3664431264636057</v>
      </c>
      <c r="I1987" s="89">
        <v>265.05000000000013</v>
      </c>
      <c r="J1987" s="125">
        <v>53.798958333333353</v>
      </c>
    </row>
    <row r="1988" spans="1:11" x14ac:dyDescent="0.3">
      <c r="A1988" s="88" t="s">
        <v>483</v>
      </c>
      <c r="B1988" s="24">
        <v>39606</v>
      </c>
      <c r="C1988" s="32">
        <v>23.887952882898453</v>
      </c>
      <c r="D1988" s="1">
        <v>26.1</v>
      </c>
      <c r="E1988" s="1">
        <v>12.3</v>
      </c>
      <c r="F1988" s="1">
        <v>0</v>
      </c>
      <c r="G1988" s="1"/>
      <c r="H1988" s="126">
        <f t="shared" ref="H1988:H2051" si="31">0.611*EXP((17.27*E1988)/(E1988+237.3))</f>
        <v>1.4310198233396516</v>
      </c>
      <c r="I1988" s="89">
        <v>170.81999999999996</v>
      </c>
      <c r="J1988" s="125">
        <v>57.490625000000001</v>
      </c>
    </row>
    <row r="1989" spans="1:11" x14ac:dyDescent="0.3">
      <c r="A1989" s="88" t="s">
        <v>483</v>
      </c>
      <c r="B1989" s="24">
        <v>39607</v>
      </c>
      <c r="C1989" s="32">
        <v>28.069379644029723</v>
      </c>
      <c r="D1989" s="1">
        <v>26.7</v>
      </c>
      <c r="E1989" s="1">
        <v>12.1</v>
      </c>
      <c r="F1989" s="1">
        <v>5.0000000000000001E-3</v>
      </c>
      <c r="G1989" s="1"/>
      <c r="H1989" s="126">
        <f t="shared" si="31"/>
        <v>1.4123014242757443</v>
      </c>
      <c r="I1989" s="89">
        <v>151.29</v>
      </c>
      <c r="J1989" s="125">
        <v>47.86354166666667</v>
      </c>
    </row>
    <row r="1990" spans="1:11" x14ac:dyDescent="0.3">
      <c r="A1990" s="88" t="s">
        <v>483</v>
      </c>
      <c r="B1990" s="24">
        <v>39608</v>
      </c>
      <c r="C1990" s="32">
        <v>29.433788376245609</v>
      </c>
      <c r="D1990" s="1">
        <v>28</v>
      </c>
      <c r="E1990" s="1">
        <v>11.8</v>
      </c>
      <c r="F1990" s="1">
        <v>0</v>
      </c>
      <c r="G1990" s="1"/>
      <c r="H1990" s="126">
        <f t="shared" si="31"/>
        <v>1.3846270162501679</v>
      </c>
      <c r="I1990" s="89">
        <v>131.58000000000004</v>
      </c>
      <c r="J1990" s="125">
        <v>44.078125</v>
      </c>
      <c r="K1990" s="230">
        <v>373.98978046934081</v>
      </c>
    </row>
    <row r="1991" spans="1:11" x14ac:dyDescent="0.3">
      <c r="A1991" s="88" t="s">
        <v>483</v>
      </c>
      <c r="B1991" s="24">
        <v>39609</v>
      </c>
      <c r="C1991" s="32">
        <v>27.403375381602444</v>
      </c>
      <c r="D1991" s="1">
        <v>26.6</v>
      </c>
      <c r="E1991" s="1">
        <v>12.9</v>
      </c>
      <c r="F1991" s="1">
        <v>0</v>
      </c>
      <c r="G1991" s="1"/>
      <c r="H1991" s="126">
        <f t="shared" si="31"/>
        <v>1.4884887514247067</v>
      </c>
      <c r="I1991" s="89">
        <v>287.99999999999994</v>
      </c>
      <c r="J1991" s="125">
        <v>58.782291666666644</v>
      </c>
      <c r="K1991" s="230">
        <v>394.89923954372631</v>
      </c>
    </row>
    <row r="1992" spans="1:11" x14ac:dyDescent="0.3">
      <c r="A1992" s="88" t="s">
        <v>483</v>
      </c>
      <c r="B1992" s="24">
        <v>39610</v>
      </c>
      <c r="C1992" s="32">
        <v>13.987889522492946</v>
      </c>
      <c r="D1992" s="1">
        <v>18.600000000000001</v>
      </c>
      <c r="E1992" s="1">
        <v>12.2</v>
      </c>
      <c r="F1992" s="1">
        <v>3.5000000000000003E-2</v>
      </c>
      <c r="G1992" s="1"/>
      <c r="H1992" s="126">
        <f t="shared" si="31"/>
        <v>1.4216335674868446</v>
      </c>
      <c r="I1992" s="89">
        <v>333.09000000000015</v>
      </c>
      <c r="J1992" s="125">
        <v>60.5</v>
      </c>
      <c r="K1992" s="230">
        <v>389.76439041830639</v>
      </c>
    </row>
    <row r="1993" spans="1:11" x14ac:dyDescent="0.3">
      <c r="A1993" s="88" t="s">
        <v>483</v>
      </c>
      <c r="B1993" s="24">
        <v>39611</v>
      </c>
      <c r="C1993" s="32">
        <v>13.473086227751859</v>
      </c>
      <c r="D1993" s="1">
        <v>15.9</v>
      </c>
      <c r="E1993" s="1">
        <v>9.1999999999999993</v>
      </c>
      <c r="F1993" s="1">
        <v>2.165</v>
      </c>
      <c r="G1993" s="1"/>
      <c r="H1993" s="126">
        <f t="shared" si="31"/>
        <v>1.16404559315309</v>
      </c>
      <c r="I1993" s="89">
        <v>246.14999999999995</v>
      </c>
      <c r="J1993" s="125">
        <v>68.547916666666694</v>
      </c>
      <c r="K1993" s="230">
        <v>385.25108804820837</v>
      </c>
    </row>
    <row r="1994" spans="1:11" x14ac:dyDescent="0.3">
      <c r="A1994" s="88" t="s">
        <v>483</v>
      </c>
      <c r="B1994" s="24">
        <v>39612</v>
      </c>
      <c r="C1994" s="32">
        <v>18.064915615459942</v>
      </c>
      <c r="D1994" s="1">
        <v>16.399999999999999</v>
      </c>
      <c r="E1994" s="1">
        <v>9.5</v>
      </c>
      <c r="F1994" s="1">
        <v>5.21</v>
      </c>
      <c r="G1994" s="1"/>
      <c r="H1994" s="126">
        <f t="shared" si="31"/>
        <v>1.1878093448750482</v>
      </c>
      <c r="I1994" s="89">
        <v>303.29999999999995</v>
      </c>
      <c r="J1994" s="125">
        <v>80.172916666666694</v>
      </c>
      <c r="K1994" s="230">
        <v>390.93471502590666</v>
      </c>
    </row>
    <row r="1995" spans="1:11" x14ac:dyDescent="0.3">
      <c r="A1995" s="88" t="s">
        <v>483</v>
      </c>
      <c r="B1995" s="24">
        <v>39613</v>
      </c>
      <c r="C1995" s="32">
        <v>18.849720638212084</v>
      </c>
      <c r="D1995" s="1">
        <v>15.6</v>
      </c>
      <c r="E1995" s="1">
        <v>8.6999999999999993</v>
      </c>
      <c r="F1995" s="1">
        <v>2.085</v>
      </c>
      <c r="G1995" s="1"/>
      <c r="H1995" s="126">
        <f t="shared" si="31"/>
        <v>1.1253678644990226</v>
      </c>
      <c r="I1995" s="89">
        <v>200.34</v>
      </c>
      <c r="J1995" s="125">
        <v>79.81458333333336</v>
      </c>
      <c r="K1995" s="230">
        <v>386.97844311377207</v>
      </c>
    </row>
    <row r="1996" spans="1:11" x14ac:dyDescent="0.3">
      <c r="A1996" s="88" t="s">
        <v>483</v>
      </c>
      <c r="B1996" s="24">
        <v>39614</v>
      </c>
      <c r="C1996" s="32">
        <v>20.905333794136283</v>
      </c>
      <c r="D1996" s="1">
        <v>16.8</v>
      </c>
      <c r="E1996" s="1">
        <v>7.7</v>
      </c>
      <c r="F1996" s="1">
        <v>5.9</v>
      </c>
      <c r="G1996" s="1"/>
      <c r="H1996" s="126">
        <f t="shared" si="31"/>
        <v>1.0513900110721115</v>
      </c>
      <c r="I1996" s="89">
        <v>207.09</v>
      </c>
      <c r="J1996" s="125">
        <v>77.732291666666683</v>
      </c>
      <c r="K1996" s="230">
        <v>384.86227106227369</v>
      </c>
    </row>
    <row r="1997" spans="1:11" x14ac:dyDescent="0.3">
      <c r="A1997" s="88" t="s">
        <v>483</v>
      </c>
      <c r="B1997" s="24">
        <v>39615</v>
      </c>
      <c r="C1997" s="32">
        <v>26.290968262196881</v>
      </c>
      <c r="D1997" s="1">
        <v>18.100000000000001</v>
      </c>
      <c r="E1997" s="1">
        <v>9.1</v>
      </c>
      <c r="F1997" s="1">
        <v>0</v>
      </c>
      <c r="G1997" s="1"/>
      <c r="H1997" s="126">
        <f t="shared" si="31"/>
        <v>1.156217822409108</v>
      </c>
      <c r="I1997" s="89">
        <v>233.55</v>
      </c>
      <c r="J1997" s="125">
        <v>68.260416666666686</v>
      </c>
      <c r="K1997" s="230">
        <v>385.79855022436914</v>
      </c>
    </row>
    <row r="1998" spans="1:11" x14ac:dyDescent="0.3">
      <c r="A1998" s="88" t="s">
        <v>483</v>
      </c>
      <c r="B1998" s="24">
        <v>39616</v>
      </c>
      <c r="C1998" s="32">
        <v>24.51169876209568</v>
      </c>
      <c r="D1998" s="1">
        <v>20.3</v>
      </c>
      <c r="E1998" s="1">
        <v>6.6</v>
      </c>
      <c r="F1998" s="1">
        <v>0.01</v>
      </c>
      <c r="G1998" s="1"/>
      <c r="H1998" s="126">
        <f t="shared" si="31"/>
        <v>0.97499060249070812</v>
      </c>
      <c r="I1998" s="89">
        <v>102.05999999999999</v>
      </c>
      <c r="J1998" s="125">
        <v>64.326562499999994</v>
      </c>
      <c r="K1998" s="230">
        <v>394.83453573814381</v>
      </c>
    </row>
    <row r="1999" spans="1:11" x14ac:dyDescent="0.3">
      <c r="A1999" s="88" t="s">
        <v>483</v>
      </c>
      <c r="B1999" s="24">
        <v>39617</v>
      </c>
      <c r="C1999" s="32">
        <v>23.619312425092829</v>
      </c>
      <c r="D1999" s="1">
        <v>23.8</v>
      </c>
      <c r="E1999" s="1">
        <v>11.3</v>
      </c>
      <c r="F1999" s="1">
        <v>0</v>
      </c>
      <c r="G1999" s="1"/>
      <c r="H1999" s="126">
        <f t="shared" si="31"/>
        <v>1.3395606407879945</v>
      </c>
      <c r="I1999" s="89">
        <v>168.21</v>
      </c>
      <c r="J1999" s="125">
        <v>56.046875</v>
      </c>
      <c r="K1999" s="230">
        <v>384.50303636970261</v>
      </c>
    </row>
    <row r="2000" spans="1:11" x14ac:dyDescent="0.3">
      <c r="A2000" s="88" t="s">
        <v>483</v>
      </c>
      <c r="B2000" s="24">
        <v>39618</v>
      </c>
      <c r="C2000" s="32">
        <v>17.532396022353375</v>
      </c>
      <c r="D2000" s="1">
        <v>24.5</v>
      </c>
      <c r="E2000" s="1">
        <v>13.9</v>
      </c>
      <c r="F2000" s="1">
        <v>5.4</v>
      </c>
      <c r="G2000" s="1"/>
      <c r="H2000" s="126">
        <f t="shared" si="31"/>
        <v>1.5887804036720876</v>
      </c>
      <c r="I2000" s="89">
        <v>256.0499999999999</v>
      </c>
      <c r="J2000" s="125">
        <v>62.859375</v>
      </c>
      <c r="K2000" s="230">
        <v>381.94526914075652</v>
      </c>
    </row>
    <row r="2001" spans="1:11" x14ac:dyDescent="0.3">
      <c r="A2001" s="88" t="s">
        <v>483</v>
      </c>
      <c r="B2001" s="24">
        <v>39619</v>
      </c>
      <c r="C2001" s="32">
        <v>20.896842492437298</v>
      </c>
      <c r="D2001" s="1">
        <v>21.2</v>
      </c>
      <c r="E2001" s="1">
        <v>12.6</v>
      </c>
      <c r="F2001" s="1">
        <v>0.1</v>
      </c>
      <c r="G2001" s="1"/>
      <c r="H2001" s="126">
        <f t="shared" si="31"/>
        <v>1.4595059422181114</v>
      </c>
      <c r="I2001" s="89">
        <v>258.48</v>
      </c>
      <c r="J2001" s="125">
        <v>67.355208333333351</v>
      </c>
      <c r="K2001" s="230">
        <v>383.94966821499742</v>
      </c>
    </row>
    <row r="2002" spans="1:11" x14ac:dyDescent="0.3">
      <c r="A2002" s="88" t="s">
        <v>483</v>
      </c>
      <c r="B2002" s="24">
        <v>39620</v>
      </c>
      <c r="C2002" s="32">
        <v>18.530528516047269</v>
      </c>
      <c r="D2002" s="1">
        <v>21.7</v>
      </c>
      <c r="E2002" s="1">
        <v>13.1</v>
      </c>
      <c r="F2002" s="1">
        <v>5.5E-2</v>
      </c>
      <c r="G2002" s="1"/>
      <c r="H2002" s="126">
        <f t="shared" si="31"/>
        <v>1.5080901913058991</v>
      </c>
      <c r="I2002" s="89">
        <v>180.45</v>
      </c>
      <c r="J2002" s="125">
        <v>64.592708333333334</v>
      </c>
      <c r="K2002" s="230">
        <v>385.65546330123027</v>
      </c>
    </row>
    <row r="2003" spans="1:11" x14ac:dyDescent="0.3">
      <c r="A2003" s="88" t="s">
        <v>483</v>
      </c>
      <c r="B2003" s="24">
        <v>39621</v>
      </c>
      <c r="C2003" s="32">
        <v>20.152837772960495</v>
      </c>
      <c r="D2003" s="1">
        <v>29.5</v>
      </c>
      <c r="E2003" s="1">
        <v>15.1</v>
      </c>
      <c r="F2003" s="1">
        <v>15.195</v>
      </c>
      <c r="G2003" s="1"/>
      <c r="H2003" s="126">
        <f t="shared" si="31"/>
        <v>1.7169184104549529</v>
      </c>
      <c r="I2003" s="89">
        <v>230.39999999999992</v>
      </c>
      <c r="J2003" s="125">
        <v>70.307291666666671</v>
      </c>
      <c r="K2003" s="230">
        <v>373.31707895628728</v>
      </c>
    </row>
    <row r="2004" spans="1:11" x14ac:dyDescent="0.3">
      <c r="A2004" s="88" t="s">
        <v>483</v>
      </c>
      <c r="B2004" s="24">
        <v>39622</v>
      </c>
      <c r="C2004" s="32">
        <v>25.188950285977377</v>
      </c>
      <c r="D2004" s="1">
        <v>21.2</v>
      </c>
      <c r="E2004" s="1">
        <v>11.4</v>
      </c>
      <c r="F2004" s="1">
        <v>0.01</v>
      </c>
      <c r="G2004" s="1"/>
      <c r="H2004" s="126">
        <f t="shared" si="31"/>
        <v>1.3484693686655054</v>
      </c>
      <c r="I2004" s="89">
        <v>402.12</v>
      </c>
      <c r="J2004" s="125">
        <v>64.328125</v>
      </c>
      <c r="K2004" s="230">
        <v>379.43799846625762</v>
      </c>
    </row>
    <row r="2005" spans="1:11" x14ac:dyDescent="0.3">
      <c r="A2005" s="88" t="s">
        <v>483</v>
      </c>
      <c r="B2005" s="24">
        <v>39623</v>
      </c>
      <c r="C2005" s="32">
        <v>27.830527682355804</v>
      </c>
      <c r="D2005" s="1">
        <v>20.6</v>
      </c>
      <c r="E2005" s="1">
        <v>8.1</v>
      </c>
      <c r="F2005" s="1">
        <v>0</v>
      </c>
      <c r="G2005" s="1"/>
      <c r="H2005" s="126">
        <f t="shared" si="31"/>
        <v>1.080450793034103</v>
      </c>
      <c r="I2005" s="89">
        <v>120.86999999999998</v>
      </c>
      <c r="J2005" s="125">
        <v>61.112499999999997</v>
      </c>
      <c r="K2005" s="230">
        <v>383.03020158387164</v>
      </c>
    </row>
    <row r="2006" spans="1:11" x14ac:dyDescent="0.3">
      <c r="A2006" s="88" t="s">
        <v>483</v>
      </c>
      <c r="B2006" s="24">
        <v>39624</v>
      </c>
      <c r="C2006" s="32">
        <v>14.916580162692792</v>
      </c>
      <c r="D2006" s="1">
        <v>24.1</v>
      </c>
      <c r="E2006" s="1">
        <v>13.4</v>
      </c>
      <c r="F2006" s="1">
        <v>0</v>
      </c>
      <c r="G2006" s="1"/>
      <c r="H2006" s="126">
        <f t="shared" si="31"/>
        <v>1.5379172032464434</v>
      </c>
      <c r="I2006" s="89">
        <v>239.85000000000005</v>
      </c>
      <c r="J2006" s="125">
        <v>60.289583333333354</v>
      </c>
      <c r="K2006" s="230">
        <v>372.88621920742662</v>
      </c>
    </row>
    <row r="2007" spans="1:11" x14ac:dyDescent="0.3">
      <c r="A2007" s="88" t="s">
        <v>483</v>
      </c>
      <c r="B2007" s="24">
        <v>39625</v>
      </c>
      <c r="C2007" s="32">
        <v>24.788302649007601</v>
      </c>
      <c r="D2007" s="1">
        <v>23.4</v>
      </c>
      <c r="E2007" s="1">
        <v>14.2</v>
      </c>
      <c r="F2007" s="1">
        <v>0</v>
      </c>
      <c r="G2007" s="1"/>
      <c r="H2007" s="126">
        <f t="shared" si="31"/>
        <v>1.6200016491976139</v>
      </c>
      <c r="I2007" s="89">
        <v>249.48000000000002</v>
      </c>
      <c r="J2007" s="125">
        <v>58.434375000000003</v>
      </c>
      <c r="K2007" s="230">
        <v>377.89698075647044</v>
      </c>
    </row>
    <row r="2008" spans="1:11" x14ac:dyDescent="0.3">
      <c r="A2008" s="88" t="s">
        <v>483</v>
      </c>
      <c r="B2008" s="24">
        <v>39626</v>
      </c>
      <c r="C2008" s="32">
        <v>11.663432689807827</v>
      </c>
      <c r="D2008" s="1">
        <v>20.399999999999999</v>
      </c>
      <c r="E2008" s="1">
        <v>13.1</v>
      </c>
      <c r="F2008" s="1">
        <v>5.0000000000000001E-3</v>
      </c>
      <c r="G2008" s="1"/>
      <c r="H2008" s="126">
        <f t="shared" si="31"/>
        <v>1.5080901913058991</v>
      </c>
      <c r="I2008" s="89">
        <v>342.53999999999991</v>
      </c>
      <c r="J2008" s="125">
        <v>62.692708333333286</v>
      </c>
      <c r="K2008" s="230">
        <v>388.50218722659616</v>
      </c>
    </row>
    <row r="2009" spans="1:11" x14ac:dyDescent="0.3">
      <c r="A2009" s="88" t="s">
        <v>483</v>
      </c>
      <c r="B2009" s="24">
        <v>39627</v>
      </c>
      <c r="C2009" s="32">
        <v>10.76880315970892</v>
      </c>
      <c r="D2009" s="1">
        <v>21.6</v>
      </c>
      <c r="E2009" s="1">
        <v>12.4</v>
      </c>
      <c r="F2009" s="1">
        <v>0.44</v>
      </c>
      <c r="G2009" s="1"/>
      <c r="H2009" s="126">
        <f t="shared" si="31"/>
        <v>1.4404604588486194</v>
      </c>
      <c r="I2009" s="89">
        <v>295.11</v>
      </c>
      <c r="J2009" s="125">
        <v>78.209374999999994</v>
      </c>
      <c r="K2009" s="230">
        <v>381.48271481109725</v>
      </c>
    </row>
    <row r="2010" spans="1:11" x14ac:dyDescent="0.3">
      <c r="A2010" s="88" t="s">
        <v>483</v>
      </c>
      <c r="B2010" s="24">
        <v>39628</v>
      </c>
      <c r="C2010" s="32">
        <v>24.040057698523999</v>
      </c>
      <c r="D2010" s="1">
        <v>23.8</v>
      </c>
      <c r="E2010" s="1">
        <v>14.2</v>
      </c>
      <c r="F2010" s="1">
        <v>0</v>
      </c>
      <c r="G2010" s="1"/>
      <c r="H2010" s="126">
        <f t="shared" si="31"/>
        <v>1.6200016491976139</v>
      </c>
      <c r="I2010" s="89">
        <v>229.23000000000002</v>
      </c>
      <c r="J2010" s="125">
        <v>65.761458333333309</v>
      </c>
      <c r="K2010" s="230">
        <v>375.73413253413293</v>
      </c>
    </row>
    <row r="2011" spans="1:11" x14ac:dyDescent="0.3">
      <c r="A2011" s="88" t="s">
        <v>483</v>
      </c>
      <c r="B2011" s="24">
        <v>39629</v>
      </c>
      <c r="C2011" s="32">
        <v>22.81295589537444</v>
      </c>
      <c r="D2011" s="1">
        <v>23</v>
      </c>
      <c r="E2011" s="1">
        <v>12.4</v>
      </c>
      <c r="F2011" s="1">
        <v>0</v>
      </c>
      <c r="G2011" s="1"/>
      <c r="H2011" s="126">
        <f t="shared" si="31"/>
        <v>1.4404604588486194</v>
      </c>
      <c r="I2011" s="89">
        <v>237.51000000000005</v>
      </c>
      <c r="J2011" s="125">
        <v>58.21875</v>
      </c>
      <c r="K2011" s="230">
        <v>377.20834776584655</v>
      </c>
    </row>
    <row r="2012" spans="1:11" x14ac:dyDescent="0.3">
      <c r="A2012" s="88" t="s">
        <v>483</v>
      </c>
      <c r="B2012" s="24">
        <v>39630</v>
      </c>
      <c r="C2012" s="32">
        <v>26.538801904921982</v>
      </c>
      <c r="D2012" s="1">
        <v>27.3</v>
      </c>
      <c r="E2012" s="1">
        <v>10.1</v>
      </c>
      <c r="F2012" s="1">
        <v>2.5000000000000001E-2</v>
      </c>
      <c r="G2012" s="1"/>
      <c r="H2012" s="126">
        <f t="shared" si="31"/>
        <v>1.2366203081300822</v>
      </c>
      <c r="I2012" s="89">
        <v>106.28999999999998</v>
      </c>
      <c r="J2012" s="125">
        <v>57.172916666666701</v>
      </c>
      <c r="K2012" s="230">
        <v>389.22680447305936</v>
      </c>
    </row>
    <row r="2013" spans="1:11" x14ac:dyDescent="0.3">
      <c r="A2013" s="88" t="s">
        <v>483</v>
      </c>
      <c r="B2013" s="24">
        <v>39631</v>
      </c>
      <c r="C2013" s="32">
        <v>26.328934627834201</v>
      </c>
      <c r="D2013" s="1">
        <v>31.1</v>
      </c>
      <c r="E2013" s="1">
        <v>12.7</v>
      </c>
      <c r="F2013" s="1">
        <v>0.01</v>
      </c>
      <c r="G2013" s="1"/>
      <c r="H2013" s="126">
        <f t="shared" si="31"/>
        <v>1.4691113294420337</v>
      </c>
      <c r="I2013" s="89">
        <v>194.21999999999997</v>
      </c>
      <c r="J2013" s="125">
        <v>51.483333333333341</v>
      </c>
      <c r="K2013" s="230">
        <v>373.95142665323914</v>
      </c>
    </row>
    <row r="2014" spans="1:11" x14ac:dyDescent="0.3">
      <c r="A2014" s="88" t="s">
        <v>483</v>
      </c>
      <c r="B2014" s="24">
        <v>39632</v>
      </c>
      <c r="C2014" s="32">
        <v>18.629281879871531</v>
      </c>
      <c r="D2014" s="1">
        <v>29.1</v>
      </c>
      <c r="E2014" s="1">
        <v>17</v>
      </c>
      <c r="F2014" s="131">
        <v>0</v>
      </c>
      <c r="G2014" s="131"/>
      <c r="H2014" s="126">
        <f t="shared" si="31"/>
        <v>1.9383638408527206</v>
      </c>
      <c r="I2014" s="89">
        <v>164.34</v>
      </c>
      <c r="J2014" s="125">
        <v>71.178124999999994</v>
      </c>
      <c r="K2014" s="230">
        <v>376.68677486187948</v>
      </c>
    </row>
    <row r="2015" spans="1:11" x14ac:dyDescent="0.3">
      <c r="A2015" s="88" t="s">
        <v>483</v>
      </c>
      <c r="B2015" s="24">
        <v>39633</v>
      </c>
      <c r="C2015" s="32">
        <v>11.147099783352875</v>
      </c>
      <c r="D2015" s="1">
        <v>19.100000000000001</v>
      </c>
      <c r="E2015" s="1">
        <v>13.7</v>
      </c>
      <c r="F2015" s="131">
        <v>0</v>
      </c>
      <c r="G2015" s="131"/>
      <c r="H2015" s="126">
        <f t="shared" si="31"/>
        <v>1.568260711501982</v>
      </c>
      <c r="I2015" s="89">
        <v>375.92999999999995</v>
      </c>
      <c r="J2015" s="125">
        <v>85.494791666666643</v>
      </c>
      <c r="K2015" s="230">
        <v>382.79495397204238</v>
      </c>
    </row>
    <row r="2016" spans="1:11" x14ac:dyDescent="0.3">
      <c r="A2016" s="88" t="s">
        <v>483</v>
      </c>
      <c r="B2016" s="24">
        <v>39634</v>
      </c>
      <c r="C2016" s="32">
        <v>21.37549602090629</v>
      </c>
      <c r="D2016" s="1">
        <v>23.3</v>
      </c>
      <c r="E2016" s="1">
        <v>13.2</v>
      </c>
      <c r="F2016" s="1">
        <v>0.53</v>
      </c>
      <c r="G2016" s="1"/>
      <c r="H2016" s="126">
        <f t="shared" si="31"/>
        <v>1.5179756049640964</v>
      </c>
      <c r="I2016" s="89">
        <v>174.69</v>
      </c>
      <c r="J2016" s="125">
        <v>72.422916666666637</v>
      </c>
      <c r="K2016" s="230">
        <v>376.52839204743617</v>
      </c>
    </row>
    <row r="2017" spans="1:11" x14ac:dyDescent="0.3">
      <c r="A2017" s="88" t="s">
        <v>483</v>
      </c>
      <c r="B2017" s="24">
        <v>39635</v>
      </c>
      <c r="C2017" s="32">
        <v>15.359935489101305</v>
      </c>
      <c r="D2017" s="1">
        <v>25.1</v>
      </c>
      <c r="E2017" s="1">
        <v>14.8</v>
      </c>
      <c r="F2017" s="1">
        <v>7.35</v>
      </c>
      <c r="G2017" s="1"/>
      <c r="H2017" s="126">
        <f t="shared" si="31"/>
        <v>1.6840627760776321</v>
      </c>
      <c r="I2017" s="89">
        <v>118.80000000000001</v>
      </c>
      <c r="J2017" s="125">
        <v>73.061458333333348</v>
      </c>
      <c r="K2017" s="230">
        <v>378.11682178559164</v>
      </c>
    </row>
    <row r="2018" spans="1:11" x14ac:dyDescent="0.3">
      <c r="A2018" s="88" t="s">
        <v>483</v>
      </c>
      <c r="B2018" s="24">
        <v>39636</v>
      </c>
      <c r="C2018" s="32">
        <v>19.434000796725243</v>
      </c>
      <c r="D2018" s="1">
        <v>22.2</v>
      </c>
      <c r="E2018" s="1">
        <v>13.6</v>
      </c>
      <c r="F2018" s="1">
        <v>2.5550000000000002</v>
      </c>
      <c r="G2018" s="1"/>
      <c r="H2018" s="126">
        <f t="shared" si="31"/>
        <v>1.55808835361568</v>
      </c>
      <c r="I2018" s="89">
        <v>189.09000000000003</v>
      </c>
      <c r="J2018" s="125">
        <v>72.267708333333317</v>
      </c>
      <c r="K2018" s="230">
        <v>372.29400803799871</v>
      </c>
    </row>
    <row r="2019" spans="1:11" x14ac:dyDescent="0.3">
      <c r="A2019" s="88" t="s">
        <v>483</v>
      </c>
      <c r="B2019" s="24">
        <v>39637</v>
      </c>
      <c r="C2019" s="32">
        <v>17.533230324723206</v>
      </c>
      <c r="D2019" s="1">
        <v>21.3</v>
      </c>
      <c r="E2019" s="1">
        <v>12.9</v>
      </c>
      <c r="F2019" s="1">
        <v>2.98</v>
      </c>
      <c r="G2019" s="1"/>
      <c r="H2019" s="126">
        <f t="shared" si="31"/>
        <v>1.4884887514247067</v>
      </c>
      <c r="I2019" s="89">
        <v>324.27</v>
      </c>
      <c r="J2019" s="125">
        <v>73.707291666666691</v>
      </c>
      <c r="K2019" s="230">
        <v>375.60027981811788</v>
      </c>
    </row>
    <row r="2020" spans="1:11" x14ac:dyDescent="0.3">
      <c r="A2020" s="88" t="s">
        <v>483</v>
      </c>
      <c r="B2020" s="24">
        <v>39638</v>
      </c>
      <c r="C2020" s="32">
        <v>14.106848055934224</v>
      </c>
      <c r="D2020" s="1">
        <v>20</v>
      </c>
      <c r="E2020" s="1">
        <v>11.9</v>
      </c>
      <c r="F2020" s="1">
        <v>0</v>
      </c>
      <c r="G2020" s="1"/>
      <c r="H2020" s="126">
        <f t="shared" si="31"/>
        <v>1.3937984130245886</v>
      </c>
      <c r="I2020" s="89">
        <v>327.60000000000025</v>
      </c>
      <c r="J2020" s="125">
        <v>68.821875000000006</v>
      </c>
      <c r="K2020" s="230">
        <v>379.98445199660182</v>
      </c>
    </row>
    <row r="2021" spans="1:11" x14ac:dyDescent="0.3">
      <c r="A2021" s="88" t="s">
        <v>483</v>
      </c>
      <c r="B2021" s="24">
        <v>39639</v>
      </c>
      <c r="C2021" s="32">
        <v>7.5193875456748751</v>
      </c>
      <c r="D2021" s="1">
        <v>20</v>
      </c>
      <c r="E2021" s="1">
        <v>13.5</v>
      </c>
      <c r="F2021" s="1">
        <v>8.6449999999999996</v>
      </c>
      <c r="G2021" s="1"/>
      <c r="H2021" s="126">
        <f t="shared" si="31"/>
        <v>1.5479739445616383</v>
      </c>
      <c r="I2021" s="89">
        <v>137.79</v>
      </c>
      <c r="J2021" s="125">
        <v>89.838541666666671</v>
      </c>
      <c r="K2021" s="230">
        <v>409.82727272727288</v>
      </c>
    </row>
    <row r="2022" spans="1:11" x14ac:dyDescent="0.3">
      <c r="A2022" s="88" t="s">
        <v>483</v>
      </c>
      <c r="B2022" s="24">
        <v>39640</v>
      </c>
      <c r="C2022" s="32">
        <v>10.019677484468058</v>
      </c>
      <c r="D2022" s="1">
        <v>21.1</v>
      </c>
      <c r="E2022" s="1">
        <v>16.7</v>
      </c>
      <c r="F2022" s="1">
        <v>0.9</v>
      </c>
      <c r="G2022" s="1"/>
      <c r="H2022" s="126">
        <f t="shared" si="31"/>
        <v>1.9018178351702275</v>
      </c>
      <c r="I2022" s="89">
        <v>154.17000000000002</v>
      </c>
      <c r="J2022" s="125">
        <v>86.060416666666654</v>
      </c>
      <c r="K2022" s="230">
        <v>375.57839175257794</v>
      </c>
    </row>
    <row r="2023" spans="1:11" x14ac:dyDescent="0.3">
      <c r="A2023" s="88" t="s">
        <v>483</v>
      </c>
      <c r="B2023" s="24">
        <v>39641</v>
      </c>
      <c r="C2023" s="32">
        <v>18.641222772005381</v>
      </c>
      <c r="D2023" s="1">
        <v>22.1</v>
      </c>
      <c r="E2023" s="1">
        <v>13.2</v>
      </c>
      <c r="F2023" s="1">
        <v>0.64</v>
      </c>
      <c r="G2023" s="1"/>
      <c r="H2023" s="126">
        <f t="shared" si="31"/>
        <v>1.5179756049640964</v>
      </c>
      <c r="I2023" s="89">
        <v>243.45000000000002</v>
      </c>
      <c r="J2023" s="125">
        <v>71.888541666666669</v>
      </c>
      <c r="K2023" s="230">
        <v>376.73029547881674</v>
      </c>
    </row>
    <row r="2024" spans="1:11" x14ac:dyDescent="0.3">
      <c r="A2024" s="88" t="s">
        <v>483</v>
      </c>
      <c r="B2024" s="24">
        <v>39642</v>
      </c>
      <c r="C2024" s="32">
        <v>16.045299640074461</v>
      </c>
      <c r="D2024" s="1">
        <v>21</v>
      </c>
      <c r="E2024" s="1">
        <v>11</v>
      </c>
      <c r="F2024" s="1">
        <v>0</v>
      </c>
      <c r="G2024" s="1"/>
      <c r="H2024" s="126">
        <f t="shared" si="31"/>
        <v>1.313143973467028</v>
      </c>
      <c r="I2024" s="89">
        <v>111.15000000000003</v>
      </c>
      <c r="J2024" s="125">
        <v>69.115624999999994</v>
      </c>
      <c r="K2024" s="230">
        <v>389.64287795992715</v>
      </c>
    </row>
    <row r="2025" spans="1:11" x14ac:dyDescent="0.3">
      <c r="A2025" s="88" t="s">
        <v>483</v>
      </c>
      <c r="B2025" s="24">
        <v>39643</v>
      </c>
      <c r="C2025" s="32">
        <v>21.079735511322085</v>
      </c>
      <c r="D2025" s="1">
        <v>21.4</v>
      </c>
      <c r="E2025" s="1">
        <v>10.8</v>
      </c>
      <c r="F2025" s="1">
        <v>0</v>
      </c>
      <c r="G2025" s="1"/>
      <c r="H2025" s="126">
        <f t="shared" si="31"/>
        <v>1.2957882396636844</v>
      </c>
      <c r="I2025" s="89">
        <v>290.60999999999996</v>
      </c>
      <c r="J2025" s="125">
        <v>68.545833333333334</v>
      </c>
      <c r="K2025" s="230">
        <v>385.64117224020004</v>
      </c>
    </row>
    <row r="2026" spans="1:11" x14ac:dyDescent="0.3">
      <c r="A2026" s="88" t="s">
        <v>483</v>
      </c>
      <c r="B2026" s="24">
        <v>39644</v>
      </c>
      <c r="C2026" s="32">
        <v>14.245261565766706</v>
      </c>
      <c r="D2026" s="1">
        <v>24.5</v>
      </c>
      <c r="E2026" s="1">
        <v>12.8</v>
      </c>
      <c r="F2026" s="1">
        <v>0</v>
      </c>
      <c r="G2026" s="1"/>
      <c r="H2026" s="126">
        <f t="shared" si="31"/>
        <v>1.4787721750550831</v>
      </c>
      <c r="I2026" s="89">
        <v>289.34999999999991</v>
      </c>
      <c r="J2026" s="125">
        <v>64.186458333333306</v>
      </c>
      <c r="K2026" s="230">
        <v>390.78958261469393</v>
      </c>
    </row>
    <row r="2027" spans="1:11" x14ac:dyDescent="0.3">
      <c r="A2027" s="88" t="s">
        <v>483</v>
      </c>
      <c r="B2027" s="24">
        <v>39645</v>
      </c>
      <c r="C2027" s="32">
        <v>5.3012915722415999</v>
      </c>
      <c r="D2027" s="1">
        <v>18.399999999999999</v>
      </c>
      <c r="E2027" s="1">
        <v>12.5</v>
      </c>
      <c r="F2027" s="1">
        <v>7.13</v>
      </c>
      <c r="G2027" s="1"/>
      <c r="H2027" s="126">
        <f t="shared" si="31"/>
        <v>1.4499557420926388</v>
      </c>
      <c r="I2027" s="89">
        <v>228.87</v>
      </c>
      <c r="J2027" s="125">
        <v>87.903125000000003</v>
      </c>
      <c r="K2027" s="230">
        <v>381.58351488743648</v>
      </c>
    </row>
    <row r="2028" spans="1:11" x14ac:dyDescent="0.3">
      <c r="A2028" s="88" t="s">
        <v>483</v>
      </c>
      <c r="B2028" s="24">
        <v>39646</v>
      </c>
      <c r="C2028" s="32">
        <v>13.187114637337302</v>
      </c>
      <c r="D2028" s="1">
        <v>19.2</v>
      </c>
      <c r="E2028" s="1">
        <v>9.6</v>
      </c>
      <c r="F2028" s="131">
        <v>0</v>
      </c>
      <c r="G2028" s="131"/>
      <c r="H2028" s="126">
        <f t="shared" si="31"/>
        <v>1.1958248668287446</v>
      </c>
      <c r="I2028" s="89">
        <v>223.20000000000005</v>
      </c>
      <c r="J2028" s="125">
        <v>72.533333333333317</v>
      </c>
      <c r="K2028" s="230">
        <v>374.86354838709718</v>
      </c>
    </row>
    <row r="2029" spans="1:11" x14ac:dyDescent="0.3">
      <c r="A2029" s="88" t="s">
        <v>483</v>
      </c>
      <c r="B2029" s="24">
        <v>39647</v>
      </c>
      <c r="C2029" s="32">
        <v>4.3026814747140767</v>
      </c>
      <c r="D2029" s="1">
        <v>17.7</v>
      </c>
      <c r="E2029" s="1">
        <v>12.8</v>
      </c>
      <c r="F2029" s="131">
        <v>0</v>
      </c>
      <c r="G2029" s="131"/>
      <c r="H2029" s="126">
        <f t="shared" si="31"/>
        <v>1.4787721750550831</v>
      </c>
      <c r="I2029" s="89">
        <v>182.97</v>
      </c>
      <c r="J2029" s="125">
        <v>83.985416666666652</v>
      </c>
      <c r="K2029" s="230">
        <v>374.67802607076396</v>
      </c>
    </row>
    <row r="2030" spans="1:11" x14ac:dyDescent="0.3">
      <c r="A2030" s="88" t="s">
        <v>483</v>
      </c>
      <c r="B2030" s="24">
        <v>39648</v>
      </c>
      <c r="C2030" s="32">
        <v>9.4893057745137881</v>
      </c>
      <c r="D2030" s="1">
        <v>23.4</v>
      </c>
      <c r="E2030" s="1">
        <v>12.7</v>
      </c>
      <c r="F2030" s="131">
        <v>0</v>
      </c>
      <c r="G2030" s="131"/>
      <c r="H2030" s="126">
        <f t="shared" si="31"/>
        <v>1.4691113294420337</v>
      </c>
      <c r="I2030" s="89">
        <v>212.93999999999994</v>
      </c>
      <c r="J2030" s="125">
        <v>80.488541666666706</v>
      </c>
      <c r="K2030" s="230">
        <v>373.33184713375948</v>
      </c>
    </row>
    <row r="2031" spans="1:11" x14ac:dyDescent="0.3">
      <c r="A2031" s="88" t="s">
        <v>483</v>
      </c>
      <c r="B2031" s="24">
        <v>39649</v>
      </c>
      <c r="C2031" s="32">
        <v>7.2360350788654717</v>
      </c>
      <c r="D2031" s="1">
        <v>17.600000000000001</v>
      </c>
      <c r="E2031" s="1">
        <v>10.5</v>
      </c>
      <c r="F2031" s="131">
        <v>0</v>
      </c>
      <c r="G2031" s="131"/>
      <c r="H2031" s="126">
        <f t="shared" si="31"/>
        <v>1.2701326466613394</v>
      </c>
      <c r="I2031" s="89">
        <v>265.85999999999996</v>
      </c>
      <c r="J2031" s="125">
        <v>82.940624999999997</v>
      </c>
      <c r="K2031" s="230">
        <v>371.65277449822861</v>
      </c>
    </row>
    <row r="2032" spans="1:11" x14ac:dyDescent="0.3">
      <c r="A2032" s="88" t="s">
        <v>483</v>
      </c>
      <c r="B2032" s="24">
        <v>39650</v>
      </c>
      <c r="C2032" s="32">
        <v>4.6459736655340613</v>
      </c>
      <c r="D2032" s="1">
        <v>14.5</v>
      </c>
      <c r="E2032" s="1">
        <v>10.3</v>
      </c>
      <c r="F2032" s="131">
        <v>0</v>
      </c>
      <c r="G2032" s="131"/>
      <c r="H2032" s="126">
        <f t="shared" si="31"/>
        <v>1.2532780017936267</v>
      </c>
      <c r="I2032" s="89">
        <v>375.57</v>
      </c>
      <c r="J2032" s="125">
        <v>85.412499999999994</v>
      </c>
      <c r="K2032" s="230">
        <v>386.20099999999968</v>
      </c>
    </row>
    <row r="2033" spans="1:11" x14ac:dyDescent="0.3">
      <c r="A2033" s="88" t="s">
        <v>483</v>
      </c>
      <c r="B2033" s="24">
        <v>39651</v>
      </c>
      <c r="C2033" s="32">
        <v>12.855820571798532</v>
      </c>
      <c r="D2033" s="1">
        <v>19.5</v>
      </c>
      <c r="E2033" s="1">
        <v>13.1</v>
      </c>
      <c r="F2033" s="131">
        <v>0</v>
      </c>
      <c r="G2033" s="131"/>
      <c r="H2033" s="126">
        <f t="shared" si="31"/>
        <v>1.5080901913058991</v>
      </c>
      <c r="I2033" s="89">
        <v>349.65</v>
      </c>
      <c r="J2033" s="125">
        <v>79.206249999999997</v>
      </c>
      <c r="K2033" s="230">
        <v>367.61738949124162</v>
      </c>
    </row>
    <row r="2034" spans="1:11" x14ac:dyDescent="0.3">
      <c r="A2034" s="88" t="s">
        <v>483</v>
      </c>
      <c r="B2034" s="24">
        <v>39652</v>
      </c>
      <c r="C2034" s="32">
        <v>25.156136038785952</v>
      </c>
      <c r="D2034" s="1">
        <v>22.7</v>
      </c>
      <c r="E2034" s="1">
        <v>10.6</v>
      </c>
      <c r="F2034" s="1">
        <v>0.02</v>
      </c>
      <c r="G2034" s="1"/>
      <c r="H2034" s="126">
        <f t="shared" si="31"/>
        <v>1.2786344448492586</v>
      </c>
      <c r="I2034" s="89">
        <v>142.02000000000001</v>
      </c>
      <c r="J2034" s="125">
        <v>70.19479166666666</v>
      </c>
      <c r="K2034" s="230">
        <v>377.5299345902273</v>
      </c>
    </row>
    <row r="2035" spans="1:11" x14ac:dyDescent="0.3">
      <c r="A2035" s="88" t="s">
        <v>483</v>
      </c>
      <c r="B2035" s="24">
        <v>39653</v>
      </c>
      <c r="C2035" s="32">
        <v>25.110212772440025</v>
      </c>
      <c r="D2035" s="1">
        <v>25.5</v>
      </c>
      <c r="E2035" s="1">
        <v>10.5</v>
      </c>
      <c r="F2035" s="1">
        <v>0</v>
      </c>
      <c r="G2035" s="1"/>
      <c r="H2035" s="126">
        <f t="shared" si="31"/>
        <v>1.2701326466613394</v>
      </c>
      <c r="I2035" s="89">
        <v>208.98000000000002</v>
      </c>
      <c r="J2035" s="125">
        <v>63.77083333333335</v>
      </c>
      <c r="K2035" s="230">
        <v>364.03284457477946</v>
      </c>
    </row>
    <row r="2036" spans="1:11" x14ac:dyDescent="0.3">
      <c r="A2036" s="88" t="s">
        <v>483</v>
      </c>
      <c r="B2036" s="24">
        <v>39654</v>
      </c>
      <c r="C2036" s="32">
        <v>17.786628379582442</v>
      </c>
      <c r="D2036" s="1">
        <v>28.4</v>
      </c>
      <c r="E2036" s="1">
        <v>16.399999999999999</v>
      </c>
      <c r="F2036" s="1">
        <v>0.97</v>
      </c>
      <c r="G2036" s="1"/>
      <c r="H2036" s="126">
        <f t="shared" si="31"/>
        <v>1.8658768743849428</v>
      </c>
      <c r="I2036" s="89">
        <v>194.30999999999995</v>
      </c>
      <c r="J2036" s="125">
        <v>68.314583333333346</v>
      </c>
      <c r="K2036" s="230">
        <v>378.473974255835</v>
      </c>
    </row>
    <row r="2037" spans="1:11" x14ac:dyDescent="0.3">
      <c r="A2037" s="88" t="s">
        <v>483</v>
      </c>
      <c r="B2037" s="24">
        <v>39655</v>
      </c>
      <c r="C2037" s="32">
        <v>21.391873057524403</v>
      </c>
      <c r="D2037" s="1">
        <v>30.4</v>
      </c>
      <c r="E2037" s="1">
        <v>18</v>
      </c>
      <c r="F2037" s="1">
        <v>0.01</v>
      </c>
      <c r="G2037" s="1"/>
      <c r="H2037" s="126">
        <f t="shared" si="31"/>
        <v>2.0646650340955413</v>
      </c>
      <c r="I2037" s="89">
        <v>247.05</v>
      </c>
      <c r="J2037" s="125">
        <v>68.835416666666674</v>
      </c>
      <c r="K2037" s="230">
        <v>378.78923076923019</v>
      </c>
    </row>
    <row r="2038" spans="1:11" x14ac:dyDescent="0.3">
      <c r="A2038" s="88" t="s">
        <v>483</v>
      </c>
      <c r="B2038" s="24">
        <v>39656</v>
      </c>
      <c r="C2038" s="32">
        <v>23.378294303580702</v>
      </c>
      <c r="D2038" s="1">
        <v>30.9</v>
      </c>
      <c r="E2038" s="1">
        <v>17.7</v>
      </c>
      <c r="F2038" s="1">
        <v>0</v>
      </c>
      <c r="G2038" s="1"/>
      <c r="H2038" s="126">
        <f t="shared" si="31"/>
        <v>2.0260394077720378</v>
      </c>
      <c r="I2038" s="89">
        <v>194.22000000000008</v>
      </c>
      <c r="J2038" s="125">
        <v>59.547916666666659</v>
      </c>
      <c r="K2038" s="230">
        <v>389.63502694380333</v>
      </c>
    </row>
    <row r="2039" spans="1:11" x14ac:dyDescent="0.3">
      <c r="A2039" s="88" t="s">
        <v>483</v>
      </c>
      <c r="B2039" s="24">
        <v>39657</v>
      </c>
      <c r="C2039" s="32">
        <v>24.188166843760747</v>
      </c>
      <c r="D2039" s="1">
        <v>32.200000000000003</v>
      </c>
      <c r="E2039" s="1">
        <v>15.3</v>
      </c>
      <c r="F2039" s="1">
        <v>0</v>
      </c>
      <c r="G2039" s="1"/>
      <c r="H2039" s="126">
        <f t="shared" si="31"/>
        <v>1.739133169821284</v>
      </c>
      <c r="I2039" s="89">
        <v>229.58999999999997</v>
      </c>
      <c r="J2039" s="125">
        <v>51.27604166666665</v>
      </c>
      <c r="K2039" s="230">
        <v>403.99976047904369</v>
      </c>
    </row>
    <row r="2040" spans="1:11" x14ac:dyDescent="0.3">
      <c r="A2040" s="88" t="s">
        <v>483</v>
      </c>
      <c r="B2040" s="24">
        <v>39658</v>
      </c>
      <c r="C2040" s="32">
        <v>20.123581779907941</v>
      </c>
      <c r="D2040" s="1">
        <v>32.6</v>
      </c>
      <c r="E2040" s="1">
        <v>15.5</v>
      </c>
      <c r="F2040" s="1">
        <v>1.375</v>
      </c>
      <c r="G2040" s="1"/>
      <c r="H2040" s="126">
        <f t="shared" si="31"/>
        <v>1.7615995264429876</v>
      </c>
      <c r="I2040" s="89">
        <v>237.78000000000003</v>
      </c>
      <c r="J2040" s="125">
        <v>56.532291666666644</v>
      </c>
      <c r="K2040" s="230">
        <v>402.56849886277382</v>
      </c>
    </row>
    <row r="2041" spans="1:11" x14ac:dyDescent="0.3">
      <c r="A2041" s="88" t="s">
        <v>483</v>
      </c>
      <c r="B2041" s="24">
        <v>39659</v>
      </c>
      <c r="C2041" s="32">
        <v>20.89397890032037</v>
      </c>
      <c r="D2041" s="1">
        <v>27.5</v>
      </c>
      <c r="E2041" s="1">
        <v>18</v>
      </c>
      <c r="F2041" s="1">
        <v>3.5000000000000003E-2</v>
      </c>
      <c r="G2041" s="1"/>
      <c r="H2041" s="126">
        <f t="shared" si="31"/>
        <v>2.0646650340955413</v>
      </c>
      <c r="I2041" s="89">
        <v>162.18</v>
      </c>
      <c r="J2041" s="125">
        <v>72.798958333333346</v>
      </c>
      <c r="K2041" s="230">
        <v>404.22197718631304</v>
      </c>
    </row>
    <row r="2042" spans="1:11" x14ac:dyDescent="0.3">
      <c r="A2042" s="88" t="s">
        <v>483</v>
      </c>
      <c r="B2042" s="24">
        <v>39660</v>
      </c>
      <c r="C2042" s="32">
        <v>23.041623381099861</v>
      </c>
      <c r="D2042" s="1">
        <v>31.7</v>
      </c>
      <c r="E2042" s="1">
        <v>16.5</v>
      </c>
      <c r="F2042" s="1">
        <v>1.4999999999999999E-2</v>
      </c>
      <c r="G2042" s="1"/>
      <c r="H2042" s="126">
        <f t="shared" si="31"/>
        <v>1.8777904954698514</v>
      </c>
      <c r="I2042" s="89">
        <v>262.98</v>
      </c>
      <c r="J2042" s="125">
        <v>52.392708333333331</v>
      </c>
      <c r="K2042" s="230">
        <v>388.82541666666657</v>
      </c>
    </row>
    <row r="2043" spans="1:11" x14ac:dyDescent="0.3">
      <c r="A2043" s="88" t="s">
        <v>483</v>
      </c>
      <c r="B2043" s="24">
        <v>39661</v>
      </c>
      <c r="C2043" s="32">
        <v>14.361643501363805</v>
      </c>
      <c r="D2043" s="1">
        <v>29.1</v>
      </c>
      <c r="E2043" s="1">
        <v>18.2</v>
      </c>
      <c r="F2043" s="1">
        <v>14.574999999999999</v>
      </c>
      <c r="G2043" s="1"/>
      <c r="H2043" s="126">
        <f t="shared" si="31"/>
        <v>2.0907721782330535</v>
      </c>
      <c r="I2043" s="89">
        <v>204.93</v>
      </c>
      <c r="J2043" s="125">
        <v>65.442708333333343</v>
      </c>
      <c r="K2043" s="230">
        <v>381.11803950801317</v>
      </c>
    </row>
    <row r="2044" spans="1:11" x14ac:dyDescent="0.3">
      <c r="A2044" s="88" t="s">
        <v>483</v>
      </c>
      <c r="B2044" s="24">
        <v>39662</v>
      </c>
      <c r="C2044" s="32">
        <v>18.329014199335251</v>
      </c>
      <c r="D2044" s="1">
        <v>25.1</v>
      </c>
      <c r="E2044" s="1">
        <v>17</v>
      </c>
      <c r="F2044" s="1">
        <v>1.7549999999999999</v>
      </c>
      <c r="G2044" s="1"/>
      <c r="H2044" s="126">
        <f t="shared" si="31"/>
        <v>1.9383638408527206</v>
      </c>
      <c r="I2044" s="89">
        <v>127.53000000000002</v>
      </c>
      <c r="J2044" s="125">
        <v>67.282291666666708</v>
      </c>
      <c r="K2044" s="230">
        <v>376.23165735568085</v>
      </c>
    </row>
    <row r="2045" spans="1:11" x14ac:dyDescent="0.3">
      <c r="A2045" s="88" t="s">
        <v>483</v>
      </c>
      <c r="B2045" s="24">
        <v>39663</v>
      </c>
      <c r="C2045" s="32">
        <v>17.013806871552912</v>
      </c>
      <c r="D2045" s="1">
        <v>24.7</v>
      </c>
      <c r="E2045" s="1">
        <v>17.899999999999999</v>
      </c>
      <c r="F2045" s="1">
        <v>0.105</v>
      </c>
      <c r="G2045" s="1"/>
      <c r="H2045" s="126">
        <f t="shared" si="31"/>
        <v>2.0517188127308259</v>
      </c>
      <c r="I2045" s="89">
        <v>279.81000000000017</v>
      </c>
      <c r="J2045" s="125">
        <v>66.303124999999994</v>
      </c>
      <c r="K2045" s="230">
        <v>372.45544896392897</v>
      </c>
    </row>
    <row r="2046" spans="1:11" x14ac:dyDescent="0.3">
      <c r="A2046" s="88" t="s">
        <v>483</v>
      </c>
      <c r="B2046" s="24">
        <v>39664</v>
      </c>
      <c r="C2046" s="32">
        <v>18.85886959541067</v>
      </c>
      <c r="D2046" s="1">
        <v>22</v>
      </c>
      <c r="E2046" s="1">
        <v>14.8</v>
      </c>
      <c r="F2046" s="1">
        <v>5.1150000000000002</v>
      </c>
      <c r="G2046" s="1"/>
      <c r="H2046" s="126">
        <f t="shared" si="31"/>
        <v>1.6840627760776321</v>
      </c>
      <c r="I2046" s="89">
        <v>455.22</v>
      </c>
      <c r="J2046" s="125">
        <v>68.981250000000003</v>
      </c>
      <c r="K2046" s="230">
        <v>369.49352124526723</v>
      </c>
    </row>
    <row r="2047" spans="1:11" x14ac:dyDescent="0.3">
      <c r="A2047" s="88" t="s">
        <v>483</v>
      </c>
      <c r="B2047" s="24">
        <v>39665</v>
      </c>
      <c r="C2047" s="32">
        <v>17.62183832038194</v>
      </c>
      <c r="D2047" s="1">
        <v>22.6</v>
      </c>
      <c r="E2047" s="1">
        <v>12.9</v>
      </c>
      <c r="F2047" s="1">
        <v>0</v>
      </c>
      <c r="G2047" s="1"/>
      <c r="H2047" s="126">
        <f t="shared" si="31"/>
        <v>1.4884887514247067</v>
      </c>
      <c r="I2047" s="89">
        <v>358.28999999999996</v>
      </c>
      <c r="J2047" s="125">
        <v>64.910416666666677</v>
      </c>
      <c r="K2047" s="230">
        <v>373.88062015503789</v>
      </c>
    </row>
    <row r="2048" spans="1:11" x14ac:dyDescent="0.3">
      <c r="A2048" s="88" t="s">
        <v>483</v>
      </c>
      <c r="B2048" s="24">
        <v>39666</v>
      </c>
      <c r="C2048" s="32">
        <v>15.332713626232906</v>
      </c>
      <c r="D2048" s="1">
        <v>27.5</v>
      </c>
      <c r="E2048" s="1">
        <v>13.1</v>
      </c>
      <c r="F2048" s="1">
        <v>0.14499999999999999</v>
      </c>
      <c r="G2048" s="1"/>
      <c r="H2048" s="126">
        <f t="shared" si="31"/>
        <v>1.5080901913058991</v>
      </c>
      <c r="I2048" s="89">
        <v>117.99000000000001</v>
      </c>
      <c r="J2048" s="125">
        <v>69.109375</v>
      </c>
      <c r="K2048" s="230">
        <v>383.17793822703516</v>
      </c>
    </row>
    <row r="2049" spans="1:11" x14ac:dyDescent="0.3">
      <c r="A2049" s="88" t="s">
        <v>483</v>
      </c>
      <c r="B2049" s="24">
        <v>39667</v>
      </c>
      <c r="C2049" s="32">
        <v>21.27712046201707</v>
      </c>
      <c r="D2049" s="1">
        <v>32.299999999999997</v>
      </c>
      <c r="E2049" s="1">
        <v>18.399999999999999</v>
      </c>
      <c r="F2049" s="1">
        <v>0.375</v>
      </c>
      <c r="G2049" s="1"/>
      <c r="H2049" s="126">
        <f t="shared" si="31"/>
        <v>2.1171678236591673</v>
      </c>
      <c r="I2049" s="89">
        <v>228.77999999999997</v>
      </c>
      <c r="J2049" s="125">
        <v>54.923958333333324</v>
      </c>
      <c r="K2049" s="230">
        <v>368.54589851201814</v>
      </c>
    </row>
    <row r="2050" spans="1:11" x14ac:dyDescent="0.3">
      <c r="A2050" s="88" t="s">
        <v>483</v>
      </c>
      <c r="B2050" s="24">
        <v>39668</v>
      </c>
      <c r="C2050" s="32">
        <v>16.396140249956435</v>
      </c>
      <c r="D2050" s="1">
        <v>23.6</v>
      </c>
      <c r="E2050" s="1">
        <v>14.1</v>
      </c>
      <c r="F2050" s="1">
        <v>0.35</v>
      </c>
      <c r="G2050" s="1"/>
      <c r="H2050" s="126">
        <f t="shared" si="31"/>
        <v>1.6095352919714581</v>
      </c>
      <c r="I2050" s="89">
        <v>308.61</v>
      </c>
      <c r="J2050" s="125">
        <v>71.791666666666671</v>
      </c>
      <c r="K2050" s="230">
        <v>373.16280894468292</v>
      </c>
    </row>
    <row r="2051" spans="1:11" x14ac:dyDescent="0.3">
      <c r="A2051" s="88" t="s">
        <v>483</v>
      </c>
      <c r="B2051" s="24">
        <v>39669</v>
      </c>
      <c r="C2051" s="32">
        <v>16.926687063992386</v>
      </c>
      <c r="D2051" s="1">
        <v>20.2</v>
      </c>
      <c r="E2051" s="1">
        <v>11.8</v>
      </c>
      <c r="F2051" s="1">
        <v>0</v>
      </c>
      <c r="G2051" s="1"/>
      <c r="H2051" s="126">
        <f t="shared" si="31"/>
        <v>1.3846270162501679</v>
      </c>
      <c r="I2051" s="89">
        <v>317.70000000000022</v>
      </c>
      <c r="J2051" s="125">
        <v>64.584374999999994</v>
      </c>
      <c r="K2051" s="230">
        <v>372.03438914027078</v>
      </c>
    </row>
    <row r="2052" spans="1:11" x14ac:dyDescent="0.3">
      <c r="A2052" s="88" t="s">
        <v>483</v>
      </c>
      <c r="B2052" s="24">
        <v>39670</v>
      </c>
      <c r="C2052" s="32">
        <v>5.4720452859063959</v>
      </c>
      <c r="D2052" s="1">
        <v>19.600000000000001</v>
      </c>
      <c r="E2052" s="1">
        <v>13.4</v>
      </c>
      <c r="F2052" s="1">
        <v>4.7949999999999999</v>
      </c>
      <c r="G2052" s="1"/>
      <c r="H2052" s="126">
        <f t="shared" ref="H2052:H2115" si="32">0.611*EXP((17.27*E2052)/(E2052+237.3))</f>
        <v>1.5379172032464434</v>
      </c>
      <c r="I2052" s="89">
        <v>163.35000000000002</v>
      </c>
      <c r="J2052" s="125">
        <v>83.477083333333326</v>
      </c>
      <c r="K2052" s="230">
        <v>370.58494501326982</v>
      </c>
    </row>
    <row r="2053" spans="1:11" x14ac:dyDescent="0.3">
      <c r="A2053" s="88" t="s">
        <v>483</v>
      </c>
      <c r="B2053" s="24">
        <v>39671</v>
      </c>
      <c r="C2053" s="32">
        <v>17.218057318292086</v>
      </c>
      <c r="D2053" s="1">
        <v>22.8</v>
      </c>
      <c r="E2053" s="1">
        <v>14.7</v>
      </c>
      <c r="F2053" s="1">
        <v>0.105</v>
      </c>
      <c r="G2053" s="1"/>
      <c r="H2053" s="126">
        <f t="shared" si="32"/>
        <v>1.673234110655023</v>
      </c>
      <c r="I2053" s="89">
        <v>213.12</v>
      </c>
      <c r="J2053" s="125">
        <v>67.297916666666652</v>
      </c>
      <c r="K2053" s="230">
        <v>372.30008350730844</v>
      </c>
    </row>
    <row r="2054" spans="1:11" x14ac:dyDescent="0.3">
      <c r="A2054" s="88" t="s">
        <v>483</v>
      </c>
      <c r="B2054" s="24">
        <v>39672</v>
      </c>
      <c r="C2054" s="32">
        <v>5.7947188223657395</v>
      </c>
      <c r="D2054" s="1">
        <v>22.2</v>
      </c>
      <c r="E2054" s="1">
        <v>14.8</v>
      </c>
      <c r="F2054" s="1">
        <v>12.525</v>
      </c>
      <c r="G2054" s="1"/>
      <c r="H2054" s="126">
        <f t="shared" si="32"/>
        <v>1.6840627760776321</v>
      </c>
      <c r="I2054" s="89">
        <v>149.94000000000005</v>
      </c>
      <c r="J2054" s="125">
        <v>87.831249999999997</v>
      </c>
      <c r="K2054" s="230">
        <v>385.61835826930763</v>
      </c>
    </row>
    <row r="2055" spans="1:11" x14ac:dyDescent="0.3">
      <c r="A2055" s="88" t="s">
        <v>483</v>
      </c>
      <c r="B2055" s="24">
        <v>39673</v>
      </c>
      <c r="C2055" s="32">
        <v>16.503439714949725</v>
      </c>
      <c r="D2055" s="1">
        <v>22.1</v>
      </c>
      <c r="E2055" s="1">
        <v>12.4</v>
      </c>
      <c r="F2055" s="1">
        <v>6.28</v>
      </c>
      <c r="G2055" s="1"/>
      <c r="H2055" s="126">
        <f t="shared" si="32"/>
        <v>1.4404604588486194</v>
      </c>
      <c r="I2055" s="89">
        <v>250.37999999999994</v>
      </c>
      <c r="J2055" s="125">
        <v>73.558333333333323</v>
      </c>
      <c r="K2055" s="230">
        <v>374.2389427312778</v>
      </c>
    </row>
    <row r="2056" spans="1:11" x14ac:dyDescent="0.3">
      <c r="A2056" s="88" t="s">
        <v>483</v>
      </c>
      <c r="B2056" s="24">
        <v>39674</v>
      </c>
      <c r="C2056" s="32">
        <v>21.117566102488741</v>
      </c>
      <c r="D2056" s="1">
        <v>21.9</v>
      </c>
      <c r="E2056" s="1">
        <v>12.6</v>
      </c>
      <c r="F2056" s="1">
        <v>0</v>
      </c>
      <c r="G2056" s="1"/>
      <c r="H2056" s="126">
        <f t="shared" si="32"/>
        <v>1.4595059422181114</v>
      </c>
      <c r="I2056" s="89">
        <v>254.79000000000002</v>
      </c>
      <c r="J2056" s="125">
        <v>59.4</v>
      </c>
      <c r="K2056" s="230">
        <v>377.69962073325013</v>
      </c>
    </row>
    <row r="2057" spans="1:11" x14ac:dyDescent="0.3">
      <c r="A2057" s="88" t="s">
        <v>483</v>
      </c>
      <c r="B2057" s="24">
        <v>39675</v>
      </c>
      <c r="C2057" s="32">
        <v>8.6834192322358934</v>
      </c>
      <c r="D2057" s="1">
        <v>19.7</v>
      </c>
      <c r="E2057" s="1">
        <v>11.2</v>
      </c>
      <c r="F2057" s="1">
        <v>0</v>
      </c>
      <c r="G2057" s="1"/>
      <c r="H2057" s="126">
        <f t="shared" si="32"/>
        <v>1.3307036698161701</v>
      </c>
      <c r="I2057" s="89">
        <v>81.72</v>
      </c>
      <c r="J2057" s="125">
        <v>76.890625</v>
      </c>
      <c r="K2057" s="230">
        <v>416.94802419354954</v>
      </c>
    </row>
    <row r="2058" spans="1:11" x14ac:dyDescent="0.3">
      <c r="A2058" s="88" t="s">
        <v>483</v>
      </c>
      <c r="B2058" s="24">
        <v>39676</v>
      </c>
      <c r="C2058" s="32">
        <v>20.136837483691089</v>
      </c>
      <c r="D2058" s="1">
        <v>21.2</v>
      </c>
      <c r="E2058" s="1">
        <v>10.7</v>
      </c>
      <c r="F2058" s="1">
        <v>0</v>
      </c>
      <c r="G2058" s="1"/>
      <c r="H2058" s="126">
        <f t="shared" si="32"/>
        <v>1.2871862257172708</v>
      </c>
      <c r="I2058" s="89">
        <v>137.33999999999995</v>
      </c>
      <c r="J2058" s="125">
        <v>72.927083333333357</v>
      </c>
      <c r="K2058" s="230">
        <v>387.00710784313651</v>
      </c>
    </row>
    <row r="2059" spans="1:11" x14ac:dyDescent="0.3">
      <c r="A2059" s="88" t="s">
        <v>483</v>
      </c>
      <c r="B2059" s="24">
        <v>39677</v>
      </c>
      <c r="C2059" s="32">
        <v>19.15724047204198</v>
      </c>
      <c r="D2059" s="1">
        <v>23.3</v>
      </c>
      <c r="E2059" s="1">
        <v>7.9</v>
      </c>
      <c r="F2059" s="1">
        <v>0</v>
      </c>
      <c r="G2059" s="1"/>
      <c r="H2059" s="126">
        <f t="shared" si="32"/>
        <v>1.0658332114824252</v>
      </c>
      <c r="I2059" s="89">
        <v>85.769999999999953</v>
      </c>
      <c r="J2059" s="125">
        <v>65.540625000000006</v>
      </c>
      <c r="K2059" s="230">
        <v>392.85081967212994</v>
      </c>
    </row>
    <row r="2060" spans="1:11" x14ac:dyDescent="0.3">
      <c r="A2060" s="88" t="s">
        <v>483</v>
      </c>
      <c r="B2060" s="24">
        <v>39678</v>
      </c>
      <c r="C2060" s="32">
        <v>8.6454382970773498</v>
      </c>
      <c r="D2060" s="1">
        <v>23.4</v>
      </c>
      <c r="E2060" s="1">
        <v>14.3</v>
      </c>
      <c r="F2060" s="1">
        <v>2.7250000000000001</v>
      </c>
      <c r="G2060" s="1"/>
      <c r="H2060" s="126">
        <f t="shared" si="32"/>
        <v>1.6305276651269101</v>
      </c>
      <c r="I2060" s="89">
        <v>114.11999999999998</v>
      </c>
      <c r="J2060" s="125">
        <v>73.898958333333368</v>
      </c>
      <c r="K2060" s="230">
        <v>383.14303959131627</v>
      </c>
    </row>
    <row r="2061" spans="1:11" x14ac:dyDescent="0.3">
      <c r="A2061" s="88" t="s">
        <v>483</v>
      </c>
      <c r="B2061" s="24">
        <v>39679</v>
      </c>
      <c r="C2061" s="32">
        <v>13.054261296151045</v>
      </c>
      <c r="D2061" s="1">
        <v>24</v>
      </c>
      <c r="E2061" s="1">
        <v>16.100000000000001</v>
      </c>
      <c r="F2061" s="1">
        <v>0.8</v>
      </c>
      <c r="G2061" s="1"/>
      <c r="H2061" s="126">
        <f t="shared" si="32"/>
        <v>1.8305324367134694</v>
      </c>
      <c r="I2061" s="89">
        <v>199.17000000000007</v>
      </c>
      <c r="J2061" s="125">
        <v>71.951041666666683</v>
      </c>
      <c r="K2061" s="230">
        <v>371.4434045986269</v>
      </c>
    </row>
    <row r="2062" spans="1:11" x14ac:dyDescent="0.3">
      <c r="A2062" s="88" t="s">
        <v>483</v>
      </c>
      <c r="B2062" s="24">
        <v>39680</v>
      </c>
      <c r="C2062" s="32">
        <v>9.5818732302480711</v>
      </c>
      <c r="D2062" s="1">
        <v>20.5</v>
      </c>
      <c r="E2062" s="1">
        <v>15.4</v>
      </c>
      <c r="F2062" s="1">
        <v>0.94</v>
      </c>
      <c r="G2062" s="1"/>
      <c r="H2062" s="126">
        <f t="shared" si="32"/>
        <v>1.7503347478886555</v>
      </c>
      <c r="I2062" s="89">
        <v>296.82000000000011</v>
      </c>
      <c r="J2062" s="125">
        <v>74.284374999999997</v>
      </c>
      <c r="K2062" s="230">
        <v>375.71773854560479</v>
      </c>
    </row>
    <row r="2063" spans="1:11" x14ac:dyDescent="0.3">
      <c r="A2063" s="88" t="s">
        <v>483</v>
      </c>
      <c r="B2063" s="24">
        <v>39681</v>
      </c>
      <c r="C2063" s="32">
        <v>17.434225939922914</v>
      </c>
      <c r="D2063" s="1">
        <v>24.3</v>
      </c>
      <c r="E2063" s="1">
        <v>14.1</v>
      </c>
      <c r="F2063" s="1">
        <v>0</v>
      </c>
      <c r="G2063" s="1"/>
      <c r="H2063" s="126">
        <f t="shared" si="32"/>
        <v>1.6095352919714581</v>
      </c>
      <c r="I2063" s="89">
        <v>221.48999999999995</v>
      </c>
      <c r="J2063" s="125">
        <v>63.887500000000003</v>
      </c>
      <c r="K2063" s="230">
        <v>371.5011152416352</v>
      </c>
    </row>
    <row r="2064" spans="1:11" x14ac:dyDescent="0.3">
      <c r="A2064" s="88" t="s">
        <v>483</v>
      </c>
      <c r="B2064" s="24">
        <v>39682</v>
      </c>
      <c r="C2064" s="32">
        <v>7.6444709118984564</v>
      </c>
      <c r="D2064" s="1">
        <v>20.5</v>
      </c>
      <c r="E2064" s="1">
        <v>14.7</v>
      </c>
      <c r="F2064" s="131">
        <v>0</v>
      </c>
      <c r="G2064" s="131"/>
      <c r="H2064" s="126">
        <f t="shared" si="32"/>
        <v>1.673234110655023</v>
      </c>
      <c r="I2064" s="89">
        <v>108.36000000000001</v>
      </c>
      <c r="J2064" s="125">
        <v>86.552083333333357</v>
      </c>
      <c r="K2064" s="230">
        <v>385.4039862837534</v>
      </c>
    </row>
    <row r="2065" spans="1:11" x14ac:dyDescent="0.3">
      <c r="A2065" s="88" t="s">
        <v>483</v>
      </c>
      <c r="B2065" s="24">
        <v>39683</v>
      </c>
      <c r="C2065" s="32">
        <v>10.62843235777601</v>
      </c>
      <c r="D2065" s="1">
        <v>17.399999999999999</v>
      </c>
      <c r="E2065" s="1">
        <v>11.7</v>
      </c>
      <c r="F2065" s="131">
        <v>0</v>
      </c>
      <c r="G2065" s="131"/>
      <c r="H2065" s="126">
        <f t="shared" si="32"/>
        <v>1.3755086746426002</v>
      </c>
      <c r="I2065" s="89">
        <v>370.43999999999994</v>
      </c>
      <c r="J2065" s="125">
        <v>84.405208333333334</v>
      </c>
      <c r="K2065" s="230">
        <v>375.76942934782562</v>
      </c>
    </row>
    <row r="2066" spans="1:11" x14ac:dyDescent="0.3">
      <c r="A2066" s="88" t="s">
        <v>483</v>
      </c>
      <c r="B2066" s="24">
        <v>39684</v>
      </c>
      <c r="C2066" s="32">
        <v>12.695716435273543</v>
      </c>
      <c r="D2066" s="1">
        <v>19.7</v>
      </c>
      <c r="E2066" s="1">
        <v>11.5</v>
      </c>
      <c r="F2066" s="131">
        <v>0</v>
      </c>
      <c r="G2066" s="131"/>
      <c r="H2066" s="126">
        <f t="shared" si="32"/>
        <v>1.3574301110209714</v>
      </c>
      <c r="I2066" s="89">
        <v>340.02000000000004</v>
      </c>
      <c r="J2066" s="125">
        <v>78.352083333333354</v>
      </c>
      <c r="K2066" s="230">
        <v>377.78926432848493</v>
      </c>
    </row>
    <row r="2067" spans="1:11" x14ac:dyDescent="0.3">
      <c r="A2067" s="88" t="s">
        <v>483</v>
      </c>
      <c r="B2067" s="24">
        <v>39685</v>
      </c>
      <c r="C2067" s="32">
        <v>8.4957157158870835</v>
      </c>
      <c r="D2067" s="1">
        <v>20</v>
      </c>
      <c r="E2067" s="1">
        <v>12.4</v>
      </c>
      <c r="F2067" s="131">
        <v>0</v>
      </c>
      <c r="G2067" s="131"/>
      <c r="H2067" s="126">
        <f t="shared" si="32"/>
        <v>1.4404604588486194</v>
      </c>
      <c r="I2067" s="89">
        <v>158.31</v>
      </c>
      <c r="J2067" s="125">
        <v>84.22083333333336</v>
      </c>
      <c r="K2067" s="230">
        <v>384.45913312693455</v>
      </c>
    </row>
    <row r="2068" spans="1:11" x14ac:dyDescent="0.3">
      <c r="A2068" s="88" t="s">
        <v>483</v>
      </c>
      <c r="B2068" s="24">
        <v>39686</v>
      </c>
      <c r="C2068" s="32">
        <v>6.4700452574199705</v>
      </c>
      <c r="D2068" s="1">
        <v>19</v>
      </c>
      <c r="E2068" s="1">
        <v>13.4</v>
      </c>
      <c r="F2068" s="1">
        <v>0</v>
      </c>
      <c r="G2068" s="1"/>
      <c r="H2068" s="126">
        <f t="shared" si="32"/>
        <v>1.5379172032464434</v>
      </c>
      <c r="I2068" s="89">
        <v>170.91</v>
      </c>
      <c r="J2068" s="125">
        <v>83.888541666666683</v>
      </c>
      <c r="K2068" s="230">
        <v>385.9512799674938</v>
      </c>
    </row>
    <row r="2069" spans="1:11" x14ac:dyDescent="0.3">
      <c r="A2069" s="88" t="s">
        <v>483</v>
      </c>
      <c r="B2069" s="24">
        <v>39687</v>
      </c>
      <c r="C2069" s="32">
        <v>7.776219046236819</v>
      </c>
      <c r="D2069" s="1">
        <v>20.2</v>
      </c>
      <c r="E2069" s="1">
        <v>16.5</v>
      </c>
      <c r="F2069" s="1">
        <v>0</v>
      </c>
      <c r="G2069" s="1"/>
      <c r="H2069" s="126">
        <f t="shared" si="32"/>
        <v>1.8777904954698514</v>
      </c>
      <c r="I2069" s="89">
        <v>261.63</v>
      </c>
      <c r="J2069" s="125">
        <v>76.926041666666663</v>
      </c>
      <c r="K2069" s="230">
        <v>385.94498787388903</v>
      </c>
    </row>
    <row r="2070" spans="1:11" x14ac:dyDescent="0.3">
      <c r="A2070" s="88" t="s">
        <v>483</v>
      </c>
      <c r="B2070" s="24">
        <v>39688</v>
      </c>
      <c r="C2070" s="32">
        <v>5.9765756388426974</v>
      </c>
      <c r="D2070" s="1">
        <v>20.2</v>
      </c>
      <c r="E2070" s="1">
        <v>15.5</v>
      </c>
      <c r="F2070" s="1">
        <v>0.32500000000000001</v>
      </c>
      <c r="G2070" s="1"/>
      <c r="H2070" s="126">
        <f t="shared" si="32"/>
        <v>1.7615995264429876</v>
      </c>
      <c r="I2070" s="89">
        <v>274.67999999999984</v>
      </c>
      <c r="J2070" s="125">
        <v>83.301041666666649</v>
      </c>
      <c r="K2070" s="230">
        <v>380.12025524907381</v>
      </c>
    </row>
    <row r="2071" spans="1:11" x14ac:dyDescent="0.3">
      <c r="A2071" s="88" t="s">
        <v>483</v>
      </c>
      <c r="B2071" s="24">
        <v>39689</v>
      </c>
      <c r="C2071" s="32">
        <v>10.011647196602784</v>
      </c>
      <c r="D2071" s="1">
        <v>21.5</v>
      </c>
      <c r="E2071" s="1">
        <v>14.2</v>
      </c>
      <c r="F2071" s="1">
        <v>0</v>
      </c>
      <c r="G2071" s="1"/>
      <c r="H2071" s="126">
        <f t="shared" si="32"/>
        <v>1.6200016491976139</v>
      </c>
      <c r="I2071" s="89">
        <v>328.68000000000023</v>
      </c>
      <c r="J2071" s="125">
        <v>76.367708333333312</v>
      </c>
      <c r="K2071" s="230">
        <v>377.49431099873721</v>
      </c>
    </row>
    <row r="2072" spans="1:11" x14ac:dyDescent="0.3">
      <c r="A2072" s="88" t="s">
        <v>483</v>
      </c>
      <c r="B2072" s="24">
        <v>39690</v>
      </c>
      <c r="C2072" s="32">
        <v>14.715411510289888</v>
      </c>
      <c r="D2072" s="1">
        <v>21.9</v>
      </c>
      <c r="E2072" s="1">
        <v>12.2</v>
      </c>
      <c r="F2072" s="1">
        <v>0</v>
      </c>
      <c r="G2072" s="1"/>
      <c r="H2072" s="126">
        <f t="shared" si="32"/>
        <v>1.4216335674868446</v>
      </c>
      <c r="I2072" s="89">
        <v>136.89000000000001</v>
      </c>
      <c r="J2072" s="125">
        <v>76.01979166666662</v>
      </c>
      <c r="K2072" s="230">
        <v>384.37235656709191</v>
      </c>
    </row>
    <row r="2073" spans="1:11" x14ac:dyDescent="0.3">
      <c r="A2073" s="88" t="s">
        <v>483</v>
      </c>
      <c r="B2073" s="24">
        <v>39691</v>
      </c>
      <c r="C2073" s="32">
        <v>19.378174664719438</v>
      </c>
      <c r="D2073" s="1">
        <v>25.6</v>
      </c>
      <c r="E2073" s="1">
        <v>10.6</v>
      </c>
      <c r="F2073" s="1">
        <v>0</v>
      </c>
      <c r="G2073" s="1"/>
      <c r="H2073" s="126">
        <f t="shared" si="32"/>
        <v>1.2786344448492586</v>
      </c>
      <c r="I2073" s="89">
        <v>274.86</v>
      </c>
      <c r="J2073" s="125">
        <v>54.989583333333321</v>
      </c>
      <c r="K2073" s="230">
        <v>379.12183163737234</v>
      </c>
    </row>
    <row r="2074" spans="1:11" x14ac:dyDescent="0.3">
      <c r="A2074" s="88" t="s">
        <v>483</v>
      </c>
      <c r="B2074" s="24">
        <v>39692</v>
      </c>
      <c r="C2074" s="32">
        <v>7.8004071037272222</v>
      </c>
      <c r="D2074" s="1">
        <v>21.8</v>
      </c>
      <c r="E2074" s="1">
        <v>13</v>
      </c>
      <c r="F2074" s="1">
        <v>0.185</v>
      </c>
      <c r="G2074" s="1"/>
      <c r="H2074" s="126">
        <f t="shared" si="32"/>
        <v>1.498261331998219</v>
      </c>
      <c r="I2074" s="89">
        <v>219.32999999999998</v>
      </c>
      <c r="J2074" s="125">
        <v>68.745833333333337</v>
      </c>
      <c r="K2074" s="230">
        <v>386.43742110008924</v>
      </c>
    </row>
    <row r="2075" spans="1:11" x14ac:dyDescent="0.3">
      <c r="A2075" s="88" t="s">
        <v>483</v>
      </c>
      <c r="B2075" s="24">
        <v>39693</v>
      </c>
      <c r="C2075" s="32">
        <v>12.67042742275574</v>
      </c>
      <c r="D2075" s="1">
        <v>23.1</v>
      </c>
      <c r="E2075" s="1">
        <v>11.5</v>
      </c>
      <c r="F2075" s="1">
        <v>0.02</v>
      </c>
      <c r="G2075" s="1"/>
      <c r="H2075" s="126">
        <f t="shared" si="32"/>
        <v>1.3574301110209714</v>
      </c>
      <c r="I2075" s="89">
        <v>187.28999999999991</v>
      </c>
      <c r="J2075" s="125">
        <v>64.15416666666664</v>
      </c>
      <c r="K2075" s="230">
        <v>376.23557567917163</v>
      </c>
    </row>
    <row r="2076" spans="1:11" x14ac:dyDescent="0.3">
      <c r="A2076" s="88" t="s">
        <v>483</v>
      </c>
      <c r="B2076" s="24">
        <v>39694</v>
      </c>
      <c r="C2076" s="32">
        <v>10.795178851365357</v>
      </c>
      <c r="D2076" s="1">
        <v>20.5</v>
      </c>
      <c r="E2076" s="1">
        <v>10.5</v>
      </c>
      <c r="F2076" s="1">
        <v>1.37</v>
      </c>
      <c r="G2076" s="1"/>
      <c r="H2076" s="126">
        <f t="shared" si="32"/>
        <v>1.2701326466613394</v>
      </c>
      <c r="I2076" s="89">
        <v>231.66</v>
      </c>
      <c r="J2076" s="125">
        <v>73.660416666666649</v>
      </c>
      <c r="K2076" s="230">
        <v>366.53495864170765</v>
      </c>
    </row>
    <row r="2077" spans="1:11" x14ac:dyDescent="0.3">
      <c r="A2077" s="88" t="s">
        <v>483</v>
      </c>
      <c r="B2077" s="24">
        <v>39695</v>
      </c>
      <c r="C2077" s="32">
        <v>15.662556238150961</v>
      </c>
      <c r="D2077" s="1">
        <v>18.899999999999999</v>
      </c>
      <c r="E2077" s="1">
        <v>9.9</v>
      </c>
      <c r="F2077" s="1">
        <v>0.02</v>
      </c>
      <c r="G2077" s="1"/>
      <c r="H2077" s="126">
        <f t="shared" si="32"/>
        <v>1.2201575987481763</v>
      </c>
      <c r="I2077" s="89">
        <v>187.20000000000005</v>
      </c>
      <c r="J2077" s="125">
        <v>70.433333333333323</v>
      </c>
      <c r="K2077" s="230">
        <v>371.72098421541182</v>
      </c>
    </row>
    <row r="2078" spans="1:11" x14ac:dyDescent="0.3">
      <c r="A2078" s="88" t="s">
        <v>483</v>
      </c>
      <c r="B2078" s="24">
        <v>39696</v>
      </c>
      <c r="C2078" s="32">
        <v>13.402350150219352</v>
      </c>
      <c r="D2078" s="1">
        <v>21.4</v>
      </c>
      <c r="E2078" s="1">
        <v>11.8</v>
      </c>
      <c r="F2078" s="1">
        <v>0.92</v>
      </c>
      <c r="G2078" s="1"/>
      <c r="H2078" s="126">
        <f t="shared" si="32"/>
        <v>1.3846270162501679</v>
      </c>
      <c r="I2078" s="89">
        <v>148.04999999999995</v>
      </c>
      <c r="J2078" s="125">
        <v>69.184375000000003</v>
      </c>
      <c r="K2078" s="230">
        <v>372.63979639056009</v>
      </c>
    </row>
    <row r="2079" spans="1:11" x14ac:dyDescent="0.3">
      <c r="A2079" s="88" t="s">
        <v>483</v>
      </c>
      <c r="B2079" s="24">
        <v>39697</v>
      </c>
      <c r="C2079" s="32">
        <v>6.2530585762547561</v>
      </c>
      <c r="D2079" s="1">
        <v>21</v>
      </c>
      <c r="E2079" s="1">
        <v>15.9</v>
      </c>
      <c r="F2079" s="1">
        <v>9.9700000000000077</v>
      </c>
      <c r="G2079" s="1"/>
      <c r="H2079" s="126">
        <f t="shared" si="32"/>
        <v>1.8072967155190105</v>
      </c>
      <c r="I2079" s="89">
        <v>192.14999999999998</v>
      </c>
      <c r="J2079" s="125">
        <v>79.986458333333388</v>
      </c>
      <c r="K2079" s="230">
        <v>375.79699907663934</v>
      </c>
    </row>
    <row r="2080" spans="1:11" x14ac:dyDescent="0.3">
      <c r="A2080" s="88" t="s">
        <v>483</v>
      </c>
      <c r="B2080" s="24">
        <v>39698</v>
      </c>
      <c r="C2080" s="32">
        <v>15.794634848468183</v>
      </c>
      <c r="D2080" s="1">
        <v>21</v>
      </c>
      <c r="E2080" s="1">
        <v>14.9</v>
      </c>
      <c r="F2080" s="1">
        <v>0</v>
      </c>
      <c r="G2080" s="1"/>
      <c r="H2080" s="126">
        <f t="shared" si="32"/>
        <v>1.6949528505265632</v>
      </c>
      <c r="I2080" s="89">
        <v>199.70999999999998</v>
      </c>
      <c r="J2080" s="125">
        <v>68.14166666666668</v>
      </c>
      <c r="K2080" s="230">
        <v>372.69305361305339</v>
      </c>
    </row>
    <row r="2081" spans="1:11" x14ac:dyDescent="0.3">
      <c r="A2081" s="88" t="s">
        <v>483</v>
      </c>
      <c r="B2081" s="24">
        <v>39699</v>
      </c>
      <c r="C2081" s="32">
        <v>9.1897224244534872</v>
      </c>
      <c r="D2081" s="1">
        <v>19.3</v>
      </c>
      <c r="E2081" s="1">
        <v>12</v>
      </c>
      <c r="F2081" s="1">
        <v>0.27</v>
      </c>
      <c r="G2081" s="1"/>
      <c r="H2081" s="126">
        <f t="shared" si="32"/>
        <v>1.4030231277532583</v>
      </c>
      <c r="I2081" s="89">
        <v>194.03999999999996</v>
      </c>
      <c r="J2081" s="125">
        <v>75.303124999999994</v>
      </c>
      <c r="K2081" s="230">
        <v>375.02775472568004</v>
      </c>
    </row>
    <row r="2082" spans="1:11" x14ac:dyDescent="0.3">
      <c r="A2082" s="88" t="s">
        <v>483</v>
      </c>
      <c r="B2082" s="24">
        <v>39700</v>
      </c>
      <c r="C2082" s="32">
        <v>17.949362386124154</v>
      </c>
      <c r="D2082" s="1">
        <v>24.1</v>
      </c>
      <c r="E2082" s="1">
        <v>10.8</v>
      </c>
      <c r="F2082" s="1">
        <v>0</v>
      </c>
      <c r="G2082" s="1"/>
      <c r="H2082" s="126">
        <f t="shared" si="32"/>
        <v>1.2957882396636844</v>
      </c>
      <c r="I2082" s="89">
        <v>135.45000000000005</v>
      </c>
      <c r="J2082" s="125">
        <v>66.080208333333346</v>
      </c>
      <c r="K2082" s="230">
        <v>380.04582382473728</v>
      </c>
    </row>
    <row r="2083" spans="1:11" x14ac:dyDescent="0.3">
      <c r="A2083" s="88" t="s">
        <v>483</v>
      </c>
      <c r="B2083" s="24">
        <v>39701</v>
      </c>
      <c r="C2083" s="32">
        <v>11.400931829836123</v>
      </c>
      <c r="D2083" s="1">
        <v>23.2</v>
      </c>
      <c r="E2083" s="1">
        <v>13.9</v>
      </c>
      <c r="F2083" s="1">
        <v>0</v>
      </c>
      <c r="G2083" s="1"/>
      <c r="H2083" s="126">
        <f t="shared" si="32"/>
        <v>1.5887804036720876</v>
      </c>
      <c r="I2083" s="89">
        <v>157.94999999999999</v>
      </c>
      <c r="J2083" s="125">
        <v>73.041666666666643</v>
      </c>
      <c r="K2083" s="230">
        <v>387.23142241379389</v>
      </c>
    </row>
    <row r="2084" spans="1:11" x14ac:dyDescent="0.3">
      <c r="A2084" s="88" t="s">
        <v>483</v>
      </c>
      <c r="B2084" s="24">
        <v>39702</v>
      </c>
      <c r="C2084" s="32">
        <v>13.579288546275388</v>
      </c>
      <c r="D2084" s="1">
        <v>24.5</v>
      </c>
      <c r="E2084" s="1">
        <v>13.6</v>
      </c>
      <c r="F2084" s="1">
        <v>0</v>
      </c>
      <c r="G2084" s="1"/>
      <c r="H2084" s="126">
        <f t="shared" si="32"/>
        <v>1.55808835361568</v>
      </c>
      <c r="I2084" s="89">
        <v>176.31</v>
      </c>
      <c r="J2084" s="125">
        <v>75</v>
      </c>
      <c r="K2084" s="230">
        <v>400.66526066350582</v>
      </c>
    </row>
    <row r="2085" spans="1:11" x14ac:dyDescent="0.3">
      <c r="A2085" s="88" t="s">
        <v>483</v>
      </c>
      <c r="B2085" s="24">
        <v>39703</v>
      </c>
      <c r="C2085" s="32">
        <v>15.38680071444432</v>
      </c>
      <c r="D2085" s="1">
        <v>21.1</v>
      </c>
      <c r="E2085" s="1">
        <v>12.8</v>
      </c>
      <c r="F2085" s="1">
        <v>0</v>
      </c>
      <c r="G2085" s="1"/>
      <c r="H2085" s="126">
        <f t="shared" si="32"/>
        <v>1.4787721750550831</v>
      </c>
      <c r="I2085" s="89">
        <v>422.01000000000005</v>
      </c>
      <c r="J2085" s="125">
        <v>73.82708333333332</v>
      </c>
      <c r="K2085" s="230">
        <v>378.94578436382193</v>
      </c>
    </row>
    <row r="2086" spans="1:11" x14ac:dyDescent="0.3">
      <c r="A2086" s="88" t="s">
        <v>483</v>
      </c>
      <c r="B2086" s="24">
        <v>39704</v>
      </c>
      <c r="C2086" s="32">
        <v>17.94792949329743</v>
      </c>
      <c r="D2086" s="1">
        <v>15.8</v>
      </c>
      <c r="E2086" s="1">
        <v>7</v>
      </c>
      <c r="F2086" s="1">
        <v>0</v>
      </c>
      <c r="G2086" s="1"/>
      <c r="H2086" s="126">
        <f t="shared" si="32"/>
        <v>1.0021864739217894</v>
      </c>
      <c r="I2086" s="89">
        <v>421.20000000000005</v>
      </c>
      <c r="J2086" s="125">
        <v>56.865625000000001</v>
      </c>
      <c r="K2086" s="230">
        <v>381.84772854739316</v>
      </c>
    </row>
    <row r="2087" spans="1:11" x14ac:dyDescent="0.3">
      <c r="A2087" s="88" t="s">
        <v>483</v>
      </c>
      <c r="B2087" s="24">
        <v>39705</v>
      </c>
      <c r="C2087" s="32">
        <v>9.3590732626644275</v>
      </c>
      <c r="D2087" s="1">
        <v>15.3</v>
      </c>
      <c r="E2087" s="1">
        <v>5.9</v>
      </c>
      <c r="F2087" s="1">
        <v>0.02</v>
      </c>
      <c r="G2087" s="1"/>
      <c r="H2087" s="126">
        <f t="shared" si="32"/>
        <v>0.92895926237531279</v>
      </c>
      <c r="I2087" s="89">
        <v>232.56000000000003</v>
      </c>
      <c r="J2087" s="125">
        <v>77.258333333333326</v>
      </c>
      <c r="K2087" s="230">
        <v>386.60835214446968</v>
      </c>
    </row>
    <row r="2088" spans="1:11" x14ac:dyDescent="0.3">
      <c r="A2088" s="88" t="s">
        <v>483</v>
      </c>
      <c r="B2088" s="24">
        <v>39706</v>
      </c>
      <c r="C2088" s="32">
        <v>6.5486165613349421</v>
      </c>
      <c r="D2088" s="1">
        <v>15.1</v>
      </c>
      <c r="E2088" s="1">
        <v>6.8</v>
      </c>
      <c r="F2088" s="1">
        <v>0</v>
      </c>
      <c r="G2088" s="1"/>
      <c r="H2088" s="126">
        <f t="shared" si="32"/>
        <v>0.98850615565901678</v>
      </c>
      <c r="I2088" s="89">
        <v>166.85999999999999</v>
      </c>
      <c r="J2088" s="125">
        <v>76.936458333333292</v>
      </c>
      <c r="K2088" s="230">
        <v>385.09909814323561</v>
      </c>
    </row>
    <row r="2089" spans="1:11" x14ac:dyDescent="0.3">
      <c r="A2089" s="88" t="s">
        <v>483</v>
      </c>
      <c r="B2089" s="24">
        <v>39707</v>
      </c>
      <c r="C2089" s="32">
        <v>10.830580980244624</v>
      </c>
      <c r="D2089" s="1">
        <v>13.8</v>
      </c>
      <c r="E2089" s="1">
        <v>8.3000000000000007</v>
      </c>
      <c r="F2089" s="1">
        <v>0.125</v>
      </c>
      <c r="G2089" s="1"/>
      <c r="H2089" s="126">
        <f t="shared" si="32"/>
        <v>1.0952445521994474</v>
      </c>
      <c r="I2089" s="89">
        <v>154.71</v>
      </c>
      <c r="J2089" s="125">
        <v>74.8</v>
      </c>
      <c r="K2089" s="230">
        <v>379.78218417399324</v>
      </c>
    </row>
    <row r="2090" spans="1:11" x14ac:dyDescent="0.3">
      <c r="A2090" s="88" t="s">
        <v>483</v>
      </c>
      <c r="B2090" s="24">
        <v>39708</v>
      </c>
      <c r="C2090" s="32">
        <v>9.6373904068836449</v>
      </c>
      <c r="D2090" s="1">
        <v>14.2</v>
      </c>
      <c r="E2090" s="1">
        <v>6.1</v>
      </c>
      <c r="F2090" s="1">
        <v>0</v>
      </c>
      <c r="G2090" s="1"/>
      <c r="H2090" s="126">
        <f t="shared" si="32"/>
        <v>0.94191143925241705</v>
      </c>
      <c r="I2090" s="89">
        <v>85.950000000000017</v>
      </c>
      <c r="J2090" s="125">
        <v>77.547916666666666</v>
      </c>
      <c r="K2090" s="230">
        <v>394.13</v>
      </c>
    </row>
    <row r="2091" spans="1:11" x14ac:dyDescent="0.3">
      <c r="A2091" s="88" t="s">
        <v>483</v>
      </c>
      <c r="B2091" s="24">
        <v>39709</v>
      </c>
      <c r="C2091" s="32">
        <v>9.7425685248051792</v>
      </c>
      <c r="D2091" s="1">
        <v>14.8</v>
      </c>
      <c r="E2091" s="1">
        <v>5.4</v>
      </c>
      <c r="F2091" s="1">
        <v>5.0000000000000001E-3</v>
      </c>
      <c r="G2091" s="1"/>
      <c r="H2091" s="126">
        <f t="shared" si="32"/>
        <v>0.8972630930441321</v>
      </c>
      <c r="I2091" s="89">
        <v>92.699999999999974</v>
      </c>
      <c r="J2091" s="125">
        <v>73.684375000000003</v>
      </c>
      <c r="K2091" s="230">
        <v>395.74210259014694</v>
      </c>
    </row>
    <row r="2092" spans="1:11" x14ac:dyDescent="0.3">
      <c r="A2092" s="88" t="s">
        <v>483</v>
      </c>
      <c r="B2092" s="24">
        <v>39710</v>
      </c>
      <c r="C2092" s="32">
        <v>11.865605029507742</v>
      </c>
      <c r="D2092" s="1">
        <v>15.2</v>
      </c>
      <c r="E2092" s="1">
        <v>2.4</v>
      </c>
      <c r="F2092" s="1">
        <v>0</v>
      </c>
      <c r="G2092" s="1"/>
      <c r="H2092" s="126">
        <f t="shared" si="32"/>
        <v>0.7263362808555901</v>
      </c>
      <c r="I2092" s="89">
        <v>74.789999999999935</v>
      </c>
      <c r="J2092" s="125">
        <v>75.158333333333346</v>
      </c>
      <c r="K2092" s="230">
        <v>378.22755417956819</v>
      </c>
    </row>
    <row r="2093" spans="1:11" x14ac:dyDescent="0.3">
      <c r="A2093" s="88" t="s">
        <v>483</v>
      </c>
      <c r="B2093" s="24">
        <v>39711</v>
      </c>
      <c r="C2093" s="32">
        <v>12.868186139466527</v>
      </c>
      <c r="D2093" s="1">
        <v>16.7</v>
      </c>
      <c r="E2093" s="1">
        <v>5.7</v>
      </c>
      <c r="F2093" s="1">
        <v>0</v>
      </c>
      <c r="G2093" s="1"/>
      <c r="H2093" s="126">
        <f t="shared" si="32"/>
        <v>0.91616430843021424</v>
      </c>
      <c r="I2093" s="89">
        <v>93.51</v>
      </c>
      <c r="J2093" s="125">
        <v>72.53125</v>
      </c>
      <c r="K2093" s="230">
        <v>388.62525562372207</v>
      </c>
    </row>
    <row r="2094" spans="1:11" x14ac:dyDescent="0.3">
      <c r="A2094" s="88" t="s">
        <v>483</v>
      </c>
      <c r="B2094" s="24">
        <v>39712</v>
      </c>
      <c r="C2094" s="32">
        <v>7.7307547348310939</v>
      </c>
      <c r="D2094" s="1">
        <v>17.100000000000001</v>
      </c>
      <c r="E2094" s="1">
        <v>7.9</v>
      </c>
      <c r="F2094" s="1">
        <v>0.36499999999999999</v>
      </c>
      <c r="G2094" s="1"/>
      <c r="H2094" s="126">
        <f t="shared" si="32"/>
        <v>1.0658332114824252</v>
      </c>
      <c r="I2094" s="89">
        <v>183.60000000000002</v>
      </c>
      <c r="J2094" s="125">
        <v>82.509375000000006</v>
      </c>
      <c r="K2094" s="230">
        <v>393.60063578565013</v>
      </c>
    </row>
    <row r="2095" spans="1:11" x14ac:dyDescent="0.3">
      <c r="A2095" s="88" t="s">
        <v>483</v>
      </c>
      <c r="B2095" s="24">
        <v>39713</v>
      </c>
      <c r="C2095" s="32">
        <v>8.1430326624044174</v>
      </c>
      <c r="D2095" s="1">
        <v>15.7</v>
      </c>
      <c r="E2095" s="1">
        <v>8.4</v>
      </c>
      <c r="F2095" s="1">
        <v>1.44</v>
      </c>
      <c r="G2095" s="1"/>
      <c r="H2095" s="126">
        <f t="shared" si="32"/>
        <v>1.1027080638918816</v>
      </c>
      <c r="I2095" s="89">
        <v>227.78999999999996</v>
      </c>
      <c r="J2095" s="125">
        <v>84.535416666666663</v>
      </c>
      <c r="K2095" s="230">
        <v>384.72316126084928</v>
      </c>
    </row>
    <row r="2096" spans="1:11" x14ac:dyDescent="0.3">
      <c r="A2096" s="88" t="s">
        <v>483</v>
      </c>
      <c r="B2096" s="24">
        <v>39714</v>
      </c>
      <c r="C2096" s="32">
        <v>1.7942849968220798</v>
      </c>
      <c r="D2096" s="1">
        <v>12.8</v>
      </c>
      <c r="E2096" s="1">
        <v>10.4</v>
      </c>
      <c r="F2096" s="1">
        <v>14.455</v>
      </c>
      <c r="G2096" s="1"/>
      <c r="H2096" s="126">
        <f t="shared" si="32"/>
        <v>1.2616805817680199</v>
      </c>
      <c r="I2096" s="89">
        <v>284.13</v>
      </c>
      <c r="J2096" s="125">
        <v>96.420833333333277</v>
      </c>
      <c r="K2096" s="230">
        <v>391.82259990812986</v>
      </c>
    </row>
    <row r="2097" spans="1:11" x14ac:dyDescent="0.3">
      <c r="A2097" s="88" t="s">
        <v>483</v>
      </c>
      <c r="B2097" s="24">
        <v>39715</v>
      </c>
      <c r="C2097" s="32">
        <v>5.859361492040108</v>
      </c>
      <c r="D2097" s="1">
        <v>16.399999999999999</v>
      </c>
      <c r="E2097" s="1">
        <v>7.9</v>
      </c>
      <c r="F2097" s="1">
        <v>0.01</v>
      </c>
      <c r="G2097" s="1"/>
      <c r="H2097" s="126">
        <f t="shared" si="32"/>
        <v>1.0658332114824252</v>
      </c>
      <c r="I2097" s="89">
        <v>229.41</v>
      </c>
      <c r="J2097" s="125">
        <v>83.875</v>
      </c>
      <c r="K2097" s="230">
        <v>390.29006010171253</v>
      </c>
    </row>
    <row r="2098" spans="1:11" x14ac:dyDescent="0.3">
      <c r="A2098" s="88" t="s">
        <v>483</v>
      </c>
      <c r="B2098" s="24">
        <v>39716</v>
      </c>
      <c r="C2098" s="32">
        <v>8.5234141957651897</v>
      </c>
      <c r="D2098" s="1">
        <v>16.2</v>
      </c>
      <c r="E2098" s="1">
        <v>6</v>
      </c>
      <c r="F2098" s="1">
        <v>0</v>
      </c>
      <c r="G2098" s="1"/>
      <c r="H2098" s="126">
        <f t="shared" si="32"/>
        <v>0.93541559507788385</v>
      </c>
      <c r="I2098" s="89">
        <v>168.83999999999997</v>
      </c>
      <c r="J2098" s="125">
        <v>84.95104166666664</v>
      </c>
      <c r="K2098" s="230">
        <v>395.47840856212218</v>
      </c>
    </row>
    <row r="2099" spans="1:11" x14ac:dyDescent="0.3">
      <c r="A2099" s="88" t="s">
        <v>483</v>
      </c>
      <c r="B2099" s="24">
        <v>39717</v>
      </c>
      <c r="C2099" s="32">
        <v>4.8509975216096688</v>
      </c>
      <c r="D2099" s="1">
        <v>12.4</v>
      </c>
      <c r="E2099" s="1">
        <v>4.2</v>
      </c>
      <c r="F2099" s="1">
        <v>0.03</v>
      </c>
      <c r="G2099" s="1"/>
      <c r="H2099" s="126">
        <f t="shared" si="32"/>
        <v>0.82505065566727931</v>
      </c>
      <c r="I2099" s="89">
        <v>74.879999999999924</v>
      </c>
      <c r="J2099" s="125">
        <v>95.438541666666652</v>
      </c>
      <c r="K2099" s="230">
        <v>394.22136115250936</v>
      </c>
    </row>
    <row r="2100" spans="1:11" x14ac:dyDescent="0.3">
      <c r="A2100" s="88" t="s">
        <v>483</v>
      </c>
      <c r="B2100" s="24">
        <v>39718</v>
      </c>
      <c r="C2100" s="32">
        <v>13.54133093088751</v>
      </c>
      <c r="D2100" s="1">
        <v>17.100000000000001</v>
      </c>
      <c r="E2100" s="1">
        <v>3.8</v>
      </c>
      <c r="F2100" s="1">
        <v>3.5000000000000003E-2</v>
      </c>
      <c r="G2100" s="1"/>
      <c r="H2100" s="126">
        <f t="shared" si="32"/>
        <v>0.80214634758046521</v>
      </c>
      <c r="I2100" s="89">
        <v>89.999999999999986</v>
      </c>
      <c r="J2100" s="125">
        <v>85.962500000000006</v>
      </c>
      <c r="K2100" s="230">
        <v>384.10713881019848</v>
      </c>
    </row>
    <row r="2101" spans="1:11" x14ac:dyDescent="0.3">
      <c r="A2101" s="88" t="s">
        <v>483</v>
      </c>
      <c r="B2101" s="24">
        <v>39719</v>
      </c>
      <c r="C2101" s="32">
        <v>12.587783008087184</v>
      </c>
      <c r="D2101" s="1">
        <v>17.399999999999999</v>
      </c>
      <c r="E2101" s="1">
        <v>7.7</v>
      </c>
      <c r="F2101" s="1">
        <v>0</v>
      </c>
      <c r="G2101" s="1"/>
      <c r="H2101" s="126">
        <f t="shared" si="32"/>
        <v>1.0513900110721115</v>
      </c>
      <c r="I2101" s="89">
        <v>211.77</v>
      </c>
      <c r="J2101" s="125">
        <v>78.13333333333334</v>
      </c>
      <c r="K2101" s="230">
        <v>380.62482269503693</v>
      </c>
    </row>
    <row r="2102" spans="1:11" x14ac:dyDescent="0.3">
      <c r="A2102" s="88" t="s">
        <v>483</v>
      </c>
      <c r="B2102" s="24">
        <v>39720</v>
      </c>
      <c r="C2102" s="32">
        <v>4.8888249308557112</v>
      </c>
      <c r="D2102" s="1">
        <v>14</v>
      </c>
      <c r="E2102" s="1">
        <v>9.9</v>
      </c>
      <c r="F2102" s="1">
        <v>0.66</v>
      </c>
      <c r="G2102" s="1"/>
      <c r="H2102" s="126">
        <f t="shared" si="32"/>
        <v>1.2201575987481763</v>
      </c>
      <c r="I2102" s="89">
        <v>171.00000000000009</v>
      </c>
      <c r="J2102" s="125">
        <v>86.743750000000006</v>
      </c>
      <c r="K2102" s="230">
        <v>381.87075208913535</v>
      </c>
    </row>
    <row r="2103" spans="1:11" x14ac:dyDescent="0.3">
      <c r="A2103" s="88" t="s">
        <v>483</v>
      </c>
      <c r="B2103" s="24">
        <v>39721</v>
      </c>
      <c r="C2103" s="32">
        <v>4.3600000000000003</v>
      </c>
      <c r="D2103" s="1">
        <v>10.9</v>
      </c>
      <c r="E2103" s="1">
        <v>8</v>
      </c>
      <c r="F2103" s="1">
        <v>4.4050000000000002</v>
      </c>
      <c r="G2103" s="1"/>
      <c r="H2103" s="126">
        <f t="shared" si="32"/>
        <v>1.0731200926872433</v>
      </c>
      <c r="I2103" s="89">
        <v>289.70999999999998</v>
      </c>
      <c r="J2103" s="125">
        <v>88.462500000000006</v>
      </c>
    </row>
    <row r="2104" spans="1:11" x14ac:dyDescent="0.3">
      <c r="A2104" s="88" t="s">
        <v>483</v>
      </c>
      <c r="B2104" s="24">
        <v>39722</v>
      </c>
      <c r="C2104" s="136">
        <v>3.3800358799896317</v>
      </c>
      <c r="D2104" s="1">
        <v>14.7</v>
      </c>
      <c r="E2104" s="1">
        <v>8.6999999999999993</v>
      </c>
      <c r="F2104" s="1">
        <v>17.41</v>
      </c>
      <c r="G2104" s="1"/>
      <c r="H2104" s="126">
        <f t="shared" si="32"/>
        <v>1.1253678644990226</v>
      </c>
      <c r="I2104" s="89">
        <v>408.33000000000015</v>
      </c>
      <c r="J2104" s="125">
        <v>89.021874999999994</v>
      </c>
    </row>
    <row r="2105" spans="1:11" x14ac:dyDescent="0.3">
      <c r="A2105" s="88" t="s">
        <v>483</v>
      </c>
      <c r="B2105" s="24">
        <v>39723</v>
      </c>
      <c r="C2105" s="136">
        <v>8.9694483022291323</v>
      </c>
      <c r="D2105" s="1">
        <v>13.6</v>
      </c>
      <c r="E2105" s="1">
        <v>6.6</v>
      </c>
      <c r="F2105" s="1">
        <v>0.52</v>
      </c>
      <c r="G2105" s="1"/>
      <c r="H2105" s="126">
        <f t="shared" si="32"/>
        <v>0.97499060249070812</v>
      </c>
      <c r="I2105" s="89">
        <v>388.26000000000005</v>
      </c>
      <c r="J2105" s="125">
        <v>69.974999999999994</v>
      </c>
    </row>
    <row r="2106" spans="1:11" x14ac:dyDescent="0.3">
      <c r="A2106" s="88" t="s">
        <v>483</v>
      </c>
      <c r="B2106" s="24">
        <v>39724</v>
      </c>
      <c r="C2106" s="136">
        <v>10.365281365560739</v>
      </c>
      <c r="D2106" s="1">
        <v>13</v>
      </c>
      <c r="E2106" s="1">
        <v>4.8</v>
      </c>
      <c r="F2106" s="1">
        <v>0.46500000000000002</v>
      </c>
      <c r="G2106" s="1"/>
      <c r="H2106" s="126">
        <f t="shared" si="32"/>
        <v>0.86048907931200158</v>
      </c>
      <c r="I2106" s="89">
        <v>246.05999999999995</v>
      </c>
      <c r="J2106" s="125">
        <v>73.997916666666683</v>
      </c>
    </row>
    <row r="2107" spans="1:11" x14ac:dyDescent="0.3">
      <c r="A2107" s="88" t="s">
        <v>483</v>
      </c>
      <c r="B2107" s="24">
        <v>39725</v>
      </c>
      <c r="C2107" s="136">
        <v>7.81074182650769</v>
      </c>
      <c r="D2107" s="1">
        <v>11.1</v>
      </c>
      <c r="E2107" s="1">
        <v>4.3</v>
      </c>
      <c r="F2107" s="1">
        <v>0.3</v>
      </c>
      <c r="G2107" s="1"/>
      <c r="H2107" s="126">
        <f t="shared" si="32"/>
        <v>0.83086609768035358</v>
      </c>
      <c r="I2107" s="89">
        <v>248.94</v>
      </c>
      <c r="J2107" s="125">
        <v>76.270833333333314</v>
      </c>
    </row>
    <row r="2108" spans="1:11" x14ac:dyDescent="0.3">
      <c r="A2108" s="88" t="s">
        <v>483</v>
      </c>
      <c r="B2108" s="24">
        <v>39726</v>
      </c>
      <c r="C2108" s="136">
        <v>3.2106597459823742</v>
      </c>
      <c r="D2108" s="1">
        <v>12</v>
      </c>
      <c r="E2108" s="1">
        <v>6.8</v>
      </c>
      <c r="F2108" s="1">
        <v>6.1349999999999998</v>
      </c>
      <c r="G2108" s="1"/>
      <c r="H2108" s="126">
        <f t="shared" si="32"/>
        <v>0.98850615565901678</v>
      </c>
      <c r="I2108" s="89">
        <v>354.24</v>
      </c>
      <c r="J2108" s="125">
        <v>76.368750000000006</v>
      </c>
    </row>
    <row r="2109" spans="1:11" x14ac:dyDescent="0.3">
      <c r="A2109" s="88" t="s">
        <v>483</v>
      </c>
      <c r="B2109" s="24">
        <v>39727</v>
      </c>
      <c r="C2109" s="136">
        <v>4.6247333160532227</v>
      </c>
      <c r="D2109" s="1">
        <v>13.9</v>
      </c>
      <c r="E2109" s="1">
        <v>9.6</v>
      </c>
      <c r="F2109" s="1">
        <v>2.38</v>
      </c>
      <c r="G2109" s="1"/>
      <c r="H2109" s="126">
        <f t="shared" si="32"/>
        <v>1.1958248668287446</v>
      </c>
      <c r="I2109" s="89">
        <v>51.300000000000004</v>
      </c>
      <c r="J2109" s="125">
        <v>91.655208333333363</v>
      </c>
    </row>
    <row r="2110" spans="1:11" x14ac:dyDescent="0.3">
      <c r="A2110" s="88" t="s">
        <v>483</v>
      </c>
      <c r="B2110" s="24">
        <v>39728</v>
      </c>
      <c r="C2110" s="136">
        <v>5.8372927164333852</v>
      </c>
      <c r="D2110" s="1">
        <v>17</v>
      </c>
      <c r="E2110" s="1">
        <v>11</v>
      </c>
      <c r="F2110" s="1">
        <v>5.0000000000000001E-3</v>
      </c>
      <c r="G2110" s="1"/>
      <c r="H2110" s="126">
        <f t="shared" si="32"/>
        <v>1.313143973467028</v>
      </c>
      <c r="I2110" s="89">
        <v>145.71000000000004</v>
      </c>
      <c r="J2110" s="125">
        <v>86.582291666666677</v>
      </c>
    </row>
    <row r="2111" spans="1:11" x14ac:dyDescent="0.3">
      <c r="A2111" s="88" t="s">
        <v>483</v>
      </c>
      <c r="B2111" s="24">
        <v>39729</v>
      </c>
      <c r="C2111" s="136">
        <v>9.359447708225332</v>
      </c>
      <c r="D2111" s="1">
        <v>20</v>
      </c>
      <c r="E2111" s="1">
        <v>11.9</v>
      </c>
      <c r="F2111" s="1">
        <v>0.115</v>
      </c>
      <c r="G2111" s="1"/>
      <c r="H2111" s="126">
        <f t="shared" si="32"/>
        <v>1.3937984130245886</v>
      </c>
      <c r="I2111" s="89">
        <v>167.67000000000002</v>
      </c>
      <c r="J2111" s="125">
        <v>82.809375000000003</v>
      </c>
    </row>
    <row r="2112" spans="1:11" x14ac:dyDescent="0.3">
      <c r="A2112" s="88" t="s">
        <v>483</v>
      </c>
      <c r="B2112" s="24">
        <v>39730</v>
      </c>
      <c r="C2112" s="136">
        <v>5.4490305015552094</v>
      </c>
      <c r="D2112" s="1">
        <v>15.3</v>
      </c>
      <c r="E2112" s="1">
        <v>7.5</v>
      </c>
      <c r="F2112" s="1">
        <v>0.04</v>
      </c>
      <c r="G2112" s="1"/>
      <c r="H2112" s="126">
        <f t="shared" si="32"/>
        <v>1.0371194102680934</v>
      </c>
      <c r="I2112" s="89">
        <v>172.17000000000007</v>
      </c>
      <c r="J2112" s="125">
        <v>87.211458333333312</v>
      </c>
    </row>
    <row r="2113" spans="1:10" x14ac:dyDescent="0.3">
      <c r="A2113" s="88" t="s">
        <v>483</v>
      </c>
      <c r="B2113" s="24">
        <v>39731</v>
      </c>
      <c r="C2113" s="136">
        <v>10.071696066614825</v>
      </c>
      <c r="D2113" s="1">
        <v>16.100000000000001</v>
      </c>
      <c r="E2113" s="1">
        <v>5.8</v>
      </c>
      <c r="F2113" s="1">
        <v>0.01</v>
      </c>
      <c r="G2113" s="1"/>
      <c r="H2113" s="126">
        <f t="shared" si="32"/>
        <v>0.92254223518646628</v>
      </c>
      <c r="I2113" s="89">
        <v>127.25999999999996</v>
      </c>
      <c r="J2113" s="125">
        <v>82.1875</v>
      </c>
    </row>
    <row r="2114" spans="1:10" x14ac:dyDescent="0.3">
      <c r="A2114" s="88" t="s">
        <v>483</v>
      </c>
      <c r="B2114" s="24">
        <v>39732</v>
      </c>
      <c r="C2114" s="136">
        <v>10.019580333074131</v>
      </c>
      <c r="D2114" s="1">
        <v>18.5</v>
      </c>
      <c r="E2114" s="1">
        <v>10</v>
      </c>
      <c r="F2114" s="1">
        <v>0</v>
      </c>
      <c r="G2114" s="1"/>
      <c r="H2114" s="126">
        <f t="shared" si="32"/>
        <v>1.2283647027117881</v>
      </c>
      <c r="I2114" s="89">
        <v>149.94</v>
      </c>
      <c r="J2114" s="125">
        <v>83.90625</v>
      </c>
    </row>
    <row r="2115" spans="1:10" x14ac:dyDescent="0.3">
      <c r="A2115" s="88" t="s">
        <v>483</v>
      </c>
      <c r="B2115" s="24">
        <v>39733</v>
      </c>
      <c r="C2115" s="136">
        <v>6.0874482374287195</v>
      </c>
      <c r="D2115" s="1">
        <v>16</v>
      </c>
      <c r="E2115" s="1">
        <v>7.3</v>
      </c>
      <c r="F2115" s="1">
        <v>0</v>
      </c>
      <c r="G2115" s="1"/>
      <c r="H2115" s="126">
        <f t="shared" si="32"/>
        <v>1.0230196423808093</v>
      </c>
      <c r="I2115" s="89">
        <v>163.44000000000008</v>
      </c>
      <c r="J2115" s="125">
        <v>86.651041666666643</v>
      </c>
    </row>
    <row r="2116" spans="1:10" x14ac:dyDescent="0.3">
      <c r="A2116" s="88" t="s">
        <v>483</v>
      </c>
      <c r="B2116" s="24">
        <v>39734</v>
      </c>
      <c r="C2116" s="136">
        <v>9.5479329445308441</v>
      </c>
      <c r="D2116" s="1">
        <v>19.8</v>
      </c>
      <c r="E2116" s="1">
        <v>6.6</v>
      </c>
      <c r="F2116" s="1">
        <v>0</v>
      </c>
      <c r="G2116" s="1"/>
      <c r="H2116" s="126">
        <f t="shared" ref="H2116:H2179" si="33">0.611*EXP((17.27*E2116)/(E2116+237.3))</f>
        <v>0.97499060249070812</v>
      </c>
      <c r="I2116" s="89">
        <v>136.44</v>
      </c>
      <c r="J2116" s="125">
        <v>82.441666666666663</v>
      </c>
    </row>
    <row r="2117" spans="1:10" x14ac:dyDescent="0.3">
      <c r="A2117" s="88" t="s">
        <v>483</v>
      </c>
      <c r="B2117" s="24">
        <v>39735</v>
      </c>
      <c r="C2117" s="136">
        <v>4.9782517085709346</v>
      </c>
      <c r="D2117" s="1">
        <v>16.5</v>
      </c>
      <c r="E2117" s="1">
        <v>10.3</v>
      </c>
      <c r="F2117" s="1">
        <v>3.5000000000000003E-2</v>
      </c>
      <c r="G2117" s="1"/>
      <c r="H2117" s="126">
        <f t="shared" si="33"/>
        <v>1.2532780017936267</v>
      </c>
      <c r="I2117" s="89">
        <v>235.17000000000002</v>
      </c>
      <c r="J2117" s="125">
        <v>81.221874999999997</v>
      </c>
    </row>
    <row r="2118" spans="1:10" x14ac:dyDescent="0.3">
      <c r="A2118" s="88" t="s">
        <v>483</v>
      </c>
      <c r="B2118" s="24">
        <v>39736</v>
      </c>
      <c r="C2118" s="136">
        <v>5.3413246522377742</v>
      </c>
      <c r="D2118" s="1">
        <v>16.3</v>
      </c>
      <c r="E2118" s="1">
        <v>10</v>
      </c>
      <c r="F2118" s="1">
        <v>0.56999999999999995</v>
      </c>
      <c r="G2118" s="1"/>
      <c r="H2118" s="126">
        <f t="shared" si="33"/>
        <v>1.2283647027117881</v>
      </c>
      <c r="I2118" s="89">
        <v>183.14999999999998</v>
      </c>
      <c r="J2118" s="125">
        <v>78.769791666666663</v>
      </c>
    </row>
    <row r="2119" spans="1:10" x14ac:dyDescent="0.3">
      <c r="A2119" s="88" t="s">
        <v>483</v>
      </c>
      <c r="B2119" s="24">
        <v>39737</v>
      </c>
      <c r="C2119" s="136">
        <v>3.4729756048038709</v>
      </c>
      <c r="D2119" s="1">
        <v>13.6</v>
      </c>
      <c r="E2119" s="1">
        <v>6.4</v>
      </c>
      <c r="F2119" s="1">
        <v>4.5149999999999997</v>
      </c>
      <c r="G2119" s="1"/>
      <c r="H2119" s="126">
        <f t="shared" si="33"/>
        <v>0.96163811340513428</v>
      </c>
      <c r="I2119" s="89">
        <v>327.42000000000007</v>
      </c>
      <c r="J2119" s="125">
        <v>85.24166666666666</v>
      </c>
    </row>
    <row r="2120" spans="1:10" x14ac:dyDescent="0.3">
      <c r="A2120" s="88" t="s">
        <v>483</v>
      </c>
      <c r="B2120" s="24">
        <v>39738</v>
      </c>
      <c r="C2120" s="136">
        <v>7.0811215569379646</v>
      </c>
      <c r="D2120" s="1">
        <v>12.4</v>
      </c>
      <c r="E2120" s="1">
        <v>6.1</v>
      </c>
      <c r="F2120" s="1">
        <v>0.38500000000000001</v>
      </c>
      <c r="G2120" s="1"/>
      <c r="H2120" s="126">
        <f t="shared" si="33"/>
        <v>0.94191143925241705</v>
      </c>
      <c r="I2120" s="89">
        <v>416.34000000000003</v>
      </c>
      <c r="J2120" s="125">
        <v>79.929166666666674</v>
      </c>
    </row>
    <row r="2121" spans="1:10" x14ac:dyDescent="0.3">
      <c r="A2121" s="88" t="s">
        <v>483</v>
      </c>
      <c r="B2121" s="24">
        <v>39739</v>
      </c>
      <c r="C2121" s="136">
        <v>6.5764675371522374</v>
      </c>
      <c r="D2121" s="1">
        <v>12.4</v>
      </c>
      <c r="E2121" s="1">
        <v>5.9</v>
      </c>
      <c r="F2121" s="1">
        <v>0</v>
      </c>
      <c r="G2121" s="1"/>
      <c r="H2121" s="126">
        <f t="shared" si="33"/>
        <v>0.92895926237531279</v>
      </c>
      <c r="I2121" s="89">
        <v>191.43000000000004</v>
      </c>
      <c r="J2121" s="125">
        <v>78.930208333333312</v>
      </c>
    </row>
    <row r="2122" spans="1:10" x14ac:dyDescent="0.3">
      <c r="A2122" s="88" t="s">
        <v>483</v>
      </c>
      <c r="B2122" s="24">
        <v>39740</v>
      </c>
      <c r="C2122" s="136">
        <v>5.5749768576118894</v>
      </c>
      <c r="D2122" s="1">
        <v>13.4</v>
      </c>
      <c r="E2122" s="1">
        <v>7.1</v>
      </c>
      <c r="F2122" s="1">
        <v>5.0000000000000001E-3</v>
      </c>
      <c r="G2122" s="1"/>
      <c r="H2122" s="126">
        <f t="shared" si="33"/>
        <v>1.0090889554747804</v>
      </c>
      <c r="I2122" s="89">
        <v>246.96000000000006</v>
      </c>
      <c r="J2122" s="125">
        <v>77.757291666666674</v>
      </c>
    </row>
    <row r="2123" spans="1:10" x14ac:dyDescent="0.3">
      <c r="A2123" s="88" t="s">
        <v>483</v>
      </c>
      <c r="B2123" s="24">
        <v>39741</v>
      </c>
      <c r="C2123" s="136">
        <v>9.7086231229479854</v>
      </c>
      <c r="D2123" s="1">
        <v>16.2</v>
      </c>
      <c r="E2123" s="1">
        <v>7.9</v>
      </c>
      <c r="F2123" s="1">
        <v>0.03</v>
      </c>
      <c r="G2123" s="1"/>
      <c r="H2123" s="126">
        <f t="shared" si="33"/>
        <v>1.0658332114824252</v>
      </c>
      <c r="I2123" s="89">
        <v>226.07999999999998</v>
      </c>
      <c r="J2123" s="125">
        <v>66.694791666666688</v>
      </c>
    </row>
    <row r="2124" spans="1:10" x14ac:dyDescent="0.3">
      <c r="A2124" s="88" t="s">
        <v>483</v>
      </c>
      <c r="B2124" s="24">
        <v>39742</v>
      </c>
      <c r="C2124" s="136">
        <v>1.5238471703818905</v>
      </c>
      <c r="D2124" s="1">
        <v>16.899999999999999</v>
      </c>
      <c r="E2124" s="1">
        <v>9.1999999999999993</v>
      </c>
      <c r="F2124" s="1">
        <v>4.0949999999999998</v>
      </c>
      <c r="G2124" s="1"/>
      <c r="H2124" s="126">
        <f t="shared" si="33"/>
        <v>1.16404559315309</v>
      </c>
      <c r="I2124" s="89">
        <v>252.71999999999997</v>
      </c>
      <c r="J2124" s="125">
        <v>84.21875</v>
      </c>
    </row>
    <row r="2125" spans="1:10" x14ac:dyDescent="0.3">
      <c r="A2125" s="88" t="s">
        <v>483</v>
      </c>
      <c r="B2125" s="24">
        <v>39743</v>
      </c>
      <c r="C2125" s="136">
        <v>4.0714379449628479</v>
      </c>
      <c r="D2125" s="1">
        <v>11.1</v>
      </c>
      <c r="E2125" s="1">
        <v>6</v>
      </c>
      <c r="F2125" s="1">
        <v>0</v>
      </c>
      <c r="G2125" s="1"/>
      <c r="H2125" s="126">
        <f t="shared" si="33"/>
        <v>0.93541559507788385</v>
      </c>
      <c r="I2125" s="89">
        <v>133.56</v>
      </c>
      <c r="J2125" s="125">
        <v>83.564583333333374</v>
      </c>
    </row>
    <row r="2126" spans="1:10" x14ac:dyDescent="0.3">
      <c r="A2126" s="88" t="s">
        <v>483</v>
      </c>
      <c r="B2126" s="24">
        <v>39744</v>
      </c>
      <c r="C2126" s="136">
        <v>7.8619889644893721</v>
      </c>
      <c r="D2126" s="1">
        <v>11.9</v>
      </c>
      <c r="E2126" s="1">
        <v>4.7</v>
      </c>
      <c r="F2126" s="1">
        <v>0</v>
      </c>
      <c r="G2126" s="1"/>
      <c r="H2126" s="126">
        <f t="shared" si="33"/>
        <v>0.85449106840682587</v>
      </c>
      <c r="I2126" s="89">
        <v>170.28000000000003</v>
      </c>
      <c r="J2126" s="125">
        <v>80.947916666666671</v>
      </c>
    </row>
    <row r="2127" spans="1:10" x14ac:dyDescent="0.3">
      <c r="A2127" s="88" t="s">
        <v>483</v>
      </c>
      <c r="B2127" s="24">
        <v>39745</v>
      </c>
      <c r="C2127" s="136">
        <v>7.5831697900466564</v>
      </c>
      <c r="D2127" s="1">
        <v>12.5</v>
      </c>
      <c r="E2127" s="1">
        <v>4.3</v>
      </c>
      <c r="F2127" s="1">
        <v>0</v>
      </c>
      <c r="G2127" s="1"/>
      <c r="H2127" s="126">
        <f t="shared" si="33"/>
        <v>0.83086609768035358</v>
      </c>
      <c r="I2127" s="89">
        <v>158.94000000000003</v>
      </c>
      <c r="J2127" s="125">
        <v>70.790625000000006</v>
      </c>
    </row>
    <row r="2128" spans="1:10" x14ac:dyDescent="0.3">
      <c r="A2128" s="88" t="s">
        <v>483</v>
      </c>
      <c r="B2128" s="24">
        <v>39746</v>
      </c>
      <c r="C2128" s="136">
        <v>3.9498345667012269</v>
      </c>
      <c r="D2128" s="1">
        <v>13.1</v>
      </c>
      <c r="E2128" s="1">
        <v>8.9</v>
      </c>
      <c r="F2128" s="1">
        <v>5.5E-2</v>
      </c>
      <c r="G2128" s="1"/>
      <c r="H2128" s="126">
        <f t="shared" si="33"/>
        <v>1.1407010860938473</v>
      </c>
      <c r="I2128" s="89">
        <v>122.04000000000002</v>
      </c>
      <c r="J2128" s="125">
        <v>88.045833333333334</v>
      </c>
    </row>
    <row r="2129" spans="1:10" x14ac:dyDescent="0.3">
      <c r="A2129" s="88" t="s">
        <v>483</v>
      </c>
      <c r="B2129" s="24">
        <v>39747</v>
      </c>
      <c r="C2129" s="136">
        <v>3.8925072598064627</v>
      </c>
      <c r="D2129" s="1">
        <v>14.7</v>
      </c>
      <c r="E2129" s="1">
        <v>8.6999999999999993</v>
      </c>
      <c r="F2129" s="1">
        <v>0</v>
      </c>
      <c r="G2129" s="1"/>
      <c r="H2129" s="126">
        <f t="shared" si="33"/>
        <v>1.1253678644990226</v>
      </c>
      <c r="I2129" s="89">
        <v>307.8900000000001</v>
      </c>
      <c r="J2129" s="125">
        <v>68.709374999999994</v>
      </c>
    </row>
    <row r="2130" spans="1:10" x14ac:dyDescent="0.3">
      <c r="A2130" s="88" t="s">
        <v>483</v>
      </c>
      <c r="B2130" s="24">
        <v>39748</v>
      </c>
      <c r="C2130" s="136">
        <v>1.5377446993260757</v>
      </c>
      <c r="D2130" s="1">
        <v>11.4</v>
      </c>
      <c r="E2130" s="1">
        <v>4.7</v>
      </c>
      <c r="F2130" s="1">
        <v>4.91</v>
      </c>
      <c r="G2130" s="1"/>
      <c r="H2130" s="126">
        <f t="shared" si="33"/>
        <v>0.85449106840682587</v>
      </c>
      <c r="I2130" s="89">
        <v>167.21999999999997</v>
      </c>
      <c r="J2130" s="125">
        <v>92.39270833333336</v>
      </c>
    </row>
    <row r="2131" spans="1:10" x14ac:dyDescent="0.3">
      <c r="A2131" s="88" t="s">
        <v>483</v>
      </c>
      <c r="B2131" s="24">
        <v>39749</v>
      </c>
      <c r="C2131" s="136">
        <v>4.4735976887852082</v>
      </c>
      <c r="D2131" s="1">
        <v>8.6</v>
      </c>
      <c r="E2131" s="1">
        <v>3.2</v>
      </c>
      <c r="F2131" s="1">
        <v>5.0000000000000001E-3</v>
      </c>
      <c r="G2131" s="1"/>
      <c r="H2131" s="126">
        <f t="shared" si="33"/>
        <v>0.76884154961442475</v>
      </c>
      <c r="I2131" s="89">
        <v>125.37000000000003</v>
      </c>
      <c r="J2131" s="125">
        <v>85.509375000000006</v>
      </c>
    </row>
    <row r="2132" spans="1:10" x14ac:dyDescent="0.3">
      <c r="A2132" s="88" t="s">
        <v>483</v>
      </c>
      <c r="B2132" s="24">
        <v>39750</v>
      </c>
      <c r="C2132" s="136">
        <v>4.6603457339726972</v>
      </c>
      <c r="D2132" s="1">
        <v>6.8</v>
      </c>
      <c r="E2132" s="1">
        <v>1.7</v>
      </c>
      <c r="F2132" s="1">
        <v>0</v>
      </c>
      <c r="G2132" s="1"/>
      <c r="H2132" s="126">
        <f t="shared" si="33"/>
        <v>0.69086052853268343</v>
      </c>
      <c r="I2132" s="89">
        <v>66.87</v>
      </c>
      <c r="J2132" s="125">
        <v>89.795833333333348</v>
      </c>
    </row>
    <row r="2133" spans="1:10" x14ac:dyDescent="0.3">
      <c r="A2133" s="88" t="s">
        <v>483</v>
      </c>
      <c r="B2133" s="24">
        <v>39751</v>
      </c>
      <c r="C2133" s="136">
        <v>0.64395986910316227</v>
      </c>
      <c r="D2133" s="1">
        <v>3.7</v>
      </c>
      <c r="E2133" s="1">
        <v>2.7</v>
      </c>
      <c r="F2133" s="1">
        <v>13.85</v>
      </c>
      <c r="G2133" s="1"/>
      <c r="H2133" s="126">
        <f t="shared" si="33"/>
        <v>0.74202613073523482</v>
      </c>
      <c r="I2133" s="89">
        <v>232.10999999999993</v>
      </c>
      <c r="J2133" s="125">
        <v>94.571875000000006</v>
      </c>
    </row>
    <row r="2134" spans="1:10" x14ac:dyDescent="0.3">
      <c r="A2134" s="88" t="s">
        <v>483</v>
      </c>
      <c r="B2134" s="24">
        <v>39752</v>
      </c>
      <c r="C2134" s="136">
        <v>3.3105482352687057</v>
      </c>
      <c r="D2134" s="1">
        <v>6.8</v>
      </c>
      <c r="E2134" s="1">
        <v>2.6</v>
      </c>
      <c r="F2134" s="1">
        <v>1.155</v>
      </c>
      <c r="G2134" s="1"/>
      <c r="H2134" s="126">
        <f t="shared" si="33"/>
        <v>0.73676325541308207</v>
      </c>
      <c r="I2134" s="89">
        <v>161.10000000000002</v>
      </c>
      <c r="J2134" s="125">
        <v>87.712500000000006</v>
      </c>
    </row>
    <row r="2135" spans="1:10" x14ac:dyDescent="0.3">
      <c r="A2135" s="88" t="s">
        <v>483</v>
      </c>
      <c r="B2135" s="24">
        <v>39753</v>
      </c>
      <c r="C2135" s="136">
        <v>2.3116633424053914</v>
      </c>
      <c r="D2135" s="1">
        <v>7.1</v>
      </c>
      <c r="E2135" s="1">
        <v>4.4000000000000004</v>
      </c>
      <c r="F2135" s="1">
        <v>8.5000000000000006E-2</v>
      </c>
      <c r="G2135" s="1"/>
      <c r="H2135" s="126">
        <f t="shared" si="33"/>
        <v>0.83671766728803487</v>
      </c>
      <c r="I2135" s="89">
        <v>243.72000000000011</v>
      </c>
      <c r="J2135" s="125">
        <v>87.208333333333329</v>
      </c>
    </row>
    <row r="2136" spans="1:10" x14ac:dyDescent="0.3">
      <c r="A2136" s="88" t="s">
        <v>483</v>
      </c>
      <c r="B2136" s="24">
        <v>39754</v>
      </c>
      <c r="C2136" s="136">
        <v>2.6990569617245548</v>
      </c>
      <c r="D2136" s="1">
        <v>7.8</v>
      </c>
      <c r="E2136" s="1">
        <v>5.0999999999999996</v>
      </c>
      <c r="F2136" s="1">
        <v>0</v>
      </c>
      <c r="G2136" s="1"/>
      <c r="H2136" s="126">
        <f t="shared" si="33"/>
        <v>0.87870648225166126</v>
      </c>
      <c r="I2136" s="89">
        <v>202.14</v>
      </c>
      <c r="J2136" s="125">
        <v>95.059374999999946</v>
      </c>
    </row>
    <row r="2137" spans="1:10" x14ac:dyDescent="0.3">
      <c r="A2137" s="88" t="s">
        <v>483</v>
      </c>
      <c r="B2137" s="24">
        <v>39755</v>
      </c>
      <c r="C2137" s="136">
        <v>0.86197735441506829</v>
      </c>
      <c r="D2137" s="1">
        <v>8.1999999999999993</v>
      </c>
      <c r="E2137" s="1">
        <v>5.8</v>
      </c>
      <c r="F2137" s="1">
        <v>0</v>
      </c>
      <c r="G2137" s="1"/>
      <c r="H2137" s="126">
        <f t="shared" si="33"/>
        <v>0.92254223518646628</v>
      </c>
      <c r="I2137" s="89">
        <v>268.83000000000004</v>
      </c>
      <c r="J2137" s="125">
        <v>98.8</v>
      </c>
    </row>
    <row r="2138" spans="1:10" x14ac:dyDescent="0.3">
      <c r="A2138" s="88" t="s">
        <v>483</v>
      </c>
      <c r="B2138" s="24">
        <v>39756</v>
      </c>
      <c r="C2138" s="136">
        <v>1.5012636858475896</v>
      </c>
      <c r="D2138" s="1">
        <v>9.1</v>
      </c>
      <c r="E2138" s="1">
        <v>7.8</v>
      </c>
      <c r="F2138" s="1">
        <v>0</v>
      </c>
      <c r="G2138" s="1"/>
      <c r="H2138" s="126">
        <f t="shared" si="33"/>
        <v>1.0585899253295545</v>
      </c>
      <c r="I2138" s="89">
        <v>97.29000000000002</v>
      </c>
      <c r="J2138" s="125">
        <v>96.981250000000003</v>
      </c>
    </row>
    <row r="2139" spans="1:10" x14ac:dyDescent="0.3">
      <c r="A2139" s="88" t="s">
        <v>483</v>
      </c>
      <c r="B2139" s="24">
        <v>39757</v>
      </c>
      <c r="C2139" s="136">
        <v>0.64656565578019698</v>
      </c>
      <c r="D2139" s="1">
        <v>9.8000000000000007</v>
      </c>
      <c r="E2139" s="1">
        <v>8.8000000000000007</v>
      </c>
      <c r="F2139" s="1">
        <v>0.27500000000000002</v>
      </c>
      <c r="G2139" s="1"/>
      <c r="H2139" s="126">
        <f t="shared" si="33"/>
        <v>1.1330116523877718</v>
      </c>
      <c r="I2139" s="89">
        <v>303.83999999999997</v>
      </c>
      <c r="J2139" s="125">
        <v>95.665624999999935</v>
      </c>
    </row>
    <row r="2140" spans="1:10" x14ac:dyDescent="0.3">
      <c r="A2140" s="88" t="s">
        <v>483</v>
      </c>
      <c r="B2140" s="24">
        <v>39758</v>
      </c>
      <c r="C2140" s="136">
        <v>1.6628224598237429</v>
      </c>
      <c r="D2140" s="1">
        <v>12.2</v>
      </c>
      <c r="E2140" s="1">
        <v>9.8000000000000007</v>
      </c>
      <c r="F2140" s="1">
        <v>5.0000000000000001E-3</v>
      </c>
      <c r="G2140" s="1"/>
      <c r="H2140" s="126">
        <f t="shared" si="33"/>
        <v>1.2119987528679013</v>
      </c>
      <c r="I2140" s="89">
        <v>113.76000000000008</v>
      </c>
      <c r="J2140" s="125">
        <v>93.346874999999997</v>
      </c>
    </row>
    <row r="2141" spans="1:10" x14ac:dyDescent="0.3">
      <c r="A2141" s="88" t="s">
        <v>483</v>
      </c>
      <c r="B2141" s="24">
        <v>39759</v>
      </c>
      <c r="C2141" s="136">
        <v>1.3344933385173665</v>
      </c>
      <c r="D2141" s="1">
        <v>11.9</v>
      </c>
      <c r="E2141" s="1">
        <v>6.6</v>
      </c>
      <c r="F2141" s="1">
        <v>0.26500000000000001</v>
      </c>
      <c r="G2141" s="1"/>
      <c r="H2141" s="126">
        <f t="shared" si="33"/>
        <v>0.97499060249070812</v>
      </c>
      <c r="I2141" s="89">
        <v>87.75</v>
      </c>
      <c r="J2141" s="125">
        <v>91.974999999999994</v>
      </c>
    </row>
    <row r="2142" spans="1:10" x14ac:dyDescent="0.3">
      <c r="A2142" s="88" t="s">
        <v>483</v>
      </c>
      <c r="B2142" s="24">
        <v>39760</v>
      </c>
      <c r="C2142" s="136">
        <v>3.6076079164506654</v>
      </c>
      <c r="D2142" s="1">
        <v>11.8</v>
      </c>
      <c r="E2142" s="1">
        <v>4.8</v>
      </c>
      <c r="F2142" s="1">
        <v>0</v>
      </c>
      <c r="G2142" s="1"/>
      <c r="H2142" s="126">
        <f t="shared" si="33"/>
        <v>0.86048907931200158</v>
      </c>
      <c r="I2142" s="89">
        <v>120.24</v>
      </c>
      <c r="J2142" s="125">
        <v>88.629166666666677</v>
      </c>
    </row>
    <row r="2143" spans="1:10" x14ac:dyDescent="0.3">
      <c r="A2143" s="88" t="s">
        <v>483</v>
      </c>
      <c r="B2143" s="24">
        <v>39761</v>
      </c>
      <c r="C2143" s="136">
        <v>1.2068097913426645</v>
      </c>
      <c r="D2143" s="1">
        <v>11.8</v>
      </c>
      <c r="E2143" s="1">
        <v>4.9000000000000004</v>
      </c>
      <c r="F2143" s="1">
        <v>0.14499999999999999</v>
      </c>
      <c r="G2143" s="1"/>
      <c r="H2143" s="126">
        <f t="shared" si="33"/>
        <v>0.86652418747176108</v>
      </c>
      <c r="I2143" s="89">
        <v>204.21000000000006</v>
      </c>
      <c r="J2143" s="125">
        <v>78.157291666666694</v>
      </c>
    </row>
    <row r="2144" spans="1:10" x14ac:dyDescent="0.3">
      <c r="A2144" s="88" t="s">
        <v>483</v>
      </c>
      <c r="B2144" s="24">
        <v>39762</v>
      </c>
      <c r="C2144" s="136">
        <v>3.4703698181268363</v>
      </c>
      <c r="D2144" s="1">
        <v>15.4</v>
      </c>
      <c r="E2144" s="1">
        <v>8.6999999999999993</v>
      </c>
      <c r="F2144" s="1">
        <v>0</v>
      </c>
      <c r="G2144" s="1"/>
      <c r="H2144" s="126">
        <f t="shared" si="33"/>
        <v>1.1253678644990226</v>
      </c>
      <c r="I2144" s="89">
        <v>379.43999999999983</v>
      </c>
      <c r="J2144" s="125">
        <v>68.719791666666666</v>
      </c>
    </row>
    <row r="2145" spans="1:10" x14ac:dyDescent="0.3">
      <c r="A2145" s="88" t="s">
        <v>483</v>
      </c>
      <c r="B2145" s="24">
        <v>39763</v>
      </c>
      <c r="C2145" s="136">
        <v>2.0206838301365129</v>
      </c>
      <c r="D2145" s="1">
        <v>15.7</v>
      </c>
      <c r="E2145" s="1">
        <v>8.1</v>
      </c>
      <c r="F2145" s="1">
        <v>1.405</v>
      </c>
      <c r="G2145" s="1"/>
      <c r="H2145" s="126">
        <f t="shared" si="33"/>
        <v>1.080450793034103</v>
      </c>
      <c r="I2145" s="89">
        <v>359.19</v>
      </c>
      <c r="J2145" s="125">
        <v>64.732291666666711</v>
      </c>
    </row>
    <row r="2146" spans="1:10" x14ac:dyDescent="0.3">
      <c r="A2146" s="88" t="s">
        <v>483</v>
      </c>
      <c r="B2146" s="24">
        <v>39764</v>
      </c>
      <c r="C2146" s="136">
        <v>4.089678451702091</v>
      </c>
      <c r="D2146" s="1">
        <v>11</v>
      </c>
      <c r="E2146" s="1">
        <v>6.5</v>
      </c>
      <c r="F2146" s="1">
        <v>0</v>
      </c>
      <c r="G2146" s="1"/>
      <c r="H2146" s="126">
        <f t="shared" si="33"/>
        <v>0.96829408068935052</v>
      </c>
      <c r="I2146" s="89">
        <v>215.82</v>
      </c>
      <c r="J2146" s="125">
        <v>72.70729166666662</v>
      </c>
    </row>
    <row r="2147" spans="1:10" x14ac:dyDescent="0.3">
      <c r="A2147" s="88" t="s">
        <v>483</v>
      </c>
      <c r="B2147" s="24">
        <v>39765</v>
      </c>
      <c r="C2147" s="136">
        <v>2.1822426041126666</v>
      </c>
      <c r="D2147" s="1">
        <v>9.4</v>
      </c>
      <c r="E2147" s="1">
        <v>4.7</v>
      </c>
      <c r="F2147" s="1">
        <v>0</v>
      </c>
      <c r="G2147" s="1"/>
      <c r="H2147" s="126">
        <f t="shared" si="33"/>
        <v>0.85449106840682587</v>
      </c>
      <c r="I2147" s="89">
        <v>144.26999999999995</v>
      </c>
      <c r="J2147" s="125">
        <v>82.97604166666666</v>
      </c>
    </row>
    <row r="2148" spans="1:10" x14ac:dyDescent="0.3">
      <c r="A2148" s="88" t="s">
        <v>483</v>
      </c>
      <c r="B2148" s="24">
        <v>39766</v>
      </c>
      <c r="C2148" s="136">
        <v>1.1920436668394678</v>
      </c>
      <c r="D2148" s="1">
        <v>9.3000000000000007</v>
      </c>
      <c r="E2148" s="1">
        <v>4</v>
      </c>
      <c r="F2148" s="1">
        <v>0.105</v>
      </c>
      <c r="G2148" s="1"/>
      <c r="H2148" s="126">
        <f t="shared" si="33"/>
        <v>0.81352738957079329</v>
      </c>
      <c r="I2148" s="89">
        <v>262.34999999999991</v>
      </c>
      <c r="J2148" s="125">
        <v>81.143749999999997</v>
      </c>
    </row>
    <row r="2149" spans="1:10" x14ac:dyDescent="0.3">
      <c r="A2149" s="88" t="s">
        <v>483</v>
      </c>
      <c r="B2149" s="24">
        <v>39767</v>
      </c>
      <c r="C2149" s="136">
        <v>0.63527391351304641</v>
      </c>
      <c r="D2149" s="1">
        <v>10.9</v>
      </c>
      <c r="E2149" s="1">
        <v>8.8000000000000007</v>
      </c>
      <c r="F2149" s="1">
        <v>0</v>
      </c>
      <c r="G2149" s="1"/>
      <c r="H2149" s="126">
        <f t="shared" si="33"/>
        <v>1.1330116523877718</v>
      </c>
      <c r="I2149" s="89">
        <v>390.24000000000012</v>
      </c>
      <c r="J2149" s="125">
        <v>86.448958333333337</v>
      </c>
    </row>
    <row r="2150" spans="1:10" x14ac:dyDescent="0.3">
      <c r="A2150" s="88" t="s">
        <v>483</v>
      </c>
      <c r="B2150" s="24">
        <v>39768</v>
      </c>
      <c r="C2150" s="136">
        <v>2.382019582685329</v>
      </c>
      <c r="D2150" s="1">
        <v>10.4</v>
      </c>
      <c r="E2150" s="1">
        <v>5.9</v>
      </c>
      <c r="F2150" s="1">
        <v>0.64</v>
      </c>
      <c r="G2150" s="1"/>
      <c r="H2150" s="126">
        <f t="shared" si="33"/>
        <v>0.92895926237531279</v>
      </c>
      <c r="I2150" s="89">
        <v>425.33999999999992</v>
      </c>
      <c r="J2150" s="125">
        <v>80.703125</v>
      </c>
    </row>
    <row r="2151" spans="1:10" x14ac:dyDescent="0.3">
      <c r="A2151" s="88" t="s">
        <v>483</v>
      </c>
      <c r="B2151" s="24">
        <v>39769</v>
      </c>
      <c r="C2151" s="136">
        <v>4.8123499567997232</v>
      </c>
      <c r="D2151" s="1">
        <v>7.8</v>
      </c>
      <c r="E2151" s="1">
        <v>1.6</v>
      </c>
      <c r="F2151" s="1">
        <v>0</v>
      </c>
      <c r="G2151" s="1"/>
      <c r="H2151" s="126">
        <f t="shared" si="33"/>
        <v>0.68591959793818613</v>
      </c>
      <c r="I2151" s="89">
        <v>199.26</v>
      </c>
      <c r="J2151" s="125">
        <v>84.813541666666666</v>
      </c>
    </row>
    <row r="2152" spans="1:10" x14ac:dyDescent="0.3">
      <c r="A2152" s="88" t="s">
        <v>483</v>
      </c>
      <c r="B2152" s="24">
        <v>39770</v>
      </c>
      <c r="C2152" s="136">
        <v>1.487366156903404</v>
      </c>
      <c r="D2152" s="1">
        <v>7.3</v>
      </c>
      <c r="E2152" s="1">
        <v>1.4</v>
      </c>
      <c r="F2152" s="1">
        <v>1.99</v>
      </c>
      <c r="G2152" s="1"/>
      <c r="H2152" s="126">
        <f t="shared" si="33"/>
        <v>0.67613129580825593</v>
      </c>
      <c r="I2152" s="89">
        <v>284.21999999999997</v>
      </c>
      <c r="J2152" s="125">
        <v>83.483333333333334</v>
      </c>
    </row>
    <row r="2153" spans="1:10" x14ac:dyDescent="0.3">
      <c r="A2153" s="88" t="s">
        <v>483</v>
      </c>
      <c r="B2153" s="24">
        <v>39771</v>
      </c>
      <c r="C2153" s="136">
        <v>1.7288357223086228</v>
      </c>
      <c r="D2153" s="1">
        <v>9.3000000000000007</v>
      </c>
      <c r="E2153" s="1">
        <v>5.0999999999999996</v>
      </c>
      <c r="F2153" s="1">
        <v>0.37</v>
      </c>
      <c r="G2153" s="1"/>
      <c r="H2153" s="126">
        <f t="shared" si="33"/>
        <v>0.87870648225166126</v>
      </c>
      <c r="I2153" s="89">
        <v>504.18</v>
      </c>
      <c r="J2153" s="125">
        <v>80.059375000000003</v>
      </c>
    </row>
    <row r="2154" spans="1:10" x14ac:dyDescent="0.3">
      <c r="A2154" s="88" t="s">
        <v>483</v>
      </c>
      <c r="B2154" s="24">
        <v>39772</v>
      </c>
      <c r="C2154" s="136">
        <v>0.99747826162087427</v>
      </c>
      <c r="D2154" s="1">
        <v>9.1</v>
      </c>
      <c r="E2154" s="1">
        <v>3.9</v>
      </c>
      <c r="F2154" s="1">
        <v>10.220000000000001</v>
      </c>
      <c r="G2154" s="1"/>
      <c r="H2154" s="126">
        <f t="shared" si="33"/>
        <v>0.80781918513419737</v>
      </c>
      <c r="I2154" s="89">
        <v>613.61999999999966</v>
      </c>
      <c r="J2154" s="125">
        <v>88.121875000000003</v>
      </c>
    </row>
    <row r="2155" spans="1:10" x14ac:dyDescent="0.3">
      <c r="A2155" s="88" t="s">
        <v>483</v>
      </c>
      <c r="B2155" s="24">
        <v>39773</v>
      </c>
      <c r="C2155" s="136">
        <v>1.3023553028339383</v>
      </c>
      <c r="D2155" s="1">
        <v>5.5</v>
      </c>
      <c r="E2155" s="1">
        <v>-0.2</v>
      </c>
      <c r="F2155" s="1">
        <v>4.7050000000000001</v>
      </c>
      <c r="G2155" s="1"/>
      <c r="H2155" s="126">
        <f t="shared" si="33"/>
        <v>0.60216365842742525</v>
      </c>
      <c r="I2155" s="89">
        <v>412.37999999999994</v>
      </c>
      <c r="J2155" s="125">
        <v>90.212500000000006</v>
      </c>
    </row>
    <row r="2156" spans="1:10" x14ac:dyDescent="0.3">
      <c r="A2156" s="88" t="s">
        <v>483</v>
      </c>
      <c r="B2156" s="24">
        <v>39774</v>
      </c>
      <c r="C2156" s="136">
        <v>2.2847368800760322</v>
      </c>
      <c r="D2156" s="1">
        <v>1.3</v>
      </c>
      <c r="E2156" s="1">
        <v>-1</v>
      </c>
      <c r="F2156" s="1">
        <v>0.57499999999999996</v>
      </c>
      <c r="G2156" s="1"/>
      <c r="H2156" s="126">
        <f t="shared" si="33"/>
        <v>0.5679377955282604</v>
      </c>
      <c r="I2156" s="89">
        <v>433.89</v>
      </c>
      <c r="J2156" s="125">
        <v>90.15</v>
      </c>
    </row>
    <row r="2157" spans="1:10" x14ac:dyDescent="0.3">
      <c r="A2157" s="88" t="s">
        <v>483</v>
      </c>
      <c r="B2157" s="24">
        <v>39775</v>
      </c>
      <c r="C2157" s="136">
        <v>1.8452275272161742</v>
      </c>
      <c r="D2157" s="1">
        <v>2</v>
      </c>
      <c r="E2157" s="1">
        <v>-0.6</v>
      </c>
      <c r="F2157" s="1">
        <v>0</v>
      </c>
      <c r="G2157" s="1"/>
      <c r="H2157" s="126">
        <f t="shared" si="33"/>
        <v>0.58482930968803559</v>
      </c>
      <c r="I2157" s="89">
        <v>333.80999999999995</v>
      </c>
      <c r="J2157" s="125">
        <v>84.60833333333332</v>
      </c>
    </row>
    <row r="2158" spans="1:10" x14ac:dyDescent="0.3">
      <c r="A2158" s="88" t="s">
        <v>483</v>
      </c>
      <c r="B2158" s="24">
        <v>39776</v>
      </c>
      <c r="C2158" s="136">
        <v>2.3768080093312598</v>
      </c>
      <c r="D2158" s="1">
        <v>0.8</v>
      </c>
      <c r="E2158" s="1">
        <v>-3.2</v>
      </c>
      <c r="F2158" s="1">
        <v>0.48499999999999999</v>
      </c>
      <c r="G2158" s="1"/>
      <c r="H2158" s="126">
        <f t="shared" si="33"/>
        <v>0.48252218724041501</v>
      </c>
      <c r="I2158" s="89">
        <v>199.53000000000003</v>
      </c>
      <c r="J2158" s="125">
        <v>92.420833333333306</v>
      </c>
    </row>
    <row r="2159" spans="1:10" x14ac:dyDescent="0.3">
      <c r="A2159" s="88" t="s">
        <v>483</v>
      </c>
      <c r="B2159" s="24">
        <v>39777</v>
      </c>
      <c r="C2159" s="136">
        <v>3.0030654073786072</v>
      </c>
      <c r="D2159" s="1">
        <v>2.2000000000000002</v>
      </c>
      <c r="E2159" s="1">
        <v>-2.2999999999999998</v>
      </c>
      <c r="F2159" s="1">
        <v>4.4999999999999998E-2</v>
      </c>
      <c r="G2159" s="1"/>
      <c r="H2159" s="126">
        <f t="shared" si="33"/>
        <v>0.51598176579815569</v>
      </c>
      <c r="I2159" s="89">
        <v>244.52999999999997</v>
      </c>
      <c r="J2159" s="125">
        <v>90.944791666666674</v>
      </c>
    </row>
    <row r="2160" spans="1:10" x14ac:dyDescent="0.3">
      <c r="A2160" s="88" t="s">
        <v>483</v>
      </c>
      <c r="B2160" s="24">
        <v>39778</v>
      </c>
      <c r="C2160" s="136">
        <v>1.5707513305685157</v>
      </c>
      <c r="D2160" s="1">
        <v>5.2</v>
      </c>
      <c r="E2160" s="1">
        <v>-1.2</v>
      </c>
      <c r="F2160" s="1">
        <v>0.17499999999999999</v>
      </c>
      <c r="G2160" s="1"/>
      <c r="H2160" s="126">
        <f t="shared" si="33"/>
        <v>0.55965503960920326</v>
      </c>
      <c r="I2160" s="89">
        <v>334.35</v>
      </c>
      <c r="J2160" s="125">
        <v>88.162499999999994</v>
      </c>
    </row>
    <row r="2161" spans="1:10" x14ac:dyDescent="0.3">
      <c r="A2161" s="88" t="s">
        <v>483</v>
      </c>
      <c r="B2161" s="24">
        <v>39779</v>
      </c>
      <c r="C2161" s="136">
        <v>2.2204608087091757</v>
      </c>
      <c r="D2161" s="1">
        <v>6.2</v>
      </c>
      <c r="E2161" s="1">
        <v>4.0999999999999996</v>
      </c>
      <c r="F2161" s="1">
        <v>0.08</v>
      </c>
      <c r="G2161" s="1"/>
      <c r="H2161" s="126">
        <f t="shared" si="33"/>
        <v>0.81927114982761395</v>
      </c>
      <c r="I2161" s="89">
        <v>295.92</v>
      </c>
      <c r="J2161" s="125">
        <v>85.1</v>
      </c>
    </row>
    <row r="2162" spans="1:10" x14ac:dyDescent="0.3">
      <c r="A2162" s="88" t="s">
        <v>483</v>
      </c>
      <c r="B2162" s="24">
        <v>39780</v>
      </c>
      <c r="C2162" s="136">
        <v>2.5609502678417138</v>
      </c>
      <c r="D2162" s="1">
        <v>5</v>
      </c>
      <c r="E2162" s="1">
        <v>0.3</v>
      </c>
      <c r="F2162" s="1">
        <v>0</v>
      </c>
      <c r="G2162" s="1"/>
      <c r="H2162" s="126">
        <f t="shared" si="33"/>
        <v>0.62446951587741306</v>
      </c>
      <c r="I2162" s="89">
        <v>169.19999999999996</v>
      </c>
      <c r="J2162" s="125">
        <v>68.191666666666691</v>
      </c>
    </row>
    <row r="2163" spans="1:10" x14ac:dyDescent="0.3">
      <c r="A2163" s="88" t="s">
        <v>483</v>
      </c>
      <c r="B2163" s="24">
        <v>39781</v>
      </c>
      <c r="C2163" s="136">
        <v>1.016587363919129</v>
      </c>
      <c r="D2163" s="1">
        <v>2.2000000000000002</v>
      </c>
      <c r="E2163" s="1">
        <v>-0.2</v>
      </c>
      <c r="F2163" s="1">
        <v>2.7850000000000001</v>
      </c>
      <c r="G2163" s="1"/>
      <c r="H2163" s="126">
        <f t="shared" si="33"/>
        <v>0.60216365842742525</v>
      </c>
      <c r="I2163" s="89">
        <v>95.04</v>
      </c>
      <c r="J2163" s="125">
        <v>91.518749999999997</v>
      </c>
    </row>
    <row r="2164" spans="1:10" x14ac:dyDescent="0.3">
      <c r="A2164" s="88" t="s">
        <v>483</v>
      </c>
      <c r="B2164" s="24">
        <v>39782</v>
      </c>
      <c r="C2164" s="136">
        <v>1.4578339078970106</v>
      </c>
      <c r="D2164" s="1">
        <v>2.2000000000000002</v>
      </c>
      <c r="E2164" s="1">
        <v>-1.9</v>
      </c>
      <c r="F2164" s="1">
        <v>0</v>
      </c>
      <c r="G2164" s="1"/>
      <c r="H2164" s="126">
        <f t="shared" si="33"/>
        <v>0.53150065801075153</v>
      </c>
      <c r="I2164" s="89">
        <v>112.68000000000005</v>
      </c>
      <c r="J2164" s="125">
        <v>94.084374999999994</v>
      </c>
    </row>
    <row r="2165" spans="1:10" x14ac:dyDescent="0.3">
      <c r="A2165" s="88" t="s">
        <v>483</v>
      </c>
      <c r="B2165" s="24">
        <v>39783</v>
      </c>
      <c r="C2165" s="136">
        <v>1.5351389126490409</v>
      </c>
      <c r="D2165" s="1">
        <v>2.5</v>
      </c>
      <c r="E2165" s="1">
        <v>-2</v>
      </c>
      <c r="F2165" s="1">
        <v>4.1050000000000004</v>
      </c>
      <c r="G2165" s="1"/>
      <c r="H2165" s="126">
        <f t="shared" si="33"/>
        <v>0.52758269928339141</v>
      </c>
      <c r="I2165" s="89">
        <v>193.59</v>
      </c>
      <c r="J2165" s="125">
        <v>91.232291666666654</v>
      </c>
    </row>
    <row r="2166" spans="1:10" x14ac:dyDescent="0.3">
      <c r="A2166" s="88" t="s">
        <v>483</v>
      </c>
      <c r="B2166" s="24">
        <v>39784</v>
      </c>
      <c r="C2166" s="136">
        <v>3.0890563677207532</v>
      </c>
      <c r="D2166" s="1">
        <v>5.7</v>
      </c>
      <c r="E2166" s="1">
        <v>1.3</v>
      </c>
      <c r="F2166" s="1">
        <v>0.99</v>
      </c>
      <c r="G2166" s="1"/>
      <c r="H2166" s="126">
        <f t="shared" si="33"/>
        <v>0.67128358518521281</v>
      </c>
      <c r="I2166" s="89">
        <v>332.54999999999984</v>
      </c>
      <c r="J2166" s="125">
        <v>87.080208333333303</v>
      </c>
    </row>
    <row r="2167" spans="1:10" x14ac:dyDescent="0.3">
      <c r="A2167" s="88" t="s">
        <v>483</v>
      </c>
      <c r="B2167" s="24">
        <v>39785</v>
      </c>
      <c r="C2167" s="136">
        <v>0.81767898090547775</v>
      </c>
      <c r="D2167" s="1">
        <v>2.7</v>
      </c>
      <c r="E2167" s="1">
        <v>1.2</v>
      </c>
      <c r="F2167" s="1">
        <v>0.49</v>
      </c>
      <c r="G2167" s="1"/>
      <c r="H2167" s="126">
        <f t="shared" si="33"/>
        <v>0.66646661006207619</v>
      </c>
      <c r="I2167" s="89">
        <v>243.54000000000002</v>
      </c>
      <c r="J2167" s="125">
        <v>80.747916666666654</v>
      </c>
    </row>
    <row r="2168" spans="1:10" x14ac:dyDescent="0.3">
      <c r="A2168" s="88" t="s">
        <v>483</v>
      </c>
      <c r="B2168" s="24">
        <v>39786</v>
      </c>
      <c r="C2168" s="136">
        <v>0.72387066053222748</v>
      </c>
      <c r="D2168" s="1">
        <v>5.4</v>
      </c>
      <c r="E2168" s="1">
        <v>0.6</v>
      </c>
      <c r="F2168" s="1">
        <v>0.72499999999999998</v>
      </c>
      <c r="G2168" s="1"/>
      <c r="H2168" s="126">
        <f t="shared" si="33"/>
        <v>0.63820086880942895</v>
      </c>
      <c r="I2168" s="89">
        <v>213.75000000000006</v>
      </c>
      <c r="J2168" s="125">
        <v>81.455208333333317</v>
      </c>
    </row>
    <row r="2169" spans="1:10" x14ac:dyDescent="0.3">
      <c r="A2169" s="88" t="s">
        <v>483</v>
      </c>
      <c r="B2169" s="24">
        <v>39787</v>
      </c>
      <c r="C2169" s="136">
        <v>1.4100611521513737</v>
      </c>
      <c r="D2169" s="1">
        <v>7.2</v>
      </c>
      <c r="E2169" s="1">
        <v>1.8</v>
      </c>
      <c r="F2169" s="1">
        <v>0.46</v>
      </c>
      <c r="G2169" s="1"/>
      <c r="H2169" s="126">
        <f t="shared" si="33"/>
        <v>0.69583287280742301</v>
      </c>
      <c r="I2169" s="89">
        <v>128.97000000000003</v>
      </c>
      <c r="J2169" s="125">
        <v>83.146874999999994</v>
      </c>
    </row>
    <row r="2170" spans="1:10" x14ac:dyDescent="0.3">
      <c r="A2170" s="88" t="s">
        <v>483</v>
      </c>
      <c r="B2170" s="24">
        <v>39788</v>
      </c>
      <c r="C2170" s="136">
        <v>0.8020442608432693</v>
      </c>
      <c r="D2170" s="1">
        <v>5.4</v>
      </c>
      <c r="E2170" s="1">
        <v>2.1</v>
      </c>
      <c r="F2170" s="1">
        <v>0.45</v>
      </c>
      <c r="G2170" s="1"/>
      <c r="H2170" s="126">
        <f t="shared" si="33"/>
        <v>0.7109401060616396</v>
      </c>
      <c r="I2170" s="89">
        <v>144.54000000000002</v>
      </c>
      <c r="J2170" s="125">
        <v>92.180208333333312</v>
      </c>
    </row>
    <row r="2171" spans="1:10" x14ac:dyDescent="0.3">
      <c r="A2171" s="88" t="s">
        <v>483</v>
      </c>
      <c r="B2171" s="24">
        <v>39789</v>
      </c>
      <c r="C2171" s="136">
        <v>1.357945418610679</v>
      </c>
      <c r="D2171" s="1">
        <v>5.4</v>
      </c>
      <c r="E2171" s="1">
        <v>3.1</v>
      </c>
      <c r="F2171" s="1">
        <v>0.44500000000000001</v>
      </c>
      <c r="G2171" s="1"/>
      <c r="H2171" s="126">
        <f t="shared" si="33"/>
        <v>0.76341105875491733</v>
      </c>
      <c r="I2171" s="89">
        <v>260.46000000000009</v>
      </c>
      <c r="J2171" s="125">
        <v>89.855208333333351</v>
      </c>
    </row>
    <row r="2172" spans="1:10" x14ac:dyDescent="0.3">
      <c r="A2172" s="88" t="s">
        <v>483</v>
      </c>
      <c r="B2172" s="24">
        <v>39790</v>
      </c>
      <c r="C2172" s="136">
        <v>2.0302383812856402</v>
      </c>
      <c r="D2172" s="1">
        <v>5.2</v>
      </c>
      <c r="E2172" s="1">
        <v>1.5</v>
      </c>
      <c r="F2172" s="1">
        <v>0</v>
      </c>
      <c r="G2172" s="1"/>
      <c r="H2172" s="126">
        <f t="shared" si="33"/>
        <v>0.68100991033793745</v>
      </c>
      <c r="I2172" s="89">
        <v>293.94000000000005</v>
      </c>
      <c r="J2172" s="125">
        <v>83.090625000000003</v>
      </c>
    </row>
    <row r="2173" spans="1:10" x14ac:dyDescent="0.3">
      <c r="A2173" s="88" t="s">
        <v>483</v>
      </c>
      <c r="B2173" s="24">
        <v>39791</v>
      </c>
      <c r="C2173" s="136">
        <v>1.9885457944530844</v>
      </c>
      <c r="D2173" s="1">
        <v>1.7</v>
      </c>
      <c r="E2173" s="1">
        <v>-1.2</v>
      </c>
      <c r="F2173" s="1">
        <v>0</v>
      </c>
      <c r="G2173" s="1"/>
      <c r="H2173" s="126">
        <f t="shared" si="33"/>
        <v>0.55965503960920326</v>
      </c>
      <c r="I2173" s="89">
        <v>186.12</v>
      </c>
      <c r="J2173" s="125">
        <v>83.318749999999994</v>
      </c>
    </row>
    <row r="2174" spans="1:10" x14ac:dyDescent="0.3">
      <c r="A2174" s="88" t="s">
        <v>483</v>
      </c>
      <c r="B2174" s="24">
        <v>39792</v>
      </c>
      <c r="C2174" s="136">
        <v>0.75774588733367898</v>
      </c>
      <c r="D2174" s="1">
        <v>2.9</v>
      </c>
      <c r="E2174" s="1">
        <v>0.5</v>
      </c>
      <c r="F2174" s="1">
        <v>0</v>
      </c>
      <c r="G2174" s="1"/>
      <c r="H2174" s="126">
        <f t="shared" si="33"/>
        <v>0.63359438986733596</v>
      </c>
      <c r="I2174" s="89">
        <v>140.4</v>
      </c>
      <c r="J2174" s="125">
        <v>93.054166666666632</v>
      </c>
    </row>
    <row r="2175" spans="1:10" x14ac:dyDescent="0.3">
      <c r="A2175" s="88" t="s">
        <v>483</v>
      </c>
      <c r="B2175" s="24">
        <v>39793</v>
      </c>
      <c r="C2175" s="136">
        <v>0.71605330050112326</v>
      </c>
      <c r="D2175" s="1">
        <v>1.9</v>
      </c>
      <c r="E2175" s="1">
        <v>-0.1</v>
      </c>
      <c r="F2175" s="1">
        <v>1.27</v>
      </c>
      <c r="G2175" s="1"/>
      <c r="H2175" s="126">
        <f t="shared" si="33"/>
        <v>0.60656760126761966</v>
      </c>
      <c r="I2175" s="89">
        <v>127.53000000000002</v>
      </c>
      <c r="J2175" s="125">
        <v>93.854166666666686</v>
      </c>
    </row>
    <row r="2176" spans="1:10" x14ac:dyDescent="0.3">
      <c r="A2176" s="88" t="s">
        <v>483</v>
      </c>
      <c r="B2176" s="24">
        <v>39794</v>
      </c>
      <c r="C2176" s="136">
        <v>1.7201497667185071</v>
      </c>
      <c r="D2176" s="1">
        <v>1.6</v>
      </c>
      <c r="E2176" s="1">
        <v>-1</v>
      </c>
      <c r="F2176" s="1">
        <v>0.47</v>
      </c>
      <c r="G2176" s="1"/>
      <c r="H2176" s="126">
        <f t="shared" si="33"/>
        <v>0.5679377955282604</v>
      </c>
      <c r="I2176" s="89">
        <v>104.12999999999997</v>
      </c>
      <c r="J2176" s="125">
        <v>93.119791666666671</v>
      </c>
    </row>
    <row r="2177" spans="1:10" x14ac:dyDescent="0.3">
      <c r="A2177" s="88" t="s">
        <v>483</v>
      </c>
      <c r="B2177" s="24">
        <v>39795</v>
      </c>
      <c r="C2177" s="136">
        <v>0.47197794841886992</v>
      </c>
      <c r="D2177" s="1">
        <v>2.1</v>
      </c>
      <c r="E2177" s="1">
        <v>-0.9</v>
      </c>
      <c r="F2177" s="1">
        <v>0</v>
      </c>
      <c r="G2177" s="1"/>
      <c r="H2177" s="126">
        <f t="shared" si="33"/>
        <v>0.57211969598720058</v>
      </c>
      <c r="I2177" s="89">
        <v>321.92999999999995</v>
      </c>
      <c r="J2177" s="125">
        <v>90.811458333333277</v>
      </c>
    </row>
    <row r="2178" spans="1:10" x14ac:dyDescent="0.3">
      <c r="A2178" s="88" t="s">
        <v>483</v>
      </c>
      <c r="B2178" s="24">
        <v>39796</v>
      </c>
      <c r="C2178" s="136">
        <v>2.4723535208225331</v>
      </c>
      <c r="D2178" s="1">
        <v>5.3</v>
      </c>
      <c r="E2178" s="1">
        <v>1.5</v>
      </c>
      <c r="F2178" s="1">
        <v>0</v>
      </c>
      <c r="G2178" s="1"/>
      <c r="H2178" s="126">
        <f t="shared" si="33"/>
        <v>0.68100991033793745</v>
      </c>
      <c r="I2178" s="89">
        <v>329.58000000000004</v>
      </c>
      <c r="J2178" s="125">
        <v>85.834374999999994</v>
      </c>
    </row>
    <row r="2179" spans="1:10" x14ac:dyDescent="0.3">
      <c r="A2179" s="88" t="s">
        <v>483</v>
      </c>
      <c r="B2179" s="24">
        <v>39797</v>
      </c>
      <c r="C2179" s="136">
        <v>1.0521997818386037</v>
      </c>
      <c r="D2179" s="1">
        <v>4.0999999999999996</v>
      </c>
      <c r="E2179" s="1">
        <v>2.2999999999999998</v>
      </c>
      <c r="F2179" s="1">
        <v>0</v>
      </c>
      <c r="G2179" s="1"/>
      <c r="H2179" s="126">
        <f t="shared" si="33"/>
        <v>0.72117182708011951</v>
      </c>
      <c r="I2179" s="89">
        <v>242.10000000000002</v>
      </c>
      <c r="J2179" s="125">
        <v>87.980208333333351</v>
      </c>
    </row>
    <row r="2180" spans="1:10" x14ac:dyDescent="0.3">
      <c r="A2180" s="88" t="s">
        <v>483</v>
      </c>
      <c r="B2180" s="24">
        <v>39798</v>
      </c>
      <c r="C2180" s="136">
        <v>0.53538542422671509</v>
      </c>
      <c r="D2180" s="1">
        <v>3.6</v>
      </c>
      <c r="E2180" s="1">
        <v>2</v>
      </c>
      <c r="F2180" s="1">
        <v>0</v>
      </c>
      <c r="G2180" s="1"/>
      <c r="H2180" s="126">
        <f t="shared" ref="H2180:H2243" si="34">0.611*EXP((17.27*E2180)/(E2180+237.3))</f>
        <v>0.70587248896856769</v>
      </c>
      <c r="I2180" s="89">
        <v>73.259999999999991</v>
      </c>
      <c r="J2180" s="125">
        <v>91.746875000000003</v>
      </c>
    </row>
    <row r="2181" spans="1:10" x14ac:dyDescent="0.3">
      <c r="A2181" s="88" t="s">
        <v>483</v>
      </c>
      <c r="B2181" s="24">
        <v>39799</v>
      </c>
      <c r="C2181" s="136">
        <v>0.69781279376187999</v>
      </c>
      <c r="D2181" s="1">
        <v>3.5</v>
      </c>
      <c r="E2181" s="1">
        <v>0.8</v>
      </c>
      <c r="F2181" s="1">
        <v>8.5000000000000006E-2</v>
      </c>
      <c r="G2181" s="1"/>
      <c r="H2181" s="126">
        <f t="shared" si="34"/>
        <v>0.64750272279315535</v>
      </c>
      <c r="I2181" s="89">
        <v>138.59999999999997</v>
      </c>
      <c r="J2181" s="125">
        <v>87.56041666666664</v>
      </c>
    </row>
    <row r="2182" spans="1:10" x14ac:dyDescent="0.3">
      <c r="A2182" s="88" t="s">
        <v>483</v>
      </c>
      <c r="B2182" s="24">
        <v>39800</v>
      </c>
      <c r="C2182" s="136">
        <v>2.8345578689303612</v>
      </c>
      <c r="D2182" s="1">
        <v>5</v>
      </c>
      <c r="E2182" s="1">
        <v>1</v>
      </c>
      <c r="F2182" s="1">
        <v>0.01</v>
      </c>
      <c r="G2182" s="1"/>
      <c r="H2182" s="126">
        <f t="shared" si="34"/>
        <v>0.65692419645928013</v>
      </c>
      <c r="I2182" s="89">
        <v>183.96000000000009</v>
      </c>
      <c r="J2182" s="125">
        <v>90.980208333333337</v>
      </c>
    </row>
    <row r="2183" spans="1:10" x14ac:dyDescent="0.3">
      <c r="A2183" s="88" t="s">
        <v>483</v>
      </c>
      <c r="B2183" s="24">
        <v>39801</v>
      </c>
      <c r="C2183" s="136">
        <v>1.4265644677725937</v>
      </c>
      <c r="D2183" s="1">
        <v>6.5</v>
      </c>
      <c r="E2183" s="1">
        <v>2.2999999999999998</v>
      </c>
      <c r="F2183" s="1">
        <v>1.835</v>
      </c>
      <c r="G2183" s="1"/>
      <c r="H2183" s="126">
        <f t="shared" si="34"/>
        <v>0.72117182708011951</v>
      </c>
      <c r="I2183" s="89">
        <v>339.75</v>
      </c>
      <c r="J2183" s="125">
        <v>87.497916666666654</v>
      </c>
    </row>
    <row r="2184" spans="1:10" x14ac:dyDescent="0.3">
      <c r="A2184" s="88" t="s">
        <v>483</v>
      </c>
      <c r="B2184" s="24">
        <v>39802</v>
      </c>
      <c r="C2184" s="136">
        <v>1.2441594003801624</v>
      </c>
      <c r="D2184" s="1">
        <v>8.6</v>
      </c>
      <c r="E2184" s="1">
        <v>2.8</v>
      </c>
      <c r="F2184" s="1">
        <v>1.905</v>
      </c>
      <c r="G2184" s="1"/>
      <c r="H2184" s="126">
        <f t="shared" si="34"/>
        <v>0.74732216909166049</v>
      </c>
      <c r="I2184" s="89">
        <v>482.31000000000006</v>
      </c>
      <c r="J2184" s="125">
        <v>81.833333333333343</v>
      </c>
    </row>
    <row r="2185" spans="1:10" x14ac:dyDescent="0.3">
      <c r="A2185" s="88" t="s">
        <v>483</v>
      </c>
      <c r="B2185" s="24">
        <v>39803</v>
      </c>
      <c r="C2185" s="136">
        <v>0.51106474857439088</v>
      </c>
      <c r="D2185" s="1">
        <v>8.8000000000000007</v>
      </c>
      <c r="E2185" s="1">
        <v>2.6</v>
      </c>
      <c r="F2185" s="1">
        <v>0.39500000000000002</v>
      </c>
      <c r="G2185" s="1"/>
      <c r="H2185" s="126">
        <f t="shared" si="34"/>
        <v>0.73676325541308207</v>
      </c>
      <c r="I2185" s="89">
        <v>332.28000000000003</v>
      </c>
      <c r="J2185" s="125">
        <v>88.630208333333329</v>
      </c>
    </row>
    <row r="2186" spans="1:10" x14ac:dyDescent="0.3">
      <c r="A2186" s="88" t="s">
        <v>483</v>
      </c>
      <c r="B2186" s="24">
        <v>39804</v>
      </c>
      <c r="C2186" s="136">
        <v>1.9277441053222739</v>
      </c>
      <c r="D2186" s="1">
        <v>9.1999999999999993</v>
      </c>
      <c r="E2186" s="1">
        <v>5.7</v>
      </c>
      <c r="F2186" s="1">
        <v>0.51</v>
      </c>
      <c r="G2186" s="1"/>
      <c r="H2186" s="126">
        <f t="shared" si="34"/>
        <v>0.91616430843021424</v>
      </c>
      <c r="I2186" s="89">
        <v>549.0899999999998</v>
      </c>
      <c r="J2186" s="125">
        <v>81.279166666666669</v>
      </c>
    </row>
    <row r="2187" spans="1:10" x14ac:dyDescent="0.3">
      <c r="A2187" s="88" t="s">
        <v>483</v>
      </c>
      <c r="B2187" s="24">
        <v>39805</v>
      </c>
      <c r="C2187" s="136">
        <v>1.2615313115603941</v>
      </c>
      <c r="D2187" s="1">
        <v>6.2</v>
      </c>
      <c r="E2187" s="1">
        <v>5.2</v>
      </c>
      <c r="F2187" s="1">
        <v>0.495</v>
      </c>
      <c r="G2187" s="1"/>
      <c r="H2187" s="126">
        <f t="shared" si="34"/>
        <v>0.88485406434684233</v>
      </c>
      <c r="I2187" s="89">
        <v>310.8599999999999</v>
      </c>
      <c r="J2187" s="125">
        <v>92.469791666666694</v>
      </c>
    </row>
    <row r="2188" spans="1:10" x14ac:dyDescent="0.3">
      <c r="A2188" s="88" t="s">
        <v>483</v>
      </c>
      <c r="B2188" s="24">
        <v>39806</v>
      </c>
      <c r="C2188" s="136">
        <v>0.50324738854328666</v>
      </c>
      <c r="D2188" s="1">
        <v>6.5</v>
      </c>
      <c r="E2188" s="1">
        <v>4.9000000000000004</v>
      </c>
      <c r="F2188" s="1">
        <v>0.15</v>
      </c>
      <c r="G2188" s="1"/>
      <c r="H2188" s="126">
        <f t="shared" si="34"/>
        <v>0.86652418747176108</v>
      </c>
      <c r="I2188" s="89">
        <v>334.17000000000007</v>
      </c>
      <c r="J2188" s="125">
        <v>93.121875000000003</v>
      </c>
    </row>
    <row r="2189" spans="1:10" x14ac:dyDescent="0.3">
      <c r="A2189" s="88" t="s">
        <v>483</v>
      </c>
      <c r="B2189" s="24">
        <v>39807</v>
      </c>
      <c r="C2189" s="136">
        <v>2.6469412281838602</v>
      </c>
      <c r="D2189" s="1">
        <v>5.0999999999999996</v>
      </c>
      <c r="E2189" s="1">
        <v>-0.7</v>
      </c>
      <c r="F2189" s="1">
        <v>8.5000000000000006E-2</v>
      </c>
      <c r="G2189" s="1"/>
      <c r="H2189" s="126">
        <f t="shared" si="34"/>
        <v>0.58056530033118703</v>
      </c>
      <c r="I2189" s="89">
        <v>299.79000000000008</v>
      </c>
      <c r="J2189" s="125">
        <v>84.21875</v>
      </c>
    </row>
    <row r="2190" spans="1:10" x14ac:dyDescent="0.3">
      <c r="A2190" s="88" t="s">
        <v>483</v>
      </c>
      <c r="B2190" s="24">
        <v>39808</v>
      </c>
      <c r="C2190" s="136">
        <v>3.5198797649904963</v>
      </c>
      <c r="D2190" s="1">
        <v>-0.3</v>
      </c>
      <c r="E2190" s="1">
        <v>-4.2</v>
      </c>
      <c r="F2190" s="1">
        <v>0</v>
      </c>
      <c r="G2190" s="1"/>
      <c r="H2190" s="126">
        <f t="shared" si="34"/>
        <v>0.447611553404549</v>
      </c>
      <c r="I2190" s="89">
        <v>328.59000000000003</v>
      </c>
      <c r="J2190" s="125">
        <v>80.685416666666626</v>
      </c>
    </row>
    <row r="2191" spans="1:10" x14ac:dyDescent="0.3">
      <c r="A2191" s="88" t="s">
        <v>483</v>
      </c>
      <c r="B2191" s="24">
        <v>39809</v>
      </c>
      <c r="C2191" s="136">
        <v>2.5913511124071196</v>
      </c>
      <c r="D2191" s="1">
        <v>0.7</v>
      </c>
      <c r="E2191" s="1">
        <v>-4.5999999999999996</v>
      </c>
      <c r="F2191" s="1">
        <v>0</v>
      </c>
      <c r="G2191" s="1"/>
      <c r="H2191" s="126">
        <f t="shared" si="34"/>
        <v>0.43428656685913181</v>
      </c>
      <c r="I2191" s="89">
        <v>212.57999999999993</v>
      </c>
      <c r="J2191" s="125">
        <v>95.132291666666674</v>
      </c>
    </row>
    <row r="2192" spans="1:10" x14ac:dyDescent="0.3">
      <c r="A2192" s="88" t="s">
        <v>483</v>
      </c>
      <c r="B2192" s="24">
        <v>39810</v>
      </c>
      <c r="C2192" s="136">
        <v>2.7833107309486782</v>
      </c>
      <c r="D2192" s="1">
        <v>-1.7</v>
      </c>
      <c r="E2192" s="1">
        <v>-5.0999999999999996</v>
      </c>
      <c r="F2192" s="1">
        <v>0</v>
      </c>
      <c r="G2192" s="1"/>
      <c r="H2192" s="126">
        <f t="shared" si="34"/>
        <v>0.41812553637572114</v>
      </c>
      <c r="I2192" s="89">
        <v>286.64999999999992</v>
      </c>
      <c r="J2192" s="125">
        <v>98.666666666666643</v>
      </c>
    </row>
    <row r="2193" spans="1:10" x14ac:dyDescent="0.3">
      <c r="A2193" s="88" t="s">
        <v>483</v>
      </c>
      <c r="B2193" s="24">
        <v>39811</v>
      </c>
      <c r="C2193" s="136">
        <v>1.0739146708138931</v>
      </c>
      <c r="D2193" s="1">
        <v>-3.4</v>
      </c>
      <c r="E2193" s="1">
        <v>-6.2</v>
      </c>
      <c r="F2193" s="1">
        <v>0</v>
      </c>
      <c r="G2193" s="1"/>
      <c r="H2193" s="126">
        <f t="shared" si="34"/>
        <v>0.38443461500304205</v>
      </c>
      <c r="I2193" s="89">
        <v>308.97000000000008</v>
      </c>
      <c r="J2193" s="125">
        <v>98.744791666666686</v>
      </c>
    </row>
    <row r="2194" spans="1:10" x14ac:dyDescent="0.3">
      <c r="A2194" s="88" t="s">
        <v>483</v>
      </c>
      <c r="B2194" s="24">
        <v>39812</v>
      </c>
      <c r="C2194" s="136">
        <v>2.5783221790219457</v>
      </c>
      <c r="D2194" s="1">
        <v>-2.6</v>
      </c>
      <c r="E2194" s="1">
        <v>-8.6999999999999993</v>
      </c>
      <c r="F2194" s="1">
        <v>0</v>
      </c>
      <c r="G2194" s="1"/>
      <c r="H2194" s="126">
        <f t="shared" si="34"/>
        <v>0.31666351439151719</v>
      </c>
      <c r="I2194" s="89">
        <v>68.759999999999977</v>
      </c>
      <c r="J2194" s="125">
        <v>99.046875</v>
      </c>
    </row>
    <row r="2195" spans="1:10" x14ac:dyDescent="0.3">
      <c r="A2195" s="88" t="s">
        <v>483</v>
      </c>
      <c r="B2195" s="24">
        <v>39813</v>
      </c>
      <c r="C2195" s="136">
        <v>3.2262944660445827</v>
      </c>
      <c r="D2195" s="1">
        <v>-1.1000000000000001</v>
      </c>
      <c r="E2195" s="1">
        <v>-9.1</v>
      </c>
      <c r="F2195" s="1">
        <v>0</v>
      </c>
      <c r="G2195" s="1"/>
      <c r="H2195" s="126">
        <f t="shared" si="34"/>
        <v>0.30686747521888891</v>
      </c>
      <c r="I2195" s="89">
        <v>79.38</v>
      </c>
      <c r="J2195" s="125">
        <v>98.889583333333306</v>
      </c>
    </row>
    <row r="2196" spans="1:10" x14ac:dyDescent="0.3">
      <c r="A2196" s="88" t="s">
        <v>484</v>
      </c>
      <c r="B2196" s="24">
        <v>39083</v>
      </c>
      <c r="C2196" s="1">
        <v>1.5282097805425956</v>
      </c>
      <c r="D2196" s="1">
        <v>11.2</v>
      </c>
      <c r="E2196" s="1">
        <v>5.0999999999999996</v>
      </c>
      <c r="F2196" s="1">
        <v>2.48</v>
      </c>
      <c r="G2196" s="1"/>
      <c r="H2196" s="126">
        <f t="shared" si="34"/>
        <v>0.87870648225166126</v>
      </c>
      <c r="I2196" s="89">
        <v>542.97</v>
      </c>
      <c r="J2196" s="1">
        <v>85.731250000000003</v>
      </c>
    </row>
    <row r="2197" spans="1:10" x14ac:dyDescent="0.3">
      <c r="A2197" s="88" t="s">
        <v>484</v>
      </c>
      <c r="B2197" s="24">
        <v>39084</v>
      </c>
      <c r="C2197" s="1">
        <v>0.90630580035712238</v>
      </c>
      <c r="D2197" s="1">
        <v>6.1</v>
      </c>
      <c r="E2197" s="1">
        <v>4</v>
      </c>
      <c r="F2197" s="1">
        <v>1.615</v>
      </c>
      <c r="G2197" s="1"/>
      <c r="H2197" s="126">
        <f t="shared" si="34"/>
        <v>0.81352738957079329</v>
      </c>
      <c r="I2197" s="89">
        <v>398.43000000000006</v>
      </c>
      <c r="J2197" s="1">
        <v>89.953125</v>
      </c>
    </row>
    <row r="2198" spans="1:10" x14ac:dyDescent="0.3">
      <c r="A2198" s="88" t="s">
        <v>484</v>
      </c>
      <c r="B2198" s="24">
        <v>39085</v>
      </c>
      <c r="C2198" s="1">
        <v>2.1771139335291747</v>
      </c>
      <c r="D2198" s="1">
        <v>6.6</v>
      </c>
      <c r="E2198" s="1">
        <v>4.0999999999999996</v>
      </c>
      <c r="F2198" s="1">
        <v>1.115</v>
      </c>
      <c r="G2198" s="1"/>
      <c r="H2198" s="126">
        <f t="shared" si="34"/>
        <v>0.81927114982761395</v>
      </c>
      <c r="I2198" s="89">
        <v>365.58000000000004</v>
      </c>
      <c r="J2198" s="1">
        <v>91.71875</v>
      </c>
    </row>
    <row r="2199" spans="1:10" x14ac:dyDescent="0.3">
      <c r="A2199" s="88" t="s">
        <v>484</v>
      </c>
      <c r="B2199" s="24">
        <v>39086</v>
      </c>
      <c r="C2199" s="1">
        <v>0.722704625309602</v>
      </c>
      <c r="D2199" s="1">
        <v>8.9</v>
      </c>
      <c r="E2199" s="1">
        <v>6.2</v>
      </c>
      <c r="F2199" s="1">
        <v>2.8650000000000002</v>
      </c>
      <c r="G2199" s="1"/>
      <c r="H2199" s="126">
        <f t="shared" si="34"/>
        <v>0.94844700173703456</v>
      </c>
      <c r="I2199" s="89">
        <v>442.53000000000009</v>
      </c>
      <c r="J2199" s="1">
        <v>89.741666666666688</v>
      </c>
    </row>
    <row r="2200" spans="1:10" x14ac:dyDescent="0.3">
      <c r="A2200" s="88" t="s">
        <v>484</v>
      </c>
      <c r="B2200" s="24">
        <v>39087</v>
      </c>
      <c r="C2200" s="1">
        <v>0.85140544899487358</v>
      </c>
      <c r="D2200" s="1">
        <v>9.4</v>
      </c>
      <c r="E2200" s="1">
        <v>6.8</v>
      </c>
      <c r="F2200" s="1">
        <v>0.15</v>
      </c>
      <c r="G2200" s="1"/>
      <c r="H2200" s="126">
        <f t="shared" si="34"/>
        <v>0.98850615565901678</v>
      </c>
      <c r="I2200" s="89">
        <v>504.72000000000025</v>
      </c>
      <c r="J2200" s="1">
        <v>88.967708333333348</v>
      </c>
    </row>
    <row r="2201" spans="1:10" x14ac:dyDescent="0.3">
      <c r="A2201" s="88" t="s">
        <v>484</v>
      </c>
      <c r="B2201" s="24">
        <v>39088</v>
      </c>
      <c r="C2201" s="1">
        <v>1.804511548873913</v>
      </c>
      <c r="D2201" s="1">
        <v>9.6</v>
      </c>
      <c r="E2201" s="1">
        <v>6.4</v>
      </c>
      <c r="F2201" s="1">
        <v>9.17</v>
      </c>
      <c r="G2201" s="1"/>
      <c r="H2201" s="126">
        <f t="shared" si="34"/>
        <v>0.96163811340513428</v>
      </c>
      <c r="I2201" s="89">
        <v>222.75</v>
      </c>
      <c r="J2201" s="1">
        <v>92.739583333333357</v>
      </c>
    </row>
    <row r="2202" spans="1:10" x14ac:dyDescent="0.3">
      <c r="A2202" s="88" t="s">
        <v>484</v>
      </c>
      <c r="B2202" s="24">
        <v>39089</v>
      </c>
      <c r="C2202" s="1">
        <v>1.4481092678993146</v>
      </c>
      <c r="D2202" s="1">
        <v>9.5</v>
      </c>
      <c r="E2202" s="1">
        <v>5.0999999999999996</v>
      </c>
      <c r="F2202" s="1">
        <v>8.85</v>
      </c>
      <c r="G2202" s="1"/>
      <c r="H2202" s="126">
        <f t="shared" si="34"/>
        <v>0.87870648225166126</v>
      </c>
      <c r="I2202" s="89">
        <v>273.96000000000004</v>
      </c>
      <c r="J2202" s="1">
        <v>89.496875000000003</v>
      </c>
    </row>
    <row r="2203" spans="1:10" x14ac:dyDescent="0.3">
      <c r="A2203" s="88" t="s">
        <v>484</v>
      </c>
      <c r="B2203" s="24">
        <v>39090</v>
      </c>
      <c r="C2203" s="1">
        <v>0.87930562755601638</v>
      </c>
      <c r="D2203" s="1">
        <v>10.6</v>
      </c>
      <c r="E2203" s="1">
        <v>6.3</v>
      </c>
      <c r="F2203" s="1">
        <v>0.48</v>
      </c>
      <c r="G2203" s="1"/>
      <c r="H2203" s="126">
        <f t="shared" si="34"/>
        <v>0.95502249025252561</v>
      </c>
      <c r="I2203" s="89">
        <v>284.13</v>
      </c>
      <c r="J2203" s="1">
        <v>84.368750000000006</v>
      </c>
    </row>
    <row r="2204" spans="1:10" x14ac:dyDescent="0.3">
      <c r="A2204" s="88" t="s">
        <v>484</v>
      </c>
      <c r="B2204" s="24">
        <v>39091</v>
      </c>
      <c r="C2204" s="1">
        <v>0.64170410690628421</v>
      </c>
      <c r="D2204" s="1">
        <v>14</v>
      </c>
      <c r="E2204" s="1">
        <v>8.1</v>
      </c>
      <c r="F2204" s="1">
        <v>0.70499999999999996</v>
      </c>
      <c r="G2204" s="1"/>
      <c r="H2204" s="126">
        <f t="shared" si="34"/>
        <v>1.080450793034103</v>
      </c>
      <c r="I2204" s="89">
        <v>471.51000000000005</v>
      </c>
      <c r="J2204" s="1">
        <v>81.240624999999994</v>
      </c>
    </row>
    <row r="2205" spans="1:10" x14ac:dyDescent="0.3">
      <c r="A2205" s="88" t="s">
        <v>484</v>
      </c>
      <c r="B2205" s="24">
        <v>39092</v>
      </c>
      <c r="C2205" s="1">
        <v>2.2500144000921609</v>
      </c>
      <c r="D2205" s="1">
        <v>13.4</v>
      </c>
      <c r="E2205" s="1">
        <v>6.6</v>
      </c>
      <c r="F2205" s="1">
        <v>4.49</v>
      </c>
      <c r="G2205" s="1"/>
      <c r="H2205" s="126">
        <f t="shared" si="34"/>
        <v>0.97499060249070812</v>
      </c>
      <c r="I2205" s="89">
        <v>423.36</v>
      </c>
      <c r="J2205" s="1">
        <v>77.474999999999994</v>
      </c>
    </row>
    <row r="2206" spans="1:10" x14ac:dyDescent="0.3">
      <c r="A2206" s="88" t="s">
        <v>484</v>
      </c>
      <c r="B2206" s="24">
        <v>39093</v>
      </c>
      <c r="C2206" s="1">
        <v>0.39150250561603595</v>
      </c>
      <c r="D2206" s="1">
        <v>8.9</v>
      </c>
      <c r="E2206" s="1">
        <v>4.5999999999999996</v>
      </c>
      <c r="F2206" s="1">
        <v>6.26</v>
      </c>
      <c r="G2206" s="1"/>
      <c r="H2206" s="126">
        <f t="shared" si="34"/>
        <v>0.84852995914135099</v>
      </c>
      <c r="I2206" s="89">
        <v>616.86</v>
      </c>
      <c r="J2206" s="1">
        <v>82.347916666666677</v>
      </c>
    </row>
    <row r="2207" spans="1:10" x14ac:dyDescent="0.3">
      <c r="A2207" s="88" t="s">
        <v>484</v>
      </c>
      <c r="B2207" s="24">
        <v>39094</v>
      </c>
      <c r="C2207" s="1">
        <v>1.9935127584816543</v>
      </c>
      <c r="D2207" s="1">
        <v>11.6</v>
      </c>
      <c r="E2207" s="1">
        <v>6.3</v>
      </c>
      <c r="F2207" s="1">
        <v>0.55500000000000005</v>
      </c>
      <c r="G2207" s="1"/>
      <c r="H2207" s="126">
        <f t="shared" si="34"/>
        <v>0.95502249025252561</v>
      </c>
      <c r="I2207" s="89">
        <v>687.68999999999994</v>
      </c>
      <c r="J2207" s="1">
        <v>79.804166666666703</v>
      </c>
    </row>
    <row r="2208" spans="1:10" x14ac:dyDescent="0.3">
      <c r="A2208" s="88" t="s">
        <v>484</v>
      </c>
      <c r="B2208" s="24">
        <v>39095</v>
      </c>
      <c r="C2208" s="1">
        <v>0.83250532803409938</v>
      </c>
      <c r="D2208" s="1">
        <v>12.2</v>
      </c>
      <c r="E2208" s="1">
        <v>10.5</v>
      </c>
      <c r="F2208" s="1">
        <v>1.4999999999999999E-2</v>
      </c>
      <c r="G2208" s="1"/>
      <c r="H2208" s="126">
        <f t="shared" si="34"/>
        <v>1.2701326466613394</v>
      </c>
      <c r="I2208" s="89">
        <v>547.20000000000005</v>
      </c>
      <c r="J2208" s="1">
        <v>81.792708333333337</v>
      </c>
    </row>
    <row r="2209" spans="1:10" x14ac:dyDescent="0.3">
      <c r="A2209" s="88" t="s">
        <v>484</v>
      </c>
      <c r="B2209" s="24">
        <v>39096</v>
      </c>
      <c r="C2209" s="1">
        <v>3.3795216289384253</v>
      </c>
      <c r="D2209" s="1">
        <v>11.8</v>
      </c>
      <c r="E2209" s="1">
        <v>5</v>
      </c>
      <c r="F2209" s="1">
        <v>0.68500000000000005</v>
      </c>
      <c r="G2209" s="1"/>
      <c r="H2209" s="126">
        <f t="shared" si="34"/>
        <v>0.87259658934786222</v>
      </c>
      <c r="I2209" s="89">
        <v>614.16</v>
      </c>
      <c r="J2209" s="1">
        <v>76.560416666666654</v>
      </c>
    </row>
    <row r="2210" spans="1:10" x14ac:dyDescent="0.3">
      <c r="A2210" s="88" t="s">
        <v>484</v>
      </c>
      <c r="B2210" s="24">
        <v>39097</v>
      </c>
      <c r="C2210" s="1">
        <v>4.0383258452854101</v>
      </c>
      <c r="D2210" s="1">
        <v>7.8</v>
      </c>
      <c r="E2210" s="1">
        <v>2.4</v>
      </c>
      <c r="F2210" s="1">
        <v>0</v>
      </c>
      <c r="G2210" s="1"/>
      <c r="H2210" s="126">
        <f t="shared" si="34"/>
        <v>0.7263362808555901</v>
      </c>
      <c r="I2210" s="89">
        <v>252.71999999999997</v>
      </c>
      <c r="J2210" s="1">
        <v>81.232291666666654</v>
      </c>
    </row>
    <row r="2211" spans="1:10" x14ac:dyDescent="0.3">
      <c r="A2211" s="88" t="s">
        <v>484</v>
      </c>
      <c r="B2211" s="24">
        <v>39098</v>
      </c>
      <c r="C2211" s="1">
        <v>0.88020563331605328</v>
      </c>
      <c r="D2211" s="1">
        <v>7.1</v>
      </c>
      <c r="E2211" s="1">
        <v>2.2999999999999998</v>
      </c>
      <c r="F2211" s="1">
        <v>1.19</v>
      </c>
      <c r="G2211" s="1"/>
      <c r="H2211" s="126">
        <f t="shared" si="34"/>
        <v>0.72117182708011951</v>
      </c>
      <c r="I2211" s="89">
        <v>287.28000000000003</v>
      </c>
      <c r="J2211" s="1">
        <v>84.579166666666666</v>
      </c>
    </row>
    <row r="2212" spans="1:10" x14ac:dyDescent="0.3">
      <c r="A2212" s="88" t="s">
        <v>484</v>
      </c>
      <c r="B2212" s="24">
        <v>39099</v>
      </c>
      <c r="C2212" s="1">
        <v>2.4669157882610446</v>
      </c>
      <c r="D2212" s="1">
        <v>11.2</v>
      </c>
      <c r="E2212" s="1">
        <v>6.3</v>
      </c>
      <c r="F2212" s="1">
        <v>0.52500000000000002</v>
      </c>
      <c r="G2212" s="1"/>
      <c r="H2212" s="126">
        <f t="shared" si="34"/>
        <v>0.95502249025252561</v>
      </c>
      <c r="I2212" s="89">
        <v>353.78999999999985</v>
      </c>
      <c r="J2212" s="1">
        <v>81.556250000000006</v>
      </c>
    </row>
    <row r="2213" spans="1:10" x14ac:dyDescent="0.3">
      <c r="A2213" s="88" t="s">
        <v>484</v>
      </c>
      <c r="B2213" s="24">
        <v>39100</v>
      </c>
      <c r="C2213" s="1">
        <v>8.9100570243649563E-2</v>
      </c>
      <c r="D2213" s="1">
        <v>12.9</v>
      </c>
      <c r="E2213" s="1">
        <v>6.5</v>
      </c>
      <c r="F2213" s="1">
        <v>23.635000000000002</v>
      </c>
      <c r="G2213" s="1"/>
      <c r="H2213" s="126">
        <f t="shared" si="34"/>
        <v>0.96829408068935052</v>
      </c>
      <c r="I2213" s="89">
        <v>599.85000000000014</v>
      </c>
      <c r="J2213" s="1">
        <v>83.87604166666668</v>
      </c>
    </row>
    <row r="2214" spans="1:10" x14ac:dyDescent="0.3">
      <c r="A2214" s="88" t="s">
        <v>484</v>
      </c>
      <c r="B2214" s="24">
        <v>39101</v>
      </c>
      <c r="C2214" s="1">
        <v>1.683910777028973</v>
      </c>
      <c r="D2214" s="1">
        <v>9.6999999999999993</v>
      </c>
      <c r="E2214" s="1">
        <v>6.2</v>
      </c>
      <c r="F2214" s="1">
        <v>1.575</v>
      </c>
      <c r="G2214" s="1"/>
      <c r="H2214" s="126">
        <f t="shared" si="34"/>
        <v>0.94844700173703456</v>
      </c>
      <c r="I2214" s="89">
        <v>673.20000000000016</v>
      </c>
      <c r="J2214" s="1">
        <v>78.592708333333334</v>
      </c>
    </row>
    <row r="2215" spans="1:10" x14ac:dyDescent="0.3">
      <c r="A2215" s="88" t="s">
        <v>484</v>
      </c>
      <c r="B2215" s="24">
        <v>39102</v>
      </c>
      <c r="C2215" s="1">
        <v>1.152907378607223</v>
      </c>
      <c r="D2215" s="1">
        <v>13.9</v>
      </c>
      <c r="E2215" s="1">
        <v>6.6</v>
      </c>
      <c r="F2215" s="1">
        <v>3.6549999999999998</v>
      </c>
      <c r="G2215" s="1"/>
      <c r="H2215" s="126">
        <f t="shared" si="34"/>
        <v>0.97499060249070812</v>
      </c>
      <c r="I2215" s="89">
        <v>478.71000000000004</v>
      </c>
      <c r="J2215" s="1">
        <v>80.643749999999997</v>
      </c>
    </row>
    <row r="2216" spans="1:10" x14ac:dyDescent="0.3">
      <c r="A2216" s="88" t="s">
        <v>484</v>
      </c>
      <c r="B2216" s="24">
        <v>39103</v>
      </c>
      <c r="C2216" s="1">
        <v>1.3041083462934162</v>
      </c>
      <c r="D2216" s="1">
        <v>6.8</v>
      </c>
      <c r="E2216" s="1">
        <v>3.8</v>
      </c>
      <c r="F2216" s="1">
        <v>2.4350000000000001</v>
      </c>
      <c r="G2216" s="1"/>
      <c r="H2216" s="126">
        <f t="shared" si="34"/>
        <v>0.80214634758046521</v>
      </c>
      <c r="I2216" s="89">
        <v>534.96</v>
      </c>
      <c r="J2216" s="1">
        <v>78.643749999999997</v>
      </c>
    </row>
    <row r="2217" spans="1:10" x14ac:dyDescent="0.3">
      <c r="A2217" s="88" t="s">
        <v>484</v>
      </c>
      <c r="B2217" s="24">
        <v>39104</v>
      </c>
      <c r="C2217" s="1">
        <v>1.5093096595818214</v>
      </c>
      <c r="D2217" s="1">
        <v>4.7</v>
      </c>
      <c r="E2217" s="1">
        <v>-3.7</v>
      </c>
      <c r="F2217" s="1">
        <v>0.08</v>
      </c>
      <c r="G2217" s="1"/>
      <c r="H2217" s="126">
        <f t="shared" si="34"/>
        <v>0.46477653465671803</v>
      </c>
      <c r="I2217" s="89">
        <v>386.81999999999994</v>
      </c>
      <c r="J2217" s="1">
        <v>80.601041666666646</v>
      </c>
    </row>
    <row r="2218" spans="1:10" x14ac:dyDescent="0.3">
      <c r="A2218" s="88" t="s">
        <v>484</v>
      </c>
      <c r="B2218" s="24">
        <v>39105</v>
      </c>
      <c r="C2218" s="1">
        <v>5.8806376360808708</v>
      </c>
      <c r="D2218" s="1">
        <v>-1.1000000000000001</v>
      </c>
      <c r="E2218" s="1">
        <v>-7.3</v>
      </c>
      <c r="F2218" s="1">
        <v>0</v>
      </c>
      <c r="G2218" s="1"/>
      <c r="H2218" s="126">
        <f t="shared" si="34"/>
        <v>0.35317446732956626</v>
      </c>
      <c r="I2218" s="89">
        <v>93.870000000000019</v>
      </c>
      <c r="J2218" s="1">
        <v>88.554166666666632</v>
      </c>
    </row>
    <row r="2219" spans="1:10" x14ac:dyDescent="0.3">
      <c r="A2219" s="88" t="s">
        <v>484</v>
      </c>
      <c r="B2219" s="24">
        <v>39106</v>
      </c>
      <c r="C2219" s="1">
        <v>2.8467182189966014</v>
      </c>
      <c r="D2219" s="1">
        <v>-2.4</v>
      </c>
      <c r="E2219" s="1">
        <v>-8.1</v>
      </c>
      <c r="F2219" s="1">
        <v>0</v>
      </c>
      <c r="G2219" s="1"/>
      <c r="H2219" s="126">
        <f t="shared" si="34"/>
        <v>0.33187876416236572</v>
      </c>
      <c r="I2219" s="89">
        <v>194.49000000000004</v>
      </c>
      <c r="J2219" s="1">
        <v>92.821875000000006</v>
      </c>
    </row>
    <row r="2220" spans="1:10" x14ac:dyDescent="0.3">
      <c r="A2220" s="88" t="s">
        <v>484</v>
      </c>
      <c r="B2220" s="24">
        <v>39107</v>
      </c>
      <c r="C2220" s="1">
        <v>5.1030326594090205</v>
      </c>
      <c r="D2220" s="1">
        <v>-1.1000000000000001</v>
      </c>
      <c r="E2220" s="1">
        <v>-6.8</v>
      </c>
      <c r="F2220" s="1">
        <v>0</v>
      </c>
      <c r="G2220" s="1"/>
      <c r="H2220" s="126">
        <f t="shared" si="34"/>
        <v>0.36709226809247852</v>
      </c>
      <c r="I2220" s="89">
        <v>223.02</v>
      </c>
      <c r="J2220" s="1">
        <v>92.094791666666694</v>
      </c>
    </row>
    <row r="2221" spans="1:10" x14ac:dyDescent="0.3">
      <c r="A2221" s="88" t="s">
        <v>484</v>
      </c>
      <c r="B2221" s="24">
        <v>39108</v>
      </c>
      <c r="C2221" s="1">
        <v>1.7973115027936177</v>
      </c>
      <c r="D2221" s="1">
        <v>1.7</v>
      </c>
      <c r="E2221" s="1">
        <v>-6.9</v>
      </c>
      <c r="F2221" s="1">
        <v>0.46</v>
      </c>
      <c r="G2221" s="1"/>
      <c r="H2221" s="126">
        <f t="shared" si="34"/>
        <v>0.36427039611704592</v>
      </c>
      <c r="I2221" s="89">
        <v>389.88</v>
      </c>
      <c r="J2221" s="1">
        <v>92.030208333333292</v>
      </c>
    </row>
    <row r="2222" spans="1:10" x14ac:dyDescent="0.3">
      <c r="A2222" s="88" t="s">
        <v>484</v>
      </c>
      <c r="B2222" s="24">
        <v>39109</v>
      </c>
      <c r="C2222" s="1">
        <v>4.131026438569207</v>
      </c>
      <c r="D2222" s="1">
        <v>3</v>
      </c>
      <c r="E2222" s="1">
        <v>0.4</v>
      </c>
      <c r="F2222" s="1">
        <v>0</v>
      </c>
      <c r="G2222" s="1"/>
      <c r="H2222" s="126">
        <f t="shared" si="34"/>
        <v>0.62901732612537431</v>
      </c>
      <c r="I2222" s="89">
        <v>482.84999999999991</v>
      </c>
      <c r="J2222" s="1">
        <v>86.083333333333329</v>
      </c>
    </row>
    <row r="2223" spans="1:10" x14ac:dyDescent="0.3">
      <c r="A2223" s="88" t="s">
        <v>484</v>
      </c>
      <c r="B2223" s="24">
        <v>39110</v>
      </c>
      <c r="C2223" s="1">
        <v>0.7254046425897126</v>
      </c>
      <c r="D2223" s="1">
        <v>6.4</v>
      </c>
      <c r="E2223" s="1">
        <v>1.7</v>
      </c>
      <c r="F2223" s="1">
        <v>3.6549999999999998</v>
      </c>
      <c r="G2223" s="1"/>
      <c r="H2223" s="126">
        <f t="shared" si="34"/>
        <v>0.69086052853268343</v>
      </c>
      <c r="I2223" s="89">
        <v>602.46</v>
      </c>
      <c r="J2223" s="1">
        <v>89</v>
      </c>
    </row>
    <row r="2224" spans="1:10" x14ac:dyDescent="0.3">
      <c r="A2224" s="88" t="s">
        <v>484</v>
      </c>
      <c r="B2224" s="24">
        <v>39111</v>
      </c>
      <c r="C2224" s="1">
        <v>2.9754190426818732</v>
      </c>
      <c r="D2224" s="1">
        <v>6.9</v>
      </c>
      <c r="E2224" s="1">
        <v>3.4</v>
      </c>
      <c r="F2224" s="1">
        <v>6.665</v>
      </c>
      <c r="G2224" s="1"/>
      <c r="H2224" s="126">
        <f t="shared" si="34"/>
        <v>0.77980491618110859</v>
      </c>
      <c r="I2224" s="89">
        <v>452.87999999999994</v>
      </c>
      <c r="J2224" s="1">
        <v>84.248958333333334</v>
      </c>
    </row>
    <row r="2225" spans="1:10" x14ac:dyDescent="0.3">
      <c r="A2225" s="88" t="s">
        <v>484</v>
      </c>
      <c r="B2225" s="24">
        <v>39112</v>
      </c>
      <c r="C2225" s="1">
        <v>1.7199110074304476</v>
      </c>
      <c r="D2225" s="1">
        <v>7.7</v>
      </c>
      <c r="E2225" s="1">
        <v>3.3</v>
      </c>
      <c r="F2225" s="1">
        <v>0.215</v>
      </c>
      <c r="G2225" s="1"/>
      <c r="H2225" s="126">
        <f t="shared" si="34"/>
        <v>0.77430610767805441</v>
      </c>
      <c r="I2225" s="89">
        <v>387.36000000000018</v>
      </c>
      <c r="J2225" s="1">
        <v>84.856250000000003</v>
      </c>
    </row>
    <row r="2226" spans="1:10" x14ac:dyDescent="0.3">
      <c r="A2226" s="88" t="s">
        <v>484</v>
      </c>
      <c r="B2226" s="24">
        <v>39113</v>
      </c>
      <c r="C2226" s="1">
        <v>3.6198231668682683</v>
      </c>
      <c r="D2226" s="1">
        <v>7.7</v>
      </c>
      <c r="E2226" s="1">
        <v>5.7</v>
      </c>
      <c r="F2226" s="1">
        <v>0.04</v>
      </c>
      <c r="G2226" s="1"/>
      <c r="H2226" s="126">
        <f t="shared" si="34"/>
        <v>0.91616430843021424</v>
      </c>
      <c r="I2226" s="89">
        <v>561.51</v>
      </c>
      <c r="J2226" s="1">
        <v>79.887500000000003</v>
      </c>
    </row>
    <row r="2227" spans="1:10" x14ac:dyDescent="0.3">
      <c r="A2227" s="88" t="s">
        <v>484</v>
      </c>
      <c r="B2227" s="24">
        <v>39114</v>
      </c>
      <c r="C2227" s="1">
        <v>3.1104199066874028</v>
      </c>
      <c r="D2227" s="1">
        <v>7.8</v>
      </c>
      <c r="E2227" s="1">
        <v>5.5</v>
      </c>
      <c r="F2227" s="1">
        <v>0.68</v>
      </c>
      <c r="G2227" s="1"/>
      <c r="H2227" s="126">
        <f t="shared" si="34"/>
        <v>0.90352494025987484</v>
      </c>
      <c r="I2227" s="89">
        <v>330.92999999999995</v>
      </c>
      <c r="J2227" s="1">
        <v>86.661458333333314</v>
      </c>
    </row>
    <row r="2228" spans="1:10" x14ac:dyDescent="0.3">
      <c r="A2228" s="88" t="s">
        <v>484</v>
      </c>
      <c r="B2228" s="24">
        <v>39115</v>
      </c>
      <c r="C2228" s="1">
        <v>1.2168077875698404</v>
      </c>
      <c r="D2228" s="1">
        <v>8.6</v>
      </c>
      <c r="E2228" s="1">
        <v>6.1</v>
      </c>
      <c r="F2228" s="1">
        <v>1.1599999999999999</v>
      </c>
      <c r="G2228" s="1"/>
      <c r="H2228" s="126">
        <f t="shared" si="34"/>
        <v>0.94191143925241705</v>
      </c>
      <c r="I2228" s="89">
        <v>388.43999999999988</v>
      </c>
      <c r="J2228" s="1">
        <v>93.151041666666643</v>
      </c>
    </row>
    <row r="2229" spans="1:10" x14ac:dyDescent="0.3">
      <c r="A2229" s="88" t="s">
        <v>484</v>
      </c>
      <c r="B2229" s="24">
        <v>39116</v>
      </c>
      <c r="C2229" s="1">
        <v>1.5201097287022638</v>
      </c>
      <c r="D2229" s="1">
        <v>7.8</v>
      </c>
      <c r="E2229" s="1">
        <v>5.5</v>
      </c>
      <c r="F2229" s="1">
        <v>1.425</v>
      </c>
      <c r="G2229" s="1"/>
      <c r="H2229" s="126">
        <f t="shared" si="34"/>
        <v>0.90352494025987484</v>
      </c>
      <c r="I2229" s="89">
        <v>409.94999999999993</v>
      </c>
      <c r="J2229" s="1">
        <v>88.445833333333326</v>
      </c>
    </row>
    <row r="2230" spans="1:10" x14ac:dyDescent="0.3">
      <c r="A2230" s="88" t="s">
        <v>484</v>
      </c>
      <c r="B2230" s="24">
        <v>39117</v>
      </c>
      <c r="C2230" s="1">
        <v>3.1824203674903524</v>
      </c>
      <c r="D2230" s="1">
        <v>6.7</v>
      </c>
      <c r="E2230" s="1">
        <v>1.4</v>
      </c>
      <c r="F2230" s="1">
        <v>1.4999999999999999E-2</v>
      </c>
      <c r="G2230" s="1"/>
      <c r="H2230" s="126">
        <f t="shared" si="34"/>
        <v>0.67613129580825593</v>
      </c>
      <c r="I2230" s="89">
        <v>267.48</v>
      </c>
      <c r="J2230" s="1">
        <v>89.05</v>
      </c>
    </row>
    <row r="2231" spans="1:10" x14ac:dyDescent="0.3">
      <c r="A2231" s="88" t="s">
        <v>484</v>
      </c>
      <c r="B2231" s="24">
        <v>39118</v>
      </c>
      <c r="C2231" s="1">
        <v>2.6037166637866482</v>
      </c>
      <c r="D2231" s="1">
        <v>4.0999999999999996</v>
      </c>
      <c r="E2231" s="1">
        <v>0.1</v>
      </c>
      <c r="F2231" s="1">
        <v>0.21</v>
      </c>
      <c r="G2231" s="1"/>
      <c r="H2231" s="126">
        <f t="shared" si="34"/>
        <v>0.61546101269605991</v>
      </c>
      <c r="I2231" s="89">
        <v>251.36999999999998</v>
      </c>
      <c r="J2231" s="1">
        <v>93.837500000000048</v>
      </c>
    </row>
    <row r="2232" spans="1:10" x14ac:dyDescent="0.3">
      <c r="A2232" s="88" t="s">
        <v>484</v>
      </c>
      <c r="B2232" s="24">
        <v>39119</v>
      </c>
      <c r="C2232" s="1">
        <v>3.5532227406255399</v>
      </c>
      <c r="D2232" s="1">
        <v>3.9</v>
      </c>
      <c r="E2232" s="1">
        <v>0.1</v>
      </c>
      <c r="F2232" s="1">
        <v>0.19500000000000001</v>
      </c>
      <c r="G2232" s="1"/>
      <c r="H2232" s="126">
        <f t="shared" si="34"/>
        <v>0.61546101269605991</v>
      </c>
      <c r="I2232" s="89">
        <v>238.85999999999979</v>
      </c>
      <c r="J2232" s="1">
        <v>86.713541666666643</v>
      </c>
    </row>
    <row r="2233" spans="1:10" x14ac:dyDescent="0.3">
      <c r="A2233" s="88" t="s">
        <v>484</v>
      </c>
      <c r="B2233" s="24">
        <v>39120</v>
      </c>
      <c r="C2233" s="1">
        <v>6.1803395541731465</v>
      </c>
      <c r="D2233" s="1">
        <v>3.6</v>
      </c>
      <c r="E2233" s="1">
        <v>0</v>
      </c>
      <c r="F2233" s="1">
        <v>0</v>
      </c>
      <c r="G2233" s="1"/>
      <c r="H2233" s="126">
        <f t="shared" si="34"/>
        <v>0.61099999999999999</v>
      </c>
      <c r="I2233" s="89">
        <v>136.89000000000001</v>
      </c>
      <c r="J2233" s="1">
        <v>86.282291666666666</v>
      </c>
    </row>
    <row r="2234" spans="1:10" x14ac:dyDescent="0.3">
      <c r="A2234" s="88" t="s">
        <v>484</v>
      </c>
      <c r="B2234" s="24">
        <v>39121</v>
      </c>
      <c r="C2234" s="1">
        <v>1.8108115891941707</v>
      </c>
      <c r="D2234" s="1">
        <v>3</v>
      </c>
      <c r="E2234" s="1">
        <v>0</v>
      </c>
      <c r="F2234" s="1">
        <v>4.5750000000000002</v>
      </c>
      <c r="G2234" s="1"/>
      <c r="H2234" s="126">
        <f t="shared" si="34"/>
        <v>0.61099999999999999</v>
      </c>
      <c r="I2234" s="89">
        <v>221.57999999999998</v>
      </c>
      <c r="J2234" s="1">
        <v>92.679166666666632</v>
      </c>
    </row>
    <row r="2235" spans="1:10" x14ac:dyDescent="0.3">
      <c r="A2235" s="88" t="s">
        <v>484</v>
      </c>
      <c r="B2235" s="24">
        <v>39122</v>
      </c>
      <c r="C2235" s="1">
        <v>1.3266084902943378</v>
      </c>
      <c r="D2235" s="1">
        <v>3.8</v>
      </c>
      <c r="E2235" s="1">
        <v>0</v>
      </c>
      <c r="F2235" s="1">
        <v>2.0249999999999999</v>
      </c>
      <c r="G2235" s="1"/>
      <c r="H2235" s="126">
        <f t="shared" si="34"/>
        <v>0.61099999999999999</v>
      </c>
      <c r="I2235" s="89">
        <v>175.05000000000007</v>
      </c>
      <c r="J2235" s="1">
        <v>92.698958333333351</v>
      </c>
    </row>
    <row r="2236" spans="1:10" x14ac:dyDescent="0.3">
      <c r="A2236" s="88" t="s">
        <v>484</v>
      </c>
      <c r="B2236" s="24">
        <v>39123</v>
      </c>
      <c r="C2236" s="1">
        <v>0.84060537987443118</v>
      </c>
      <c r="D2236" s="1">
        <v>2.2999999999999998</v>
      </c>
      <c r="E2236" s="1">
        <v>0.1</v>
      </c>
      <c r="F2236" s="1">
        <v>5.0000000000000001E-3</v>
      </c>
      <c r="G2236" s="1"/>
      <c r="H2236" s="126">
        <f t="shared" si="34"/>
        <v>0.61546101269605991</v>
      </c>
      <c r="I2236" s="89">
        <v>446.22</v>
      </c>
      <c r="J2236" s="1">
        <v>94.826041666666626</v>
      </c>
    </row>
    <row r="2237" spans="1:10" x14ac:dyDescent="0.3">
      <c r="A2237" s="88" t="s">
        <v>484</v>
      </c>
      <c r="B2237" s="24">
        <v>39124</v>
      </c>
      <c r="C2237" s="1">
        <v>2.6496169575485284</v>
      </c>
      <c r="D2237" s="1">
        <v>5.5</v>
      </c>
      <c r="E2237" s="1">
        <v>0.2</v>
      </c>
      <c r="F2237" s="1">
        <v>2.2999999999999998</v>
      </c>
      <c r="G2237" s="1"/>
      <c r="H2237" s="126">
        <f t="shared" si="34"/>
        <v>0.61995079814923992</v>
      </c>
      <c r="I2237" s="89">
        <v>328.77</v>
      </c>
      <c r="J2237" s="1">
        <v>92.719791666666609</v>
      </c>
    </row>
    <row r="2238" spans="1:10" x14ac:dyDescent="0.3">
      <c r="A2238" s="88" t="s">
        <v>484</v>
      </c>
      <c r="B2238" s="24">
        <v>39125</v>
      </c>
      <c r="C2238" s="1">
        <v>2.0907133805656359</v>
      </c>
      <c r="D2238" s="1">
        <v>7.5</v>
      </c>
      <c r="E2238" s="1">
        <v>2.7</v>
      </c>
      <c r="F2238" s="1">
        <v>6.2249999999999996</v>
      </c>
      <c r="G2238" s="1"/>
      <c r="H2238" s="126">
        <f t="shared" si="34"/>
        <v>0.74202613073523482</v>
      </c>
      <c r="I2238" s="89">
        <v>156.78000000000006</v>
      </c>
      <c r="J2238" s="1">
        <v>91.915625000000006</v>
      </c>
    </row>
    <row r="2239" spans="1:10" x14ac:dyDescent="0.3">
      <c r="A2239" s="88" t="s">
        <v>484</v>
      </c>
      <c r="B2239" s="24">
        <v>39126</v>
      </c>
      <c r="C2239" s="1">
        <v>1.0296065894821727</v>
      </c>
      <c r="D2239" s="1">
        <v>7.4</v>
      </c>
      <c r="E2239" s="1">
        <v>5.5</v>
      </c>
      <c r="F2239" s="1">
        <v>5.22</v>
      </c>
      <c r="G2239" s="1"/>
      <c r="H2239" s="126">
        <f t="shared" si="34"/>
        <v>0.90352494025987484</v>
      </c>
      <c r="I2239" s="89">
        <v>387.98999999999995</v>
      </c>
      <c r="J2239" s="1">
        <v>89.63333333333334</v>
      </c>
    </row>
    <row r="2240" spans="1:10" x14ac:dyDescent="0.3">
      <c r="A2240" s="88" t="s">
        <v>484</v>
      </c>
      <c r="B2240" s="24">
        <v>39127</v>
      </c>
      <c r="C2240" s="1">
        <v>3.1815203617303149</v>
      </c>
      <c r="D2240" s="1">
        <v>8.3000000000000007</v>
      </c>
      <c r="E2240" s="1">
        <v>3</v>
      </c>
      <c r="F2240" s="1">
        <v>3.9649999999999999</v>
      </c>
      <c r="G2240" s="1"/>
      <c r="H2240" s="126">
        <f t="shared" si="34"/>
        <v>0.75801445266818901</v>
      </c>
      <c r="I2240" s="89">
        <v>193.59</v>
      </c>
      <c r="J2240" s="1">
        <v>87.401041666666671</v>
      </c>
    </row>
    <row r="2241" spans="1:10" x14ac:dyDescent="0.3">
      <c r="A2241" s="88" t="s">
        <v>484</v>
      </c>
      <c r="B2241" s="24">
        <v>39128</v>
      </c>
      <c r="C2241" s="1">
        <v>1.4229091066182824</v>
      </c>
      <c r="D2241" s="1">
        <v>6.5</v>
      </c>
      <c r="E2241" s="1">
        <v>3.1</v>
      </c>
      <c r="F2241" s="1">
        <v>0.2</v>
      </c>
      <c r="G2241" s="1"/>
      <c r="H2241" s="126">
        <f t="shared" si="34"/>
        <v>0.76341105875491733</v>
      </c>
      <c r="I2241" s="89">
        <v>305.28000000000003</v>
      </c>
      <c r="J2241" s="1">
        <v>90.170833333333292</v>
      </c>
    </row>
    <row r="2242" spans="1:10" x14ac:dyDescent="0.3">
      <c r="A2242" s="88" t="s">
        <v>484</v>
      </c>
      <c r="B2242" s="24">
        <v>39129</v>
      </c>
      <c r="C2242" s="1">
        <v>7.806649962559761</v>
      </c>
      <c r="D2242" s="1">
        <v>5.5</v>
      </c>
      <c r="E2242" s="1">
        <v>0.9</v>
      </c>
      <c r="F2242" s="1">
        <v>0</v>
      </c>
      <c r="G2242" s="1"/>
      <c r="H2242" s="126">
        <f t="shared" si="34"/>
        <v>0.65219842492921176</v>
      </c>
      <c r="I2242" s="89">
        <v>399.24</v>
      </c>
      <c r="J2242" s="1">
        <v>84.597916666666649</v>
      </c>
    </row>
    <row r="2243" spans="1:10" x14ac:dyDescent="0.3">
      <c r="A2243" s="88" t="s">
        <v>484</v>
      </c>
      <c r="B2243" s="24">
        <v>39130</v>
      </c>
      <c r="C2243" s="1">
        <v>7.9326507689649217</v>
      </c>
      <c r="D2243" s="1">
        <v>8.4</v>
      </c>
      <c r="E2243" s="1">
        <v>2.4</v>
      </c>
      <c r="F2243" s="1">
        <v>0</v>
      </c>
      <c r="G2243" s="1"/>
      <c r="H2243" s="126">
        <f t="shared" si="34"/>
        <v>0.7263362808555901</v>
      </c>
      <c r="I2243" s="89">
        <v>430.38</v>
      </c>
      <c r="J2243" s="1">
        <v>78.841666666666697</v>
      </c>
    </row>
    <row r="2244" spans="1:10" x14ac:dyDescent="0.3">
      <c r="A2244" s="88" t="s">
        <v>484</v>
      </c>
      <c r="B2244" s="24">
        <v>39131</v>
      </c>
      <c r="C2244" s="1">
        <v>8.2782529808190777</v>
      </c>
      <c r="D2244" s="1">
        <v>9.8000000000000007</v>
      </c>
      <c r="E2244" s="1">
        <v>0</v>
      </c>
      <c r="F2244" s="1">
        <v>0</v>
      </c>
      <c r="G2244" s="1"/>
      <c r="H2244" s="126">
        <f t="shared" ref="H2244:H2307" si="35">0.611*EXP((17.27*E2244)/(E2244+237.3))</f>
        <v>0.61099999999999999</v>
      </c>
      <c r="I2244" s="89">
        <v>237.95999999999998</v>
      </c>
      <c r="J2244" s="1">
        <v>80.955208333333317</v>
      </c>
    </row>
    <row r="2245" spans="1:10" x14ac:dyDescent="0.3">
      <c r="A2245" s="88" t="s">
        <v>484</v>
      </c>
      <c r="B2245" s="24">
        <v>39132</v>
      </c>
      <c r="C2245" s="1">
        <v>3.6135231265480097</v>
      </c>
      <c r="D2245" s="1">
        <v>5.7</v>
      </c>
      <c r="E2245" s="1">
        <v>0.9</v>
      </c>
      <c r="F2245" s="1">
        <v>0.03</v>
      </c>
      <c r="G2245" s="1"/>
      <c r="H2245" s="126">
        <f t="shared" si="35"/>
        <v>0.65219842492921176</v>
      </c>
      <c r="I2245" s="89">
        <v>100.62000000000003</v>
      </c>
      <c r="J2245" s="1">
        <v>80.221874999999997</v>
      </c>
    </row>
    <row r="2246" spans="1:10" x14ac:dyDescent="0.3">
      <c r="A2246" s="88" t="s">
        <v>484</v>
      </c>
      <c r="B2246" s="24">
        <v>39133</v>
      </c>
      <c r="C2246" s="1">
        <v>3.1410201025286559</v>
      </c>
      <c r="D2246" s="1">
        <v>7.3</v>
      </c>
      <c r="E2246" s="1">
        <v>0.6</v>
      </c>
      <c r="F2246" s="1">
        <v>0.02</v>
      </c>
      <c r="G2246" s="1"/>
      <c r="H2246" s="126">
        <f t="shared" si="35"/>
        <v>0.63820086880942895</v>
      </c>
      <c r="I2246" s="89">
        <v>117.35999999999999</v>
      </c>
      <c r="J2246" s="1">
        <v>81.045833333333348</v>
      </c>
    </row>
    <row r="2247" spans="1:10" x14ac:dyDescent="0.3">
      <c r="A2247" s="88" t="s">
        <v>484</v>
      </c>
      <c r="B2247" s="24">
        <v>39134</v>
      </c>
      <c r="C2247" s="1">
        <v>5.4738350325442084</v>
      </c>
      <c r="D2247" s="1">
        <v>9.9</v>
      </c>
      <c r="E2247" s="1">
        <v>0.3</v>
      </c>
      <c r="F2247" s="1">
        <v>4.03</v>
      </c>
      <c r="G2247" s="1"/>
      <c r="H2247" s="126">
        <f t="shared" si="35"/>
        <v>0.62446951587741306</v>
      </c>
      <c r="I2247" s="89">
        <v>195.84000000000003</v>
      </c>
      <c r="J2247" s="1">
        <v>80.107291666666654</v>
      </c>
    </row>
    <row r="2248" spans="1:10" x14ac:dyDescent="0.3">
      <c r="A2248" s="88" t="s">
        <v>484</v>
      </c>
      <c r="B2248" s="24">
        <v>39135</v>
      </c>
      <c r="C2248" s="1">
        <v>8.1090518979321473</v>
      </c>
      <c r="D2248" s="1">
        <v>9.9</v>
      </c>
      <c r="E2248" s="1">
        <v>0.1</v>
      </c>
      <c r="F2248" s="1">
        <v>1.6850000000000001</v>
      </c>
      <c r="G2248" s="1"/>
      <c r="H2248" s="126">
        <f t="shared" si="35"/>
        <v>0.61546101269605991</v>
      </c>
      <c r="I2248" s="89">
        <v>204.57</v>
      </c>
      <c r="J2248" s="1">
        <v>78.89791666666666</v>
      </c>
    </row>
    <row r="2249" spans="1:10" x14ac:dyDescent="0.3">
      <c r="A2249" s="88" t="s">
        <v>484</v>
      </c>
      <c r="B2249" s="24">
        <v>39136</v>
      </c>
      <c r="C2249" s="1">
        <v>3.4146218535798631</v>
      </c>
      <c r="D2249" s="1">
        <v>7.1</v>
      </c>
      <c r="E2249" s="1">
        <v>2.2000000000000002</v>
      </c>
      <c r="F2249" s="1">
        <v>0</v>
      </c>
      <c r="G2249" s="1"/>
      <c r="H2249" s="126">
        <f t="shared" si="35"/>
        <v>0.71603982725344328</v>
      </c>
      <c r="I2249" s="89">
        <v>345.51</v>
      </c>
      <c r="J2249" s="1">
        <v>83.072916666666671</v>
      </c>
    </row>
    <row r="2250" spans="1:10" x14ac:dyDescent="0.3">
      <c r="A2250" s="88" t="s">
        <v>484</v>
      </c>
      <c r="B2250" s="24">
        <v>39137</v>
      </c>
      <c r="C2250" s="1">
        <v>5.2812337998963192</v>
      </c>
      <c r="D2250" s="1">
        <v>9.9</v>
      </c>
      <c r="E2250" s="1">
        <v>0.1</v>
      </c>
      <c r="F2250" s="1">
        <v>0.59</v>
      </c>
      <c r="G2250" s="1"/>
      <c r="H2250" s="126">
        <f t="shared" si="35"/>
        <v>0.61546101269605991</v>
      </c>
      <c r="I2250" s="89">
        <v>294.03000000000003</v>
      </c>
      <c r="J2250" s="1">
        <v>78.904166666666626</v>
      </c>
    </row>
    <row r="2251" spans="1:10" x14ac:dyDescent="0.3">
      <c r="A2251" s="88" t="s">
        <v>484</v>
      </c>
      <c r="B2251" s="24">
        <v>39138</v>
      </c>
      <c r="C2251" s="1">
        <v>1.7829114106330282</v>
      </c>
      <c r="D2251" s="1">
        <v>9.9</v>
      </c>
      <c r="E2251" s="1">
        <v>0.1</v>
      </c>
      <c r="F2251" s="1">
        <v>2.61</v>
      </c>
      <c r="G2251" s="1"/>
      <c r="H2251" s="126">
        <f t="shared" si="35"/>
        <v>0.61546101269605991</v>
      </c>
      <c r="I2251" s="89">
        <v>188.37000000000009</v>
      </c>
      <c r="J2251" s="1">
        <v>82.493750000000006</v>
      </c>
    </row>
    <row r="2252" spans="1:10" x14ac:dyDescent="0.3">
      <c r="A2252" s="88" t="s">
        <v>484</v>
      </c>
      <c r="B2252" s="24">
        <v>39139</v>
      </c>
      <c r="C2252" s="1">
        <v>1.325708484534301</v>
      </c>
      <c r="D2252" s="1">
        <v>7.5</v>
      </c>
      <c r="E2252" s="1">
        <v>4.7</v>
      </c>
      <c r="F2252" s="1">
        <v>3.78</v>
      </c>
      <c r="G2252" s="1"/>
      <c r="H2252" s="126">
        <f t="shared" si="35"/>
        <v>0.85449106840682587</v>
      </c>
      <c r="I2252" s="89">
        <v>425.25</v>
      </c>
      <c r="J2252" s="1">
        <v>87.057291666666671</v>
      </c>
    </row>
    <row r="2253" spans="1:10" x14ac:dyDescent="0.3">
      <c r="A2253" s="88" t="s">
        <v>484</v>
      </c>
      <c r="B2253" s="24">
        <v>39140</v>
      </c>
      <c r="C2253" s="1">
        <v>4.1301264328091705</v>
      </c>
      <c r="D2253" s="1">
        <v>6.5</v>
      </c>
      <c r="E2253" s="1">
        <v>3.1</v>
      </c>
      <c r="F2253" s="1">
        <v>7.3049999999999997</v>
      </c>
      <c r="G2253" s="1"/>
      <c r="H2253" s="126">
        <f t="shared" si="35"/>
        <v>0.76341105875491733</v>
      </c>
      <c r="I2253" s="89">
        <v>381.24</v>
      </c>
      <c r="J2253" s="1">
        <v>80.287499999999994</v>
      </c>
    </row>
    <row r="2254" spans="1:10" x14ac:dyDescent="0.3">
      <c r="A2254" s="88" t="s">
        <v>484</v>
      </c>
      <c r="B2254" s="24">
        <v>39141</v>
      </c>
      <c r="C2254" s="1">
        <v>5.4063346005414434</v>
      </c>
      <c r="D2254" s="1">
        <v>9.9</v>
      </c>
      <c r="E2254" s="1">
        <v>0</v>
      </c>
      <c r="F2254" s="1">
        <v>6.0049999999999999</v>
      </c>
      <c r="G2254" s="1"/>
      <c r="H2254" s="126">
        <f t="shared" si="35"/>
        <v>0.61099999999999999</v>
      </c>
      <c r="I2254" s="89">
        <v>403.46999999999991</v>
      </c>
      <c r="J2254" s="1">
        <v>82.007291666666674</v>
      </c>
    </row>
    <row r="2255" spans="1:10" x14ac:dyDescent="0.3">
      <c r="A2255" s="88" t="s">
        <v>484</v>
      </c>
      <c r="B2255" s="24">
        <v>39142</v>
      </c>
      <c r="C2255" s="1">
        <v>5.5503355221473418</v>
      </c>
      <c r="D2255" s="1">
        <v>9.6999999999999993</v>
      </c>
      <c r="E2255" s="1">
        <v>6.5</v>
      </c>
      <c r="F2255" s="1">
        <v>3.145</v>
      </c>
      <c r="G2255" s="1"/>
      <c r="H2255" s="126">
        <f t="shared" si="35"/>
        <v>0.96829408068935052</v>
      </c>
      <c r="I2255" s="89">
        <v>400.95000000000005</v>
      </c>
      <c r="J2255" s="1">
        <v>78.210416666666688</v>
      </c>
    </row>
    <row r="2256" spans="1:10" x14ac:dyDescent="0.3">
      <c r="A2256" s="88" t="s">
        <v>484</v>
      </c>
      <c r="B2256" s="24">
        <v>39143</v>
      </c>
      <c r="C2256" s="1">
        <v>3.2031204999711997</v>
      </c>
      <c r="D2256" s="1">
        <v>7.3</v>
      </c>
      <c r="E2256" s="1">
        <v>3</v>
      </c>
      <c r="F2256" s="1">
        <v>3.13</v>
      </c>
      <c r="G2256" s="1"/>
      <c r="H2256" s="126">
        <f t="shared" si="35"/>
        <v>0.75801445266818901</v>
      </c>
      <c r="I2256" s="89">
        <v>516.96</v>
      </c>
      <c r="J2256" s="1">
        <v>80.587500000000006</v>
      </c>
    </row>
    <row r="2257" spans="1:10" x14ac:dyDescent="0.3">
      <c r="A2257" s="88" t="s">
        <v>484</v>
      </c>
      <c r="B2257" s="24">
        <v>39144</v>
      </c>
      <c r="C2257" s="1">
        <v>1.0647068141236105</v>
      </c>
      <c r="D2257" s="1">
        <v>4.2</v>
      </c>
      <c r="E2257" s="1">
        <v>1.6</v>
      </c>
      <c r="F2257" s="1">
        <v>5.58</v>
      </c>
      <c r="G2257" s="1"/>
      <c r="H2257" s="126">
        <f t="shared" si="35"/>
        <v>0.68591959793818613</v>
      </c>
      <c r="I2257" s="89">
        <v>259.92</v>
      </c>
      <c r="J2257" s="1">
        <v>89.559375000000003</v>
      </c>
    </row>
    <row r="2258" spans="1:10" x14ac:dyDescent="0.3">
      <c r="A2258" s="88" t="s">
        <v>484</v>
      </c>
      <c r="B2258" s="24">
        <v>39145</v>
      </c>
      <c r="C2258" s="1">
        <v>9.1341584586141344</v>
      </c>
      <c r="D2258" s="1">
        <v>9.9</v>
      </c>
      <c r="E2258" s="1">
        <v>0.1</v>
      </c>
      <c r="F2258" s="1">
        <v>5.0000000000000001E-3</v>
      </c>
      <c r="G2258" s="1"/>
      <c r="H2258" s="126">
        <f t="shared" si="35"/>
        <v>0.61546101269605991</v>
      </c>
      <c r="I2258" s="89">
        <v>191.25</v>
      </c>
      <c r="J2258" s="1">
        <v>83.590625000000003</v>
      </c>
    </row>
    <row r="2259" spans="1:10" x14ac:dyDescent="0.3">
      <c r="A2259" s="88" t="s">
        <v>484</v>
      </c>
      <c r="B2259" s="24">
        <v>39146</v>
      </c>
      <c r="C2259" s="1">
        <v>4.8312309198778873</v>
      </c>
      <c r="D2259" s="1">
        <v>9.9</v>
      </c>
      <c r="E2259" s="1">
        <v>0</v>
      </c>
      <c r="F2259" s="1">
        <v>1.7450000000000001</v>
      </c>
      <c r="G2259" s="1"/>
      <c r="H2259" s="126">
        <f t="shared" si="35"/>
        <v>0.61099999999999999</v>
      </c>
      <c r="I2259" s="89">
        <v>293.57999999999993</v>
      </c>
      <c r="J2259" s="1">
        <v>73.856250000000003</v>
      </c>
    </row>
    <row r="2260" spans="1:10" x14ac:dyDescent="0.3">
      <c r="A2260" s="88" t="s">
        <v>484</v>
      </c>
      <c r="B2260" s="24">
        <v>39147</v>
      </c>
      <c r="C2260" s="1">
        <v>5.8041371464777374</v>
      </c>
      <c r="D2260" s="1">
        <v>9.9</v>
      </c>
      <c r="E2260" s="1">
        <v>0</v>
      </c>
      <c r="F2260" s="1">
        <v>0</v>
      </c>
      <c r="G2260" s="1"/>
      <c r="H2260" s="126">
        <f t="shared" si="35"/>
        <v>0.61099999999999999</v>
      </c>
      <c r="I2260" s="89">
        <v>252.90000000000009</v>
      </c>
      <c r="J2260" s="1">
        <v>63.632291666666674</v>
      </c>
    </row>
    <row r="2261" spans="1:10" x14ac:dyDescent="0.3">
      <c r="A2261" s="88" t="s">
        <v>484</v>
      </c>
      <c r="B2261" s="24">
        <v>39148</v>
      </c>
      <c r="C2261" s="1">
        <v>4.3515278497782388</v>
      </c>
      <c r="D2261" s="1">
        <v>9.9</v>
      </c>
      <c r="E2261" s="1">
        <v>0.1</v>
      </c>
      <c r="F2261" s="1">
        <v>1.48</v>
      </c>
      <c r="G2261" s="1"/>
      <c r="H2261" s="126">
        <f t="shared" si="35"/>
        <v>0.61546101269605991</v>
      </c>
      <c r="I2261" s="89">
        <v>211.59000000000003</v>
      </c>
      <c r="J2261" s="1">
        <v>74.137500000000003</v>
      </c>
    </row>
    <row r="2262" spans="1:10" x14ac:dyDescent="0.3">
      <c r="A2262" s="88" t="s">
        <v>484</v>
      </c>
      <c r="B2262" s="24">
        <v>39149</v>
      </c>
      <c r="C2262" s="1">
        <v>3.115819941247624</v>
      </c>
      <c r="D2262" s="1">
        <v>8.8000000000000007</v>
      </c>
      <c r="E2262" s="1">
        <v>3.3</v>
      </c>
      <c r="F2262" s="1">
        <v>0.3</v>
      </c>
      <c r="G2262" s="1"/>
      <c r="H2262" s="126">
        <f t="shared" si="35"/>
        <v>0.77430610767805441</v>
      </c>
      <c r="I2262" s="89">
        <v>229.1399999999999</v>
      </c>
      <c r="J2262" s="1">
        <v>83.855208333333323</v>
      </c>
    </row>
    <row r="2263" spans="1:10" x14ac:dyDescent="0.3">
      <c r="A2263" s="88" t="s">
        <v>484</v>
      </c>
      <c r="B2263" s="24">
        <v>39150</v>
      </c>
      <c r="C2263" s="1">
        <v>6.7968434997983991</v>
      </c>
      <c r="D2263" s="1">
        <v>9.9</v>
      </c>
      <c r="E2263" s="1">
        <v>0.1</v>
      </c>
      <c r="F2263" s="1">
        <v>3.5950000000000002</v>
      </c>
      <c r="G2263" s="1"/>
      <c r="H2263" s="126">
        <f t="shared" si="35"/>
        <v>0.61546101269605991</v>
      </c>
      <c r="I2263" s="89">
        <v>244.26000000000005</v>
      </c>
      <c r="J2263" s="1">
        <v>80.814583333333346</v>
      </c>
    </row>
    <row r="2264" spans="1:10" x14ac:dyDescent="0.3">
      <c r="A2264" s="88" t="s">
        <v>484</v>
      </c>
      <c r="B2264" s="24">
        <v>39151</v>
      </c>
      <c r="C2264" s="1">
        <v>10.26096567018029</v>
      </c>
      <c r="D2264" s="1">
        <v>9.9</v>
      </c>
      <c r="E2264" s="1">
        <v>0</v>
      </c>
      <c r="F2264" s="1">
        <v>0</v>
      </c>
      <c r="G2264" s="1"/>
      <c r="H2264" s="126">
        <f t="shared" si="35"/>
        <v>0.61099999999999999</v>
      </c>
      <c r="I2264" s="89">
        <v>290.07000000000005</v>
      </c>
      <c r="J2264" s="1">
        <v>78.61770833333334</v>
      </c>
    </row>
    <row r="2265" spans="1:10" x14ac:dyDescent="0.3">
      <c r="A2265" s="88" t="s">
        <v>484</v>
      </c>
      <c r="B2265" s="24">
        <v>39152</v>
      </c>
      <c r="C2265" s="1">
        <v>13.712487759921665</v>
      </c>
      <c r="D2265" s="1">
        <v>9.9</v>
      </c>
      <c r="E2265" s="1">
        <v>0.2</v>
      </c>
      <c r="F2265" s="1">
        <v>0.06</v>
      </c>
      <c r="G2265" s="1"/>
      <c r="H2265" s="126">
        <f t="shared" si="35"/>
        <v>0.61995079814923992</v>
      </c>
      <c r="I2265" s="89">
        <v>256.68</v>
      </c>
      <c r="J2265" s="1">
        <v>72.0625</v>
      </c>
    </row>
    <row r="2266" spans="1:10" x14ac:dyDescent="0.3">
      <c r="A2266" s="88" t="s">
        <v>484</v>
      </c>
      <c r="B2266" s="24">
        <v>39153</v>
      </c>
      <c r="C2266" s="1">
        <v>14.436092390991304</v>
      </c>
      <c r="D2266" s="1">
        <v>9.6999999999999993</v>
      </c>
      <c r="E2266" s="1">
        <v>0.1</v>
      </c>
      <c r="F2266" s="1">
        <v>0.01</v>
      </c>
      <c r="G2266" s="1"/>
      <c r="H2266" s="126">
        <f t="shared" si="35"/>
        <v>0.61546101269605991</v>
      </c>
      <c r="I2266" s="89">
        <v>120.96000000000001</v>
      </c>
      <c r="J2266" s="1">
        <v>70.521874999999994</v>
      </c>
    </row>
    <row r="2267" spans="1:10" x14ac:dyDescent="0.3">
      <c r="A2267" s="88" t="s">
        <v>484</v>
      </c>
      <c r="B2267" s="24">
        <v>39154</v>
      </c>
      <c r="C2267" s="1">
        <v>12.109577501296009</v>
      </c>
      <c r="D2267" s="1">
        <v>9.8000000000000007</v>
      </c>
      <c r="E2267" s="1">
        <v>0.1</v>
      </c>
      <c r="F2267" s="1">
        <v>5.0000000000000001E-3</v>
      </c>
      <c r="G2267" s="1"/>
      <c r="H2267" s="126">
        <f t="shared" si="35"/>
        <v>0.61546101269605991</v>
      </c>
      <c r="I2267" s="89">
        <v>162.09</v>
      </c>
      <c r="J2267" s="1">
        <v>78.198958333333337</v>
      </c>
    </row>
    <row r="2268" spans="1:10" x14ac:dyDescent="0.3">
      <c r="A2268" s="88" t="s">
        <v>484</v>
      </c>
      <c r="B2268" s="24">
        <v>39155</v>
      </c>
      <c r="C2268" s="1">
        <v>11.8188756408041</v>
      </c>
      <c r="D2268" s="1">
        <v>9.9</v>
      </c>
      <c r="E2268" s="1">
        <v>0.1</v>
      </c>
      <c r="F2268" s="1">
        <v>0</v>
      </c>
      <c r="G2268" s="1"/>
      <c r="H2268" s="126">
        <f t="shared" si="35"/>
        <v>0.61546101269605991</v>
      </c>
      <c r="I2268" s="89">
        <v>212.93999999999997</v>
      </c>
      <c r="J2268" s="1">
        <v>73.856250000000003</v>
      </c>
    </row>
    <row r="2269" spans="1:10" x14ac:dyDescent="0.3">
      <c r="A2269" s="88" t="s">
        <v>484</v>
      </c>
      <c r="B2269" s="24">
        <v>39156</v>
      </c>
      <c r="C2269" s="1">
        <v>14.609793502678418</v>
      </c>
      <c r="D2269" s="1">
        <v>9.9</v>
      </c>
      <c r="E2269" s="1">
        <v>0</v>
      </c>
      <c r="F2269" s="1">
        <v>0</v>
      </c>
      <c r="G2269" s="1"/>
      <c r="H2269" s="126">
        <f t="shared" si="35"/>
        <v>0.61099999999999999</v>
      </c>
      <c r="I2269" s="89">
        <v>157.68</v>
      </c>
      <c r="J2269" s="1">
        <v>75.884375000000006</v>
      </c>
    </row>
    <row r="2270" spans="1:10" x14ac:dyDescent="0.3">
      <c r="A2270" s="88" t="s">
        <v>484</v>
      </c>
      <c r="B2270" s="24">
        <v>39157</v>
      </c>
      <c r="C2270" s="1">
        <v>6.0669388284085022</v>
      </c>
      <c r="D2270" s="1">
        <v>9.9</v>
      </c>
      <c r="E2270" s="1">
        <v>0</v>
      </c>
      <c r="F2270" s="1">
        <v>0</v>
      </c>
      <c r="G2270" s="1"/>
      <c r="H2270" s="126">
        <f t="shared" si="35"/>
        <v>0.61099999999999999</v>
      </c>
      <c r="I2270" s="89">
        <v>295.19999999999993</v>
      </c>
      <c r="J2270" s="1">
        <v>80.378124999999997</v>
      </c>
    </row>
    <row r="2271" spans="1:10" x14ac:dyDescent="0.3">
      <c r="A2271" s="88" t="s">
        <v>484</v>
      </c>
      <c r="B2271" s="24">
        <v>39158</v>
      </c>
      <c r="C2271" s="1">
        <v>2.7018172916306664</v>
      </c>
      <c r="D2271" s="1">
        <v>9.9</v>
      </c>
      <c r="E2271" s="1">
        <v>6.9</v>
      </c>
      <c r="F2271" s="1">
        <v>1.835</v>
      </c>
      <c r="G2271" s="1"/>
      <c r="H2271" s="126">
        <f t="shared" si="35"/>
        <v>0.99532561227749294</v>
      </c>
      <c r="I2271" s="89">
        <v>514.97999999999979</v>
      </c>
      <c r="J2271" s="1">
        <v>84.025000000000006</v>
      </c>
    </row>
    <row r="2272" spans="1:10" x14ac:dyDescent="0.3">
      <c r="A2272" s="88" t="s">
        <v>484</v>
      </c>
      <c r="B2272" s="24">
        <v>39159</v>
      </c>
      <c r="C2272" s="1">
        <v>3.3210212545360291</v>
      </c>
      <c r="D2272" s="1">
        <v>9.9</v>
      </c>
      <c r="E2272" s="1">
        <v>0</v>
      </c>
      <c r="F2272" s="1">
        <v>4.4450000000000003</v>
      </c>
      <c r="G2272" s="1"/>
      <c r="H2272" s="126">
        <f t="shared" si="35"/>
        <v>0.61099999999999999</v>
      </c>
      <c r="I2272" s="89">
        <v>560.70000000000005</v>
      </c>
      <c r="J2272" s="1">
        <v>79.932291666666671</v>
      </c>
    </row>
    <row r="2273" spans="1:10" x14ac:dyDescent="0.3">
      <c r="A2273" s="88" t="s">
        <v>484</v>
      </c>
      <c r="B2273" s="24">
        <v>39160</v>
      </c>
      <c r="C2273" s="1">
        <v>12.114077530096194</v>
      </c>
      <c r="D2273" s="1">
        <v>6.6</v>
      </c>
      <c r="E2273" s="1">
        <v>0</v>
      </c>
      <c r="F2273" s="1">
        <v>0.01</v>
      </c>
      <c r="G2273" s="1"/>
      <c r="H2273" s="126">
        <f t="shared" si="35"/>
        <v>0.61099999999999999</v>
      </c>
      <c r="I2273" s="89">
        <v>303.92999999999995</v>
      </c>
      <c r="J2273" s="1">
        <v>75.657291666666666</v>
      </c>
    </row>
    <row r="2274" spans="1:10" x14ac:dyDescent="0.3">
      <c r="A2274" s="88" t="s">
        <v>484</v>
      </c>
      <c r="B2274" s="24">
        <v>39161</v>
      </c>
      <c r="C2274" s="1">
        <v>12.852982259086458</v>
      </c>
      <c r="D2274" s="1">
        <v>8.4</v>
      </c>
      <c r="E2274" s="1">
        <v>0</v>
      </c>
      <c r="F2274" s="1">
        <v>0.05</v>
      </c>
      <c r="G2274" s="1"/>
      <c r="H2274" s="126">
        <f t="shared" si="35"/>
        <v>0.61099999999999999</v>
      </c>
      <c r="I2274" s="89">
        <v>287.45999999999998</v>
      </c>
      <c r="J2274" s="1">
        <v>82.03125</v>
      </c>
    </row>
    <row r="2275" spans="1:10" x14ac:dyDescent="0.3">
      <c r="A2275" s="88" t="s">
        <v>484</v>
      </c>
      <c r="B2275" s="24">
        <v>39162</v>
      </c>
      <c r="C2275" s="1">
        <v>3.7278238580726919</v>
      </c>
      <c r="D2275" s="1">
        <v>4.7</v>
      </c>
      <c r="E2275" s="1">
        <v>0</v>
      </c>
      <c r="F2275" s="1">
        <v>3.11</v>
      </c>
      <c r="G2275" s="1"/>
      <c r="H2275" s="126">
        <f t="shared" si="35"/>
        <v>0.61099999999999999</v>
      </c>
      <c r="I2275" s="89">
        <v>381.78000000000003</v>
      </c>
      <c r="J2275" s="1">
        <v>87.224999999999994</v>
      </c>
    </row>
    <row r="2276" spans="1:10" x14ac:dyDescent="0.3">
      <c r="A2276" s="88" t="s">
        <v>484</v>
      </c>
      <c r="B2276" s="24">
        <v>39163</v>
      </c>
      <c r="C2276" s="1">
        <v>1.411209031737803</v>
      </c>
      <c r="D2276" s="1">
        <v>4.5999999999999996</v>
      </c>
      <c r="E2276" s="1">
        <v>0.1</v>
      </c>
      <c r="F2276" s="1">
        <v>26.98</v>
      </c>
      <c r="G2276" s="1"/>
      <c r="H2276" s="126">
        <f t="shared" si="35"/>
        <v>0.61546101269605991</v>
      </c>
      <c r="I2276" s="89">
        <v>352.35</v>
      </c>
      <c r="J2276" s="1">
        <v>96.993750000000006</v>
      </c>
    </row>
    <row r="2277" spans="1:10" x14ac:dyDescent="0.3">
      <c r="A2277" s="88" t="s">
        <v>484</v>
      </c>
      <c r="B2277" s="24">
        <v>39164</v>
      </c>
      <c r="C2277" s="1">
        <v>11.806862932343819</v>
      </c>
      <c r="D2277" s="1">
        <v>9.9</v>
      </c>
      <c r="E2277" s="1">
        <v>0</v>
      </c>
      <c r="F2277" s="1">
        <v>0.97499999999999998</v>
      </c>
      <c r="G2277" s="1"/>
      <c r="H2277" s="126">
        <f t="shared" si="35"/>
        <v>0.61099999999999999</v>
      </c>
      <c r="I2277" s="89">
        <v>532.58778947368432</v>
      </c>
      <c r="J2277" s="1">
        <v>80.534736842105247</v>
      </c>
    </row>
    <row r="2278" spans="1:10" x14ac:dyDescent="0.3">
      <c r="A2278" s="88" t="s">
        <v>484</v>
      </c>
      <c r="B2278" s="24">
        <v>39165</v>
      </c>
      <c r="C2278" s="1">
        <v>12.150077760497668</v>
      </c>
      <c r="D2278" s="1">
        <v>9.8000000000000007</v>
      </c>
      <c r="E2278" s="1">
        <v>0.1</v>
      </c>
      <c r="F2278" s="1">
        <v>1.675</v>
      </c>
      <c r="G2278" s="1"/>
      <c r="H2278" s="126">
        <f t="shared" si="35"/>
        <v>0.61546101269605991</v>
      </c>
      <c r="I2278" s="89">
        <v>467.28000000000014</v>
      </c>
      <c r="J2278" s="1">
        <v>72.3072916666667</v>
      </c>
    </row>
    <row r="2279" spans="1:10" x14ac:dyDescent="0.3">
      <c r="A2279" s="88" t="s">
        <v>484</v>
      </c>
      <c r="B2279" s="24">
        <v>39166</v>
      </c>
      <c r="C2279" s="1">
        <v>16.438605207073326</v>
      </c>
      <c r="D2279" s="1">
        <v>9.9</v>
      </c>
      <c r="E2279" s="1">
        <v>0</v>
      </c>
      <c r="F2279" s="1">
        <v>0</v>
      </c>
      <c r="G2279" s="1"/>
      <c r="H2279" s="126">
        <f t="shared" si="35"/>
        <v>0.61099999999999999</v>
      </c>
      <c r="I2279" s="89">
        <v>452.97</v>
      </c>
      <c r="J2279" s="1">
        <v>61.515625</v>
      </c>
    </row>
    <row r="2280" spans="1:10" x14ac:dyDescent="0.3">
      <c r="A2280" s="88" t="s">
        <v>484</v>
      </c>
      <c r="B2280" s="24">
        <v>39167</v>
      </c>
      <c r="C2280" s="1">
        <v>16.850807845170209</v>
      </c>
      <c r="D2280" s="1">
        <v>9.8000000000000007</v>
      </c>
      <c r="E2280" s="1">
        <v>0</v>
      </c>
      <c r="F2280" s="1">
        <v>0</v>
      </c>
      <c r="G2280" s="1"/>
      <c r="H2280" s="126">
        <f t="shared" si="35"/>
        <v>0.61099999999999999</v>
      </c>
      <c r="I2280" s="89">
        <v>418.95000000000016</v>
      </c>
      <c r="J2280" s="1">
        <v>62.040624999999999</v>
      </c>
    </row>
    <row r="2281" spans="1:10" x14ac:dyDescent="0.3">
      <c r="A2281" s="88" t="s">
        <v>484</v>
      </c>
      <c r="B2281" s="24">
        <v>39168</v>
      </c>
      <c r="C2281" s="1">
        <v>16.807607568688439</v>
      </c>
      <c r="D2281" s="1">
        <v>9.9</v>
      </c>
      <c r="E2281" s="1">
        <v>0.1</v>
      </c>
      <c r="F2281" s="1">
        <v>0</v>
      </c>
      <c r="G2281" s="1"/>
      <c r="H2281" s="126">
        <f t="shared" si="35"/>
        <v>0.61546101269605991</v>
      </c>
      <c r="I2281" s="89">
        <v>330.93000000000006</v>
      </c>
      <c r="J2281" s="1">
        <v>64.620833333333337</v>
      </c>
    </row>
    <row r="2282" spans="1:10" x14ac:dyDescent="0.3">
      <c r="A2282" s="88" t="s">
        <v>484</v>
      </c>
      <c r="B2282" s="24">
        <v>39169</v>
      </c>
      <c r="C2282" s="1">
        <v>15.634000057600367</v>
      </c>
      <c r="D2282" s="1">
        <v>9.6999999999999993</v>
      </c>
      <c r="E2282" s="1">
        <v>0</v>
      </c>
      <c r="F2282" s="1">
        <v>0</v>
      </c>
      <c r="G2282" s="1"/>
      <c r="H2282" s="126">
        <f t="shared" si="35"/>
        <v>0.61099999999999999</v>
      </c>
      <c r="I2282" s="89">
        <v>247.77</v>
      </c>
      <c r="J2282" s="1">
        <v>69.394791666666649</v>
      </c>
    </row>
    <row r="2283" spans="1:10" x14ac:dyDescent="0.3">
      <c r="A2283" s="88" t="s">
        <v>484</v>
      </c>
      <c r="B2283" s="24">
        <v>39170</v>
      </c>
      <c r="C2283" s="1">
        <v>15.925601923852312</v>
      </c>
      <c r="D2283" s="1">
        <v>9.8000000000000007</v>
      </c>
      <c r="E2283" s="1">
        <v>0.1</v>
      </c>
      <c r="F2283" s="1">
        <v>0</v>
      </c>
      <c r="G2283" s="1"/>
      <c r="H2283" s="126">
        <f t="shared" si="35"/>
        <v>0.61546101269605991</v>
      </c>
      <c r="I2283" s="89">
        <v>273.69</v>
      </c>
      <c r="J2283" s="1">
        <v>70.645833333333329</v>
      </c>
    </row>
    <row r="2284" spans="1:10" x14ac:dyDescent="0.3">
      <c r="A2284" s="88" t="s">
        <v>484</v>
      </c>
      <c r="B2284" s="24">
        <v>39171</v>
      </c>
      <c r="C2284" s="1">
        <v>15.159697022060943</v>
      </c>
      <c r="D2284" s="1">
        <v>9.9</v>
      </c>
      <c r="E2284" s="1">
        <v>0.1</v>
      </c>
      <c r="F2284" s="1">
        <v>0</v>
      </c>
      <c r="G2284" s="1"/>
      <c r="H2284" s="126">
        <f t="shared" si="35"/>
        <v>0.61546101269605991</v>
      </c>
      <c r="I2284" s="89">
        <v>233.82</v>
      </c>
      <c r="J2284" s="1">
        <v>79.523958333333326</v>
      </c>
    </row>
    <row r="2285" spans="1:10" x14ac:dyDescent="0.3">
      <c r="A2285" s="88" t="s">
        <v>484</v>
      </c>
      <c r="B2285" s="24">
        <v>39172</v>
      </c>
      <c r="C2285" s="1">
        <v>15.174997119981567</v>
      </c>
      <c r="D2285" s="1">
        <v>9.9</v>
      </c>
      <c r="E2285" s="1">
        <v>0.4</v>
      </c>
      <c r="F2285" s="1">
        <v>0</v>
      </c>
      <c r="G2285" s="1"/>
      <c r="H2285" s="126">
        <f t="shared" si="35"/>
        <v>0.62901732612537431</v>
      </c>
      <c r="I2285" s="89">
        <v>330.93000000000012</v>
      </c>
      <c r="J2285" s="1">
        <v>74.710416666666674</v>
      </c>
    </row>
    <row r="2286" spans="1:10" x14ac:dyDescent="0.3">
      <c r="A2286" s="88" t="s">
        <v>484</v>
      </c>
      <c r="B2286" s="24">
        <v>39173</v>
      </c>
      <c r="C2286" s="1">
        <v>17.563612407119408</v>
      </c>
      <c r="D2286" s="1">
        <v>16.899999999999999</v>
      </c>
      <c r="E2286" s="1">
        <v>3.5</v>
      </c>
      <c r="F2286" s="1">
        <v>0</v>
      </c>
      <c r="G2286" s="1"/>
      <c r="H2286" s="126">
        <f t="shared" si="35"/>
        <v>0.78533815916549388</v>
      </c>
      <c r="I2286" s="89">
        <v>359.7299999999999</v>
      </c>
      <c r="J2286" s="1">
        <v>65.830208333333346</v>
      </c>
    </row>
    <row r="2287" spans="1:10" x14ac:dyDescent="0.3">
      <c r="A2287" s="88" t="s">
        <v>484</v>
      </c>
      <c r="B2287" s="24">
        <v>39174</v>
      </c>
      <c r="C2287" s="1">
        <v>16.674406716202984</v>
      </c>
      <c r="D2287" s="1">
        <v>17.2</v>
      </c>
      <c r="E2287" s="1">
        <v>2.6</v>
      </c>
      <c r="F2287" s="1">
        <v>0</v>
      </c>
      <c r="G2287" s="1"/>
      <c r="H2287" s="126">
        <f t="shared" si="35"/>
        <v>0.73676325541308207</v>
      </c>
      <c r="I2287" s="89">
        <v>151.47</v>
      </c>
      <c r="J2287" s="1">
        <v>70.166666666666671</v>
      </c>
    </row>
    <row r="2288" spans="1:10" x14ac:dyDescent="0.3">
      <c r="A2288" s="88" t="s">
        <v>484</v>
      </c>
      <c r="B2288" s="24">
        <v>39175</v>
      </c>
      <c r="C2288" s="1">
        <v>4.7691305224353435</v>
      </c>
      <c r="D2288" s="1">
        <v>7.5</v>
      </c>
      <c r="E2288" s="1">
        <v>2.2999999999999998</v>
      </c>
      <c r="F2288" s="1">
        <v>2.79</v>
      </c>
      <c r="G2288" s="1"/>
      <c r="H2288" s="126">
        <f t="shared" si="35"/>
        <v>0.72117182708011951</v>
      </c>
      <c r="I2288" s="89">
        <v>301.59000000000003</v>
      </c>
      <c r="J2288" s="1">
        <v>88.058333333333351</v>
      </c>
    </row>
    <row r="2289" spans="1:10" x14ac:dyDescent="0.3">
      <c r="A2289" s="88" t="s">
        <v>484</v>
      </c>
      <c r="B2289" s="24">
        <v>39176</v>
      </c>
      <c r="C2289" s="1">
        <v>20.193429237947122</v>
      </c>
      <c r="D2289" s="1">
        <v>9.4</v>
      </c>
      <c r="E2289" s="1">
        <v>-1</v>
      </c>
      <c r="F2289" s="1">
        <v>0</v>
      </c>
      <c r="G2289" s="1"/>
      <c r="H2289" s="126">
        <f t="shared" si="35"/>
        <v>0.5679377955282604</v>
      </c>
      <c r="I2289" s="89">
        <v>186.57</v>
      </c>
      <c r="J2289" s="1">
        <v>76.847916666666691</v>
      </c>
    </row>
    <row r="2290" spans="1:10" x14ac:dyDescent="0.3">
      <c r="A2290" s="88" t="s">
        <v>484</v>
      </c>
      <c r="B2290" s="24">
        <v>39177</v>
      </c>
      <c r="C2290" s="1">
        <v>8.7714561373192783</v>
      </c>
      <c r="D2290" s="1">
        <v>14.4</v>
      </c>
      <c r="E2290" s="1">
        <v>1.2</v>
      </c>
      <c r="F2290" s="1">
        <v>0</v>
      </c>
      <c r="G2290" s="1"/>
      <c r="H2290" s="126">
        <f t="shared" si="35"/>
        <v>0.66646661006207619</v>
      </c>
      <c r="I2290" s="89">
        <v>370.8</v>
      </c>
      <c r="J2290" s="1">
        <v>82.403125000000003</v>
      </c>
    </row>
    <row r="2291" spans="1:10" x14ac:dyDescent="0.3">
      <c r="A2291" s="88" t="s">
        <v>484</v>
      </c>
      <c r="B2291" s="24">
        <v>39178</v>
      </c>
      <c r="C2291" s="1">
        <v>7.7589496572778058</v>
      </c>
      <c r="D2291" s="1">
        <v>11.3</v>
      </c>
      <c r="E2291" s="1">
        <v>5.3</v>
      </c>
      <c r="F2291" s="1">
        <v>0</v>
      </c>
      <c r="G2291" s="1"/>
      <c r="H2291" s="126">
        <f t="shared" si="35"/>
        <v>0.89103953465215091</v>
      </c>
      <c r="I2291" s="89">
        <v>257.66999999999996</v>
      </c>
      <c r="J2291" s="1">
        <v>85.629166666666663</v>
      </c>
    </row>
    <row r="2292" spans="1:10" x14ac:dyDescent="0.3">
      <c r="A2292" s="88" t="s">
        <v>484</v>
      </c>
      <c r="B2292" s="24">
        <v>39179</v>
      </c>
      <c r="C2292" s="1">
        <v>16.356704682909971</v>
      </c>
      <c r="D2292" s="1">
        <v>12.3</v>
      </c>
      <c r="E2292" s="1">
        <v>2</v>
      </c>
      <c r="F2292" s="1">
        <v>5.0000000000000001E-3</v>
      </c>
      <c r="G2292" s="1"/>
      <c r="H2292" s="126">
        <f t="shared" si="35"/>
        <v>0.70587248896856769</v>
      </c>
      <c r="I2292" s="89">
        <v>218.06999999999991</v>
      </c>
      <c r="J2292" s="1">
        <v>80.28125</v>
      </c>
    </row>
    <row r="2293" spans="1:10" x14ac:dyDescent="0.3">
      <c r="A2293" s="88" t="s">
        <v>484</v>
      </c>
      <c r="B2293" s="24">
        <v>39180</v>
      </c>
      <c r="C2293" s="1">
        <v>10.515667300270721</v>
      </c>
      <c r="D2293" s="1">
        <v>13.5</v>
      </c>
      <c r="E2293" s="1">
        <v>5.3</v>
      </c>
      <c r="F2293" s="1">
        <v>0</v>
      </c>
      <c r="G2293" s="1"/>
      <c r="H2293" s="126">
        <f t="shared" si="35"/>
        <v>0.89103953465215091</v>
      </c>
      <c r="I2293" s="89">
        <v>312.48000000000008</v>
      </c>
      <c r="J2293" s="1">
        <v>79.784374999999997</v>
      </c>
    </row>
    <row r="2294" spans="1:10" x14ac:dyDescent="0.3">
      <c r="A2294" s="88" t="s">
        <v>484</v>
      </c>
      <c r="B2294" s="24">
        <v>39181</v>
      </c>
      <c r="C2294" s="1">
        <v>10.994470364610333</v>
      </c>
      <c r="D2294" s="1">
        <v>13.2</v>
      </c>
      <c r="E2294" s="1">
        <v>7.9</v>
      </c>
      <c r="F2294" s="1">
        <v>0</v>
      </c>
      <c r="G2294" s="1"/>
      <c r="H2294" s="126">
        <f t="shared" si="35"/>
        <v>1.0658332114824252</v>
      </c>
      <c r="I2294" s="89">
        <v>406.2600000000001</v>
      </c>
      <c r="J2294" s="1">
        <v>75.443749999999994</v>
      </c>
    </row>
    <row r="2295" spans="1:10" x14ac:dyDescent="0.3">
      <c r="A2295" s="88" t="s">
        <v>484</v>
      </c>
      <c r="B2295" s="24">
        <v>39182</v>
      </c>
      <c r="C2295" s="1">
        <v>8.4123538390645702</v>
      </c>
      <c r="D2295" s="1">
        <v>15.1</v>
      </c>
      <c r="E2295" s="1">
        <v>9.4</v>
      </c>
      <c r="F2295" s="1">
        <v>0.03</v>
      </c>
      <c r="G2295" s="1"/>
      <c r="H2295" s="126">
        <f t="shared" si="35"/>
        <v>1.1798411174091483</v>
      </c>
      <c r="I2295" s="89">
        <v>381.32999999999993</v>
      </c>
      <c r="J2295" s="1">
        <v>79.817708333333314</v>
      </c>
    </row>
    <row r="2296" spans="1:10" x14ac:dyDescent="0.3">
      <c r="A2296" s="88" t="s">
        <v>484</v>
      </c>
      <c r="B2296" s="24">
        <v>39183</v>
      </c>
      <c r="C2296" s="1">
        <v>10.561567594032601</v>
      </c>
      <c r="D2296" s="1">
        <v>14.7</v>
      </c>
      <c r="E2296" s="1">
        <v>7.2</v>
      </c>
      <c r="F2296" s="1">
        <v>0</v>
      </c>
      <c r="G2296" s="1"/>
      <c r="H2296" s="126">
        <f t="shared" si="35"/>
        <v>1.0160332727272676</v>
      </c>
      <c r="I2296" s="89">
        <v>219.96000000000009</v>
      </c>
      <c r="J2296" s="1">
        <v>79.392708333333275</v>
      </c>
    </row>
    <row r="2297" spans="1:10" x14ac:dyDescent="0.3">
      <c r="A2297" s="88" t="s">
        <v>484</v>
      </c>
      <c r="B2297" s="24">
        <v>39184</v>
      </c>
      <c r="C2297" s="1">
        <v>20.414830654916191</v>
      </c>
      <c r="D2297" s="1">
        <v>18.7</v>
      </c>
      <c r="E2297" s="1">
        <v>2.7</v>
      </c>
      <c r="F2297" s="1">
        <v>0</v>
      </c>
      <c r="G2297" s="1"/>
      <c r="H2297" s="126">
        <f t="shared" si="35"/>
        <v>0.74202613073523482</v>
      </c>
      <c r="I2297" s="89">
        <v>186.93000000000009</v>
      </c>
      <c r="J2297" s="1">
        <v>80.889583333333363</v>
      </c>
    </row>
    <row r="2298" spans="1:10" x14ac:dyDescent="0.3">
      <c r="A2298" s="88" t="s">
        <v>484</v>
      </c>
      <c r="B2298" s="24">
        <v>39185</v>
      </c>
      <c r="C2298" s="1">
        <v>20.020628132020047</v>
      </c>
      <c r="D2298" s="1">
        <v>22.2</v>
      </c>
      <c r="E2298" s="1">
        <v>6.9</v>
      </c>
      <c r="F2298" s="1">
        <v>0</v>
      </c>
      <c r="G2298" s="1"/>
      <c r="H2298" s="126">
        <f t="shared" si="35"/>
        <v>0.99532561227749294</v>
      </c>
      <c r="I2298" s="89">
        <v>313.64999999999998</v>
      </c>
      <c r="J2298" s="1">
        <v>65.301041666666649</v>
      </c>
    </row>
    <row r="2299" spans="1:10" x14ac:dyDescent="0.3">
      <c r="A2299" s="88" t="s">
        <v>484</v>
      </c>
      <c r="B2299" s="24">
        <v>39186</v>
      </c>
      <c r="C2299" s="1">
        <v>21.564138010483269</v>
      </c>
      <c r="D2299" s="1">
        <v>23.6</v>
      </c>
      <c r="E2299" s="1">
        <v>7.7</v>
      </c>
      <c r="F2299" s="1">
        <v>0</v>
      </c>
      <c r="G2299" s="1"/>
      <c r="H2299" s="126">
        <f t="shared" si="35"/>
        <v>1.0513900110721115</v>
      </c>
      <c r="I2299" s="89">
        <v>260.01</v>
      </c>
      <c r="J2299" s="1">
        <v>51.85</v>
      </c>
    </row>
    <row r="2300" spans="1:10" x14ac:dyDescent="0.3">
      <c r="A2300" s="88" t="s">
        <v>484</v>
      </c>
      <c r="B2300" s="24">
        <v>39187</v>
      </c>
      <c r="C2300" s="1">
        <v>22.130241633546458</v>
      </c>
      <c r="D2300" s="1">
        <v>23.3</v>
      </c>
      <c r="E2300" s="1">
        <v>6.3</v>
      </c>
      <c r="F2300" s="1">
        <v>0</v>
      </c>
      <c r="G2300" s="1"/>
      <c r="H2300" s="126">
        <f t="shared" si="35"/>
        <v>0.95502249025252561</v>
      </c>
      <c r="I2300" s="89">
        <v>236.88000000000005</v>
      </c>
      <c r="J2300" s="1">
        <v>48.173958333333324</v>
      </c>
    </row>
    <row r="2301" spans="1:10" x14ac:dyDescent="0.3">
      <c r="A2301" s="88" t="s">
        <v>484</v>
      </c>
      <c r="B2301" s="24">
        <v>39188</v>
      </c>
      <c r="C2301" s="1">
        <v>20.579531709002939</v>
      </c>
      <c r="D2301" s="1">
        <v>26</v>
      </c>
      <c r="E2301" s="1">
        <v>10</v>
      </c>
      <c r="F2301" s="1">
        <v>5.0000000000000001E-3</v>
      </c>
      <c r="G2301" s="1"/>
      <c r="H2301" s="126">
        <f t="shared" si="35"/>
        <v>1.2283647027117881</v>
      </c>
      <c r="I2301" s="89">
        <v>158.58000000000001</v>
      </c>
      <c r="J2301" s="1">
        <v>46.376041666666652</v>
      </c>
    </row>
    <row r="2302" spans="1:10" x14ac:dyDescent="0.3">
      <c r="A2302" s="88" t="s">
        <v>484</v>
      </c>
      <c r="B2302" s="24">
        <v>39189</v>
      </c>
      <c r="C2302" s="1">
        <v>11.771175335522148</v>
      </c>
      <c r="D2302" s="1">
        <v>16.399999999999999</v>
      </c>
      <c r="E2302" s="1">
        <v>6.1</v>
      </c>
      <c r="F2302" s="1">
        <v>0</v>
      </c>
      <c r="G2302" s="1"/>
      <c r="H2302" s="126">
        <f t="shared" si="35"/>
        <v>0.94191143925241705</v>
      </c>
      <c r="I2302" s="89">
        <v>277.46999999999997</v>
      </c>
      <c r="J2302" s="1">
        <v>67.667708333333351</v>
      </c>
    </row>
    <row r="2303" spans="1:10" x14ac:dyDescent="0.3">
      <c r="A2303" s="88" t="s">
        <v>484</v>
      </c>
      <c r="B2303" s="24">
        <v>39190</v>
      </c>
      <c r="C2303" s="1">
        <v>15.110196705258913</v>
      </c>
      <c r="D2303" s="1">
        <v>12.7</v>
      </c>
      <c r="E2303" s="1">
        <v>4.7</v>
      </c>
      <c r="F2303" s="1">
        <v>0</v>
      </c>
      <c r="G2303" s="1"/>
      <c r="H2303" s="126">
        <f t="shared" si="35"/>
        <v>0.85449106840682587</v>
      </c>
      <c r="I2303" s="89">
        <v>359.81999999999994</v>
      </c>
      <c r="J2303" s="1">
        <v>62.661458333333364</v>
      </c>
    </row>
    <row r="2304" spans="1:10" x14ac:dyDescent="0.3">
      <c r="A2304" s="88" t="s">
        <v>484</v>
      </c>
      <c r="B2304" s="24">
        <v>39191</v>
      </c>
      <c r="C2304" s="1">
        <v>21.306736363112723</v>
      </c>
      <c r="D2304" s="1">
        <v>16.7</v>
      </c>
      <c r="E2304" s="1">
        <v>1.8</v>
      </c>
      <c r="F2304" s="1">
        <v>0</v>
      </c>
      <c r="G2304" s="1"/>
      <c r="H2304" s="126">
        <f t="shared" si="35"/>
        <v>0.69583287280742301</v>
      </c>
      <c r="I2304" s="89">
        <v>431.37000000000012</v>
      </c>
      <c r="J2304" s="1">
        <v>60.358333333333348</v>
      </c>
    </row>
    <row r="2305" spans="1:10" x14ac:dyDescent="0.3">
      <c r="A2305" s="88" t="s">
        <v>484</v>
      </c>
      <c r="B2305" s="24">
        <v>39192</v>
      </c>
      <c r="C2305" s="1">
        <v>10.423866712746962</v>
      </c>
      <c r="D2305" s="1">
        <v>9.3000000000000007</v>
      </c>
      <c r="E2305" s="1">
        <v>3.3</v>
      </c>
      <c r="F2305" s="1">
        <v>0</v>
      </c>
      <c r="G2305" s="1"/>
      <c r="H2305" s="126">
        <f t="shared" si="35"/>
        <v>0.77430610767805441</v>
      </c>
      <c r="I2305" s="89">
        <v>366.12</v>
      </c>
      <c r="J2305" s="1">
        <v>59.535416666666684</v>
      </c>
    </row>
    <row r="2306" spans="1:10" x14ac:dyDescent="0.3">
      <c r="A2306" s="88" t="s">
        <v>484</v>
      </c>
      <c r="B2306" s="24">
        <v>39193</v>
      </c>
      <c r="C2306" s="1">
        <v>21.86743995161569</v>
      </c>
      <c r="D2306" s="1">
        <v>11.4</v>
      </c>
      <c r="E2306" s="1">
        <v>-0.8</v>
      </c>
      <c r="F2306" s="1">
        <v>0</v>
      </c>
      <c r="G2306" s="1"/>
      <c r="H2306" s="126">
        <f t="shared" si="35"/>
        <v>0.57632881345991693</v>
      </c>
      <c r="I2306" s="89">
        <v>110.69999999999999</v>
      </c>
      <c r="J2306" s="1">
        <v>64.023958333333326</v>
      </c>
    </row>
    <row r="2307" spans="1:10" x14ac:dyDescent="0.3">
      <c r="A2307" s="88" t="s">
        <v>484</v>
      </c>
      <c r="B2307" s="24">
        <v>39194</v>
      </c>
      <c r="C2307" s="1">
        <v>22.923146708138933</v>
      </c>
      <c r="D2307" s="1">
        <v>19.100000000000001</v>
      </c>
      <c r="E2307" s="1">
        <v>2.2000000000000002</v>
      </c>
      <c r="F2307" s="1">
        <v>0</v>
      </c>
      <c r="G2307" s="1"/>
      <c r="H2307" s="126">
        <f t="shared" si="35"/>
        <v>0.71603982725344328</v>
      </c>
      <c r="I2307" s="89">
        <v>208.52999999999992</v>
      </c>
      <c r="J2307" s="1">
        <v>48.592708333333341</v>
      </c>
    </row>
    <row r="2308" spans="1:10" x14ac:dyDescent="0.3">
      <c r="A2308" s="88" t="s">
        <v>484</v>
      </c>
      <c r="B2308" s="24">
        <v>39195</v>
      </c>
      <c r="C2308" s="1">
        <v>20.258229652669776</v>
      </c>
      <c r="D2308" s="1">
        <v>22</v>
      </c>
      <c r="E2308" s="1">
        <v>6.1</v>
      </c>
      <c r="F2308" s="1">
        <v>0</v>
      </c>
      <c r="G2308" s="1"/>
      <c r="H2308" s="126">
        <f t="shared" ref="H2308:H2371" si="36">0.611*EXP((17.27*E2308)/(E2308+237.3))</f>
        <v>0.94191143925241705</v>
      </c>
      <c r="I2308" s="89">
        <v>204.75000000000009</v>
      </c>
      <c r="J2308" s="1">
        <v>58.70104166666669</v>
      </c>
    </row>
    <row r="2309" spans="1:10" x14ac:dyDescent="0.3">
      <c r="A2309" s="88" t="s">
        <v>484</v>
      </c>
      <c r="B2309" s="24">
        <v>39196</v>
      </c>
      <c r="C2309" s="1">
        <v>8.8280477082965412</v>
      </c>
      <c r="D2309" s="1">
        <v>18.399999999999999</v>
      </c>
      <c r="E2309" s="1">
        <v>12.4</v>
      </c>
      <c r="F2309" s="1">
        <v>4.08</v>
      </c>
      <c r="G2309" s="1"/>
      <c r="H2309" s="126">
        <f t="shared" si="36"/>
        <v>1.4404604588486194</v>
      </c>
      <c r="I2309" s="89">
        <v>189.60527472527474</v>
      </c>
      <c r="J2309" s="1">
        <v>86.950549450549445</v>
      </c>
    </row>
    <row r="2310" spans="1:10" x14ac:dyDescent="0.3">
      <c r="A2310" s="88" t="s">
        <v>484</v>
      </c>
      <c r="B2310" s="24">
        <v>39197</v>
      </c>
      <c r="C2310" s="1">
        <v>20.689332411727435</v>
      </c>
      <c r="D2310" s="1">
        <v>23.4</v>
      </c>
      <c r="E2310" s="1">
        <v>11.1</v>
      </c>
      <c r="F2310" s="1">
        <v>0</v>
      </c>
      <c r="G2310" s="1"/>
      <c r="H2310" s="126">
        <f t="shared" si="36"/>
        <v>1.3218981992116727</v>
      </c>
      <c r="I2310" s="89">
        <v>188.90999999999997</v>
      </c>
      <c r="J2310" s="1">
        <v>73.651041666666657</v>
      </c>
    </row>
    <row r="2311" spans="1:10" x14ac:dyDescent="0.3">
      <c r="A2311" s="88" t="s">
        <v>484</v>
      </c>
      <c r="B2311" s="24">
        <v>39198</v>
      </c>
      <c r="C2311" s="1">
        <v>23.631451241287944</v>
      </c>
      <c r="D2311" s="1">
        <v>23.7</v>
      </c>
      <c r="E2311" s="1">
        <v>12</v>
      </c>
      <c r="F2311" s="1">
        <v>0</v>
      </c>
      <c r="G2311" s="1"/>
      <c r="H2311" s="126">
        <f t="shared" si="36"/>
        <v>1.4030231277532583</v>
      </c>
      <c r="I2311" s="89">
        <v>200.78999999999996</v>
      </c>
      <c r="J2311" s="1">
        <v>58.014583333333341</v>
      </c>
    </row>
    <row r="2312" spans="1:10" x14ac:dyDescent="0.3">
      <c r="A2312" s="88" t="s">
        <v>484</v>
      </c>
      <c r="B2312" s="24">
        <v>39199</v>
      </c>
      <c r="C2312" s="1">
        <v>23.74485196705259</v>
      </c>
      <c r="D2312" s="1">
        <v>25.2</v>
      </c>
      <c r="E2312" s="1">
        <v>7.4</v>
      </c>
      <c r="F2312" s="1">
        <v>0</v>
      </c>
      <c r="G2312" s="1"/>
      <c r="H2312" s="126">
        <f t="shared" si="36"/>
        <v>1.0300482820505565</v>
      </c>
      <c r="I2312" s="89">
        <v>166.32000000000002</v>
      </c>
      <c r="J2312" s="1">
        <v>62.354166666666664</v>
      </c>
    </row>
    <row r="2313" spans="1:10" x14ac:dyDescent="0.3">
      <c r="A2313" s="88" t="s">
        <v>484</v>
      </c>
      <c r="B2313" s="24">
        <v>39200</v>
      </c>
      <c r="C2313" s="1">
        <v>23.251648810552386</v>
      </c>
      <c r="D2313" s="1">
        <v>25.1</v>
      </c>
      <c r="E2313" s="1">
        <v>9.1</v>
      </c>
      <c r="F2313" s="1">
        <v>0</v>
      </c>
      <c r="G2313" s="1"/>
      <c r="H2313" s="126">
        <f t="shared" si="36"/>
        <v>1.156217822409108</v>
      </c>
      <c r="I2313" s="89">
        <v>213.65999999999997</v>
      </c>
      <c r="J2313" s="1">
        <v>64.504166666666677</v>
      </c>
    </row>
    <row r="2314" spans="1:10" x14ac:dyDescent="0.3">
      <c r="A2314" s="88" t="s">
        <v>484</v>
      </c>
      <c r="B2314" s="24">
        <v>39201</v>
      </c>
      <c r="C2314" s="1">
        <v>25.624063994009564</v>
      </c>
      <c r="D2314" s="1">
        <v>15.4</v>
      </c>
      <c r="E2314" s="1">
        <v>6.4</v>
      </c>
      <c r="F2314" s="1">
        <v>0</v>
      </c>
      <c r="G2314" s="1"/>
      <c r="H2314" s="126">
        <f t="shared" si="36"/>
        <v>0.96163811340513428</v>
      </c>
      <c r="I2314" s="89">
        <v>405.62999999999994</v>
      </c>
      <c r="J2314" s="1">
        <v>59.017708333333331</v>
      </c>
    </row>
    <row r="2315" spans="1:10" x14ac:dyDescent="0.3">
      <c r="A2315" s="88" t="s">
        <v>484</v>
      </c>
      <c r="B2315" s="24">
        <v>39202</v>
      </c>
      <c r="C2315" s="1">
        <v>25.42426271528138</v>
      </c>
      <c r="D2315" s="1">
        <v>17.5</v>
      </c>
      <c r="E2315" s="1">
        <v>0.4</v>
      </c>
      <c r="F2315" s="1">
        <v>0</v>
      </c>
      <c r="G2315" s="1"/>
      <c r="H2315" s="126">
        <f t="shared" si="36"/>
        <v>0.62901732612537431</v>
      </c>
      <c r="I2315" s="89">
        <v>277.29000000000002</v>
      </c>
      <c r="J2315" s="1">
        <v>61.602083333333347</v>
      </c>
    </row>
    <row r="2316" spans="1:10" x14ac:dyDescent="0.3">
      <c r="A2316" s="88" t="s">
        <v>484</v>
      </c>
      <c r="B2316" s="24">
        <v>39203</v>
      </c>
      <c r="C2316" s="1">
        <v>25.484563101203847</v>
      </c>
      <c r="D2316" s="1">
        <v>16</v>
      </c>
      <c r="E2316" s="1">
        <v>2.8</v>
      </c>
      <c r="F2316" s="1">
        <v>0</v>
      </c>
      <c r="G2316" s="1"/>
      <c r="H2316" s="126">
        <f t="shared" si="36"/>
        <v>0.74732216909166049</v>
      </c>
      <c r="I2316" s="89">
        <v>220.68</v>
      </c>
      <c r="J2316" s="1">
        <v>58.877083333333339</v>
      </c>
    </row>
    <row r="2317" spans="1:10" x14ac:dyDescent="0.3">
      <c r="A2317" s="88" t="s">
        <v>484</v>
      </c>
      <c r="B2317" s="24">
        <v>39204</v>
      </c>
      <c r="C2317" s="1">
        <v>25.380162433039573</v>
      </c>
      <c r="D2317" s="1">
        <v>19</v>
      </c>
      <c r="E2317" s="1">
        <v>2.9</v>
      </c>
      <c r="F2317" s="1">
        <v>0</v>
      </c>
      <c r="G2317" s="1"/>
      <c r="H2317" s="126">
        <f t="shared" si="36"/>
        <v>0.75265154972421666</v>
      </c>
      <c r="I2317" s="89">
        <v>104.67</v>
      </c>
      <c r="J2317" s="1">
        <v>61.206249999999997</v>
      </c>
    </row>
    <row r="2318" spans="1:10" x14ac:dyDescent="0.3">
      <c r="A2318" s="88" t="s">
        <v>484</v>
      </c>
      <c r="B2318" s="24">
        <v>39205</v>
      </c>
      <c r="C2318" s="1">
        <v>23.536050630724038</v>
      </c>
      <c r="D2318" s="1">
        <v>20.399999999999999</v>
      </c>
      <c r="E2318" s="1">
        <v>4.0999999999999996</v>
      </c>
      <c r="F2318" s="1">
        <v>0</v>
      </c>
      <c r="G2318" s="1"/>
      <c r="H2318" s="126">
        <f t="shared" si="36"/>
        <v>0.81927114982761395</v>
      </c>
      <c r="I2318" s="89">
        <v>196.19999999999993</v>
      </c>
      <c r="J2318" s="1">
        <v>66.977083333333354</v>
      </c>
    </row>
    <row r="2319" spans="1:10" x14ac:dyDescent="0.3">
      <c r="A2319" s="88" t="s">
        <v>484</v>
      </c>
      <c r="B2319" s="24">
        <v>39206</v>
      </c>
      <c r="C2319" s="1">
        <v>25.65106416681067</v>
      </c>
      <c r="D2319" s="1">
        <v>21.3</v>
      </c>
      <c r="E2319" s="1">
        <v>5.7</v>
      </c>
      <c r="F2319" s="1">
        <v>0</v>
      </c>
      <c r="G2319" s="1"/>
      <c r="H2319" s="126">
        <f t="shared" si="36"/>
        <v>0.91616430843021424</v>
      </c>
      <c r="I2319" s="89">
        <v>250.64999999999998</v>
      </c>
      <c r="J2319" s="1">
        <v>54.759374999999999</v>
      </c>
    </row>
    <row r="2320" spans="1:10" x14ac:dyDescent="0.3">
      <c r="A2320" s="88" t="s">
        <v>484</v>
      </c>
      <c r="B2320" s="24">
        <v>39207</v>
      </c>
      <c r="C2320" s="1">
        <v>25.804065146016935</v>
      </c>
      <c r="D2320" s="1">
        <v>22.7</v>
      </c>
      <c r="E2320" s="1">
        <v>5.8</v>
      </c>
      <c r="F2320" s="1">
        <v>0</v>
      </c>
      <c r="G2320" s="1"/>
      <c r="H2320" s="126">
        <f t="shared" si="36"/>
        <v>0.92254223518646628</v>
      </c>
      <c r="I2320" s="89">
        <v>237.77999999999997</v>
      </c>
      <c r="J2320" s="1">
        <v>55.009374999999999</v>
      </c>
    </row>
    <row r="2321" spans="1:10" x14ac:dyDescent="0.3">
      <c r="A2321" s="88" t="s">
        <v>484</v>
      </c>
      <c r="B2321" s="24">
        <v>39208</v>
      </c>
      <c r="C2321" s="1">
        <v>25.270361730315077</v>
      </c>
      <c r="D2321" s="1">
        <v>22.2</v>
      </c>
      <c r="E2321" s="1">
        <v>6.9</v>
      </c>
      <c r="F2321" s="1">
        <v>0</v>
      </c>
      <c r="G2321" s="1"/>
      <c r="H2321" s="126">
        <f t="shared" si="36"/>
        <v>0.99532561227749294</v>
      </c>
      <c r="I2321" s="89">
        <v>177.57</v>
      </c>
      <c r="J2321" s="1">
        <v>64.951041666666654</v>
      </c>
    </row>
    <row r="2322" spans="1:10" x14ac:dyDescent="0.3">
      <c r="A2322" s="88" t="s">
        <v>484</v>
      </c>
      <c r="B2322" s="24">
        <v>39209</v>
      </c>
      <c r="C2322" s="1">
        <v>3.904224987039917</v>
      </c>
      <c r="D2322" s="1">
        <v>15.2</v>
      </c>
      <c r="E2322" s="1">
        <v>9.6999999999999993</v>
      </c>
      <c r="F2322" s="1">
        <v>28.635000000000002</v>
      </c>
      <c r="G2322" s="1"/>
      <c r="H2322" s="126">
        <f t="shared" si="36"/>
        <v>1.2038879226915637</v>
      </c>
      <c r="I2322" s="89">
        <v>203.58000000000004</v>
      </c>
      <c r="J2322" s="1">
        <v>90.26354166666664</v>
      </c>
    </row>
    <row r="2323" spans="1:10" x14ac:dyDescent="0.3">
      <c r="A2323" s="88" t="s">
        <v>484</v>
      </c>
      <c r="B2323" s="24">
        <v>39210</v>
      </c>
      <c r="C2323" s="1">
        <v>14.780794597085421</v>
      </c>
      <c r="D2323" s="1">
        <v>14.5</v>
      </c>
      <c r="E2323" s="1">
        <v>9.4</v>
      </c>
      <c r="F2323" s="1">
        <v>0.26500000000000001</v>
      </c>
      <c r="G2323" s="1"/>
      <c r="H2323" s="126">
        <f t="shared" si="36"/>
        <v>1.1798411174091483</v>
      </c>
      <c r="I2323" s="89">
        <v>425.25</v>
      </c>
      <c r="J2323" s="1">
        <v>84.096874999999997</v>
      </c>
    </row>
    <row r="2324" spans="1:10" x14ac:dyDescent="0.3">
      <c r="A2324" s="88" t="s">
        <v>484</v>
      </c>
      <c r="B2324" s="24">
        <v>39211</v>
      </c>
      <c r="C2324" s="1">
        <v>16.377404815390818</v>
      </c>
      <c r="D2324" s="1">
        <v>16.399999999999999</v>
      </c>
      <c r="E2324" s="1">
        <v>8.8000000000000007</v>
      </c>
      <c r="F2324" s="1">
        <v>0</v>
      </c>
      <c r="G2324" s="1"/>
      <c r="H2324" s="126">
        <f t="shared" si="36"/>
        <v>1.1330116523877718</v>
      </c>
      <c r="I2324" s="89">
        <v>419.85</v>
      </c>
      <c r="J2324" s="1">
        <v>75.960416666666674</v>
      </c>
    </row>
    <row r="2325" spans="1:10" x14ac:dyDescent="0.3">
      <c r="A2325" s="88" t="s">
        <v>484</v>
      </c>
      <c r="B2325" s="24">
        <v>39212</v>
      </c>
      <c r="C2325" s="1">
        <v>9.3024595357410291</v>
      </c>
      <c r="D2325" s="1">
        <v>16.600000000000001</v>
      </c>
      <c r="E2325" s="1">
        <v>10.5</v>
      </c>
      <c r="F2325" s="1">
        <v>8.9250000000000007</v>
      </c>
      <c r="G2325" s="1"/>
      <c r="H2325" s="126">
        <f t="shared" si="36"/>
        <v>1.2701326466613394</v>
      </c>
      <c r="I2325" s="89">
        <v>339.84000000000003</v>
      </c>
      <c r="J2325" s="1">
        <v>88.795833333333334</v>
      </c>
    </row>
    <row r="2326" spans="1:10" x14ac:dyDescent="0.3">
      <c r="A2326" s="88" t="s">
        <v>484</v>
      </c>
      <c r="B2326" s="24">
        <v>39213</v>
      </c>
      <c r="C2326" s="1">
        <v>5.9148378549622711</v>
      </c>
      <c r="D2326" s="1">
        <v>14.8</v>
      </c>
      <c r="E2326" s="1">
        <v>8.8000000000000007</v>
      </c>
      <c r="F2326" s="1">
        <v>10.050000000000001</v>
      </c>
      <c r="G2326" s="1"/>
      <c r="H2326" s="126">
        <f t="shared" si="36"/>
        <v>1.1330116523877718</v>
      </c>
      <c r="I2326" s="89">
        <v>337.94999999999993</v>
      </c>
      <c r="J2326" s="1">
        <v>90.262500000000003</v>
      </c>
    </row>
    <row r="2327" spans="1:10" x14ac:dyDescent="0.3">
      <c r="A2327" s="88" t="s">
        <v>484</v>
      </c>
      <c r="B2327" s="24">
        <v>39214</v>
      </c>
      <c r="C2327" s="1">
        <v>12.691881228039861</v>
      </c>
      <c r="D2327" s="1">
        <v>16.5</v>
      </c>
      <c r="E2327" s="1">
        <v>8</v>
      </c>
      <c r="F2327" s="1">
        <v>6.9349999999999996</v>
      </c>
      <c r="G2327" s="1"/>
      <c r="H2327" s="126">
        <f t="shared" si="36"/>
        <v>1.0731200926872433</v>
      </c>
      <c r="I2327" s="89">
        <v>303.48</v>
      </c>
      <c r="J2327" s="1">
        <v>84.672916666666708</v>
      </c>
    </row>
    <row r="2328" spans="1:10" x14ac:dyDescent="0.3">
      <c r="A2328" s="88" t="s">
        <v>484</v>
      </c>
      <c r="B2328" s="24">
        <v>39215</v>
      </c>
      <c r="C2328" s="1">
        <v>17.462811761995276</v>
      </c>
      <c r="D2328" s="1">
        <v>20.6</v>
      </c>
      <c r="E2328" s="1">
        <v>9.1999999999999993</v>
      </c>
      <c r="F2328" s="1">
        <v>4.5149999999999997</v>
      </c>
      <c r="G2328" s="1"/>
      <c r="H2328" s="126">
        <f t="shared" si="36"/>
        <v>1.16404559315309</v>
      </c>
      <c r="I2328" s="90">
        <v>196.02</v>
      </c>
      <c r="J2328" s="1">
        <v>77.819791666666688</v>
      </c>
    </row>
    <row r="2329" spans="1:10" x14ac:dyDescent="0.3">
      <c r="A2329" s="88" t="s">
        <v>484</v>
      </c>
      <c r="B2329" s="24">
        <v>39216</v>
      </c>
      <c r="C2329" s="1">
        <v>18.267416911468235</v>
      </c>
      <c r="D2329" s="1">
        <v>21</v>
      </c>
      <c r="E2329" s="1">
        <v>12.9</v>
      </c>
      <c r="F2329" s="1">
        <v>0.60499999999999998</v>
      </c>
      <c r="G2329" s="1"/>
      <c r="H2329" s="126">
        <f t="shared" si="36"/>
        <v>1.4884887514247067</v>
      </c>
      <c r="I2329" s="90">
        <v>226.61999999999998</v>
      </c>
      <c r="J2329" s="1">
        <v>76.875</v>
      </c>
    </row>
    <row r="2330" spans="1:10" x14ac:dyDescent="0.3">
      <c r="A2330" s="88" t="s">
        <v>484</v>
      </c>
      <c r="B2330" s="24">
        <v>39217</v>
      </c>
      <c r="C2330" s="1">
        <v>15.380198433269973</v>
      </c>
      <c r="D2330" s="1">
        <v>14.5</v>
      </c>
      <c r="E2330" s="1">
        <v>8.1999999999999993</v>
      </c>
      <c r="F2330" s="1">
        <v>5.84</v>
      </c>
      <c r="G2330" s="1"/>
      <c r="H2330" s="126">
        <f t="shared" si="36"/>
        <v>1.0878255375495476</v>
      </c>
      <c r="I2330" s="90">
        <v>255.5100000000001</v>
      </c>
      <c r="J2330" s="1">
        <v>80.577083333333363</v>
      </c>
    </row>
    <row r="2331" spans="1:10" x14ac:dyDescent="0.3">
      <c r="A2331" s="88" t="s">
        <v>484</v>
      </c>
      <c r="B2331" s="24">
        <v>39218</v>
      </c>
      <c r="C2331" s="1">
        <v>10.594867807153966</v>
      </c>
      <c r="D2331" s="1">
        <v>15.5</v>
      </c>
      <c r="E2331" s="1">
        <v>5.8</v>
      </c>
      <c r="F2331" s="1">
        <v>3.335</v>
      </c>
      <c r="G2331" s="1"/>
      <c r="H2331" s="126">
        <f t="shared" si="36"/>
        <v>0.92254223518646628</v>
      </c>
      <c r="I2331" s="90">
        <v>256.85999999999996</v>
      </c>
      <c r="J2331" s="1">
        <v>84.455208333333346</v>
      </c>
    </row>
    <row r="2332" spans="1:10" x14ac:dyDescent="0.3">
      <c r="A2332" s="88" t="s">
        <v>484</v>
      </c>
      <c r="B2332" s="24">
        <v>39219</v>
      </c>
      <c r="C2332" s="1">
        <v>20.518331317320431</v>
      </c>
      <c r="D2332" s="1">
        <v>13.4</v>
      </c>
      <c r="E2332" s="1">
        <v>4.7</v>
      </c>
      <c r="F2332" s="1">
        <v>0</v>
      </c>
      <c r="G2332" s="1"/>
      <c r="H2332" s="126">
        <f t="shared" si="36"/>
        <v>0.85449106840682587</v>
      </c>
      <c r="I2332" s="90">
        <v>396.36</v>
      </c>
      <c r="J2332" s="1">
        <v>76.14895833333334</v>
      </c>
    </row>
    <row r="2333" spans="1:10" x14ac:dyDescent="0.3">
      <c r="A2333" s="88" t="s">
        <v>484</v>
      </c>
      <c r="B2333" s="24">
        <v>39220</v>
      </c>
      <c r="C2333" s="1">
        <v>26.444869247163183</v>
      </c>
      <c r="D2333" s="1">
        <v>19.7</v>
      </c>
      <c r="E2333" s="1">
        <v>3.4</v>
      </c>
      <c r="F2333" s="1">
        <v>0</v>
      </c>
      <c r="G2333" s="1"/>
      <c r="H2333" s="126">
        <f t="shared" si="36"/>
        <v>0.77980491618110859</v>
      </c>
      <c r="I2333" s="89">
        <v>185.57999999999998</v>
      </c>
      <c r="J2333" s="1">
        <v>74.334374999999994</v>
      </c>
    </row>
    <row r="2334" spans="1:10" x14ac:dyDescent="0.3">
      <c r="A2334" s="88" t="s">
        <v>484</v>
      </c>
      <c r="B2334" s="24">
        <v>39221</v>
      </c>
      <c r="C2334" s="1">
        <v>10.773968953401303</v>
      </c>
      <c r="D2334" s="1">
        <v>20.5</v>
      </c>
      <c r="E2334" s="1">
        <v>11.5</v>
      </c>
      <c r="F2334" s="1">
        <v>0</v>
      </c>
      <c r="G2334" s="1"/>
      <c r="H2334" s="126">
        <f t="shared" si="36"/>
        <v>1.3574301110209714</v>
      </c>
      <c r="I2334" s="89">
        <v>184.76999999999998</v>
      </c>
      <c r="J2334" s="1">
        <v>80.365624999999994</v>
      </c>
    </row>
    <row r="2335" spans="1:10" x14ac:dyDescent="0.3">
      <c r="A2335" s="88" t="s">
        <v>484</v>
      </c>
      <c r="B2335" s="24">
        <v>39222</v>
      </c>
      <c r="C2335" s="1">
        <v>19.2187229998272</v>
      </c>
      <c r="D2335" s="1">
        <v>23.2</v>
      </c>
      <c r="E2335" s="1">
        <v>13.1</v>
      </c>
      <c r="F2335" s="1">
        <v>5.0000000000000001E-3</v>
      </c>
      <c r="G2335" s="1"/>
      <c r="H2335" s="126">
        <f t="shared" si="36"/>
        <v>1.5080901913058991</v>
      </c>
      <c r="I2335" s="89">
        <v>232.20000000000002</v>
      </c>
      <c r="J2335" s="1">
        <v>79.803124999999994</v>
      </c>
    </row>
    <row r="2336" spans="1:10" x14ac:dyDescent="0.3">
      <c r="A2336" s="88" t="s">
        <v>484</v>
      </c>
      <c r="B2336" s="24">
        <v>39223</v>
      </c>
      <c r="C2336" s="1">
        <v>26.336707502296434</v>
      </c>
      <c r="D2336" s="1">
        <v>28.9</v>
      </c>
      <c r="E2336" s="1">
        <v>13.8</v>
      </c>
      <c r="F2336" s="1">
        <v>4.4999999999999998E-2</v>
      </c>
      <c r="G2336" s="1"/>
      <c r="H2336" s="126">
        <f t="shared" si="36"/>
        <v>1.5784913004187435</v>
      </c>
      <c r="I2336" s="89">
        <v>156.06568421052629</v>
      </c>
      <c r="J2336" s="1">
        <v>72.289473684210535</v>
      </c>
    </row>
    <row r="2337" spans="1:10" x14ac:dyDescent="0.3">
      <c r="A2337" s="88" t="s">
        <v>484</v>
      </c>
      <c r="B2337" s="24">
        <v>39224</v>
      </c>
      <c r="C2337" s="1">
        <v>19.475594117486562</v>
      </c>
      <c r="D2337" s="1">
        <v>23.9</v>
      </c>
      <c r="E2337" s="1">
        <v>15.6</v>
      </c>
      <c r="F2337" s="1">
        <v>0</v>
      </c>
      <c r="G2337" s="1"/>
      <c r="H2337" s="126">
        <f t="shared" si="36"/>
        <v>1.7729278081089486</v>
      </c>
      <c r="I2337" s="89">
        <v>211.54357894736845</v>
      </c>
      <c r="J2337" s="1">
        <v>82.608421052631584</v>
      </c>
    </row>
    <row r="2338" spans="1:10" x14ac:dyDescent="0.3">
      <c r="A2338" s="88" t="s">
        <v>484</v>
      </c>
      <c r="B2338" s="24">
        <v>39225</v>
      </c>
      <c r="C2338" s="1">
        <v>15.363098323829274</v>
      </c>
      <c r="D2338" s="1">
        <v>20.399999999999999</v>
      </c>
      <c r="E2338" s="1">
        <v>13.3</v>
      </c>
      <c r="F2338" s="1">
        <v>0.2</v>
      </c>
      <c r="G2338" s="1"/>
      <c r="H2338" s="126">
        <f t="shared" si="36"/>
        <v>1.5279178496783383</v>
      </c>
      <c r="I2338" s="89">
        <v>133.38</v>
      </c>
      <c r="J2338" s="1">
        <v>80.01458333333332</v>
      </c>
    </row>
    <row r="2339" spans="1:10" x14ac:dyDescent="0.3">
      <c r="A2339" s="88" t="s">
        <v>484</v>
      </c>
      <c r="B2339" s="24">
        <v>39226</v>
      </c>
      <c r="C2339" s="1">
        <v>21.367036749035194</v>
      </c>
      <c r="D2339" s="1">
        <v>25.5</v>
      </c>
      <c r="E2339" s="1">
        <v>11</v>
      </c>
      <c r="F2339" s="1">
        <v>7.4649999999999999</v>
      </c>
      <c r="G2339" s="1"/>
      <c r="H2339" s="126">
        <f t="shared" si="36"/>
        <v>1.313143973467028</v>
      </c>
      <c r="I2339" s="89">
        <v>133.20000000000002</v>
      </c>
      <c r="J2339" s="1">
        <v>79.522916666666646</v>
      </c>
    </row>
    <row r="2340" spans="1:10" x14ac:dyDescent="0.3">
      <c r="A2340" s="88" t="s">
        <v>484</v>
      </c>
      <c r="B2340" s="24">
        <v>39227</v>
      </c>
      <c r="C2340" s="1">
        <v>20.615531939404413</v>
      </c>
      <c r="D2340" s="1">
        <v>28.8</v>
      </c>
      <c r="E2340" s="1">
        <v>15.9</v>
      </c>
      <c r="F2340" s="1">
        <v>1.675</v>
      </c>
      <c r="G2340" s="1"/>
      <c r="H2340" s="126">
        <f t="shared" si="36"/>
        <v>1.8072967155190105</v>
      </c>
      <c r="I2340" s="89">
        <v>139.76999999999995</v>
      </c>
      <c r="J2340" s="1">
        <v>87.632291666666632</v>
      </c>
    </row>
    <row r="2341" spans="1:10" x14ac:dyDescent="0.3">
      <c r="A2341" s="88" t="s">
        <v>484</v>
      </c>
      <c r="B2341" s="24">
        <v>39228</v>
      </c>
      <c r="C2341" s="1">
        <v>16.799507516848109</v>
      </c>
      <c r="D2341" s="1">
        <v>23.8</v>
      </c>
      <c r="E2341" s="1">
        <v>15.3</v>
      </c>
      <c r="F2341" s="1">
        <v>0</v>
      </c>
      <c r="G2341" s="1"/>
      <c r="H2341" s="126">
        <f t="shared" si="36"/>
        <v>1.739133169821284</v>
      </c>
      <c r="I2341" s="89">
        <v>184.05</v>
      </c>
      <c r="J2341" s="1">
        <v>88.778125000000003</v>
      </c>
    </row>
    <row r="2342" spans="1:10" x14ac:dyDescent="0.3">
      <c r="A2342" s="88" t="s">
        <v>484</v>
      </c>
      <c r="B2342" s="24">
        <v>39229</v>
      </c>
      <c r="C2342" s="1">
        <v>17.502412015436899</v>
      </c>
      <c r="D2342" s="1">
        <v>23.4</v>
      </c>
      <c r="E2342" s="1">
        <v>13.5</v>
      </c>
      <c r="F2342" s="1">
        <v>25.72</v>
      </c>
      <c r="G2342" s="1"/>
      <c r="H2342" s="126">
        <f t="shared" si="36"/>
        <v>1.5479739445616383</v>
      </c>
      <c r="I2342" s="89">
        <v>178.2</v>
      </c>
      <c r="J2342" s="1">
        <v>89.612499999999997</v>
      </c>
    </row>
    <row r="2343" spans="1:10" x14ac:dyDescent="0.3">
      <c r="A2343" s="88" t="s">
        <v>484</v>
      </c>
      <c r="B2343" s="24">
        <v>39230</v>
      </c>
      <c r="C2343" s="1">
        <v>7.2639464892575321</v>
      </c>
      <c r="D2343" s="1">
        <v>16.100000000000001</v>
      </c>
      <c r="E2343" s="1">
        <v>11.5</v>
      </c>
      <c r="F2343" s="1">
        <v>3.83</v>
      </c>
      <c r="G2343" s="1"/>
      <c r="H2343" s="126">
        <f t="shared" si="36"/>
        <v>1.3574301110209714</v>
      </c>
      <c r="I2343" s="89">
        <v>192.06000000000006</v>
      </c>
      <c r="J2343" s="1">
        <v>92.137500000000003</v>
      </c>
    </row>
    <row r="2344" spans="1:10" x14ac:dyDescent="0.3">
      <c r="A2344" s="88" t="s">
        <v>484</v>
      </c>
      <c r="B2344" s="24">
        <v>39231</v>
      </c>
      <c r="C2344" s="1">
        <v>2.1321136455273315</v>
      </c>
      <c r="D2344" s="1">
        <v>13.9</v>
      </c>
      <c r="E2344" s="1">
        <v>9.1</v>
      </c>
      <c r="F2344" s="1">
        <v>17.585000000000001</v>
      </c>
      <c r="G2344" s="1"/>
      <c r="H2344" s="126">
        <f t="shared" si="36"/>
        <v>1.156217822409108</v>
      </c>
      <c r="I2344" s="89">
        <v>438.21000000000004</v>
      </c>
      <c r="J2344" s="1">
        <v>96.107291666666626</v>
      </c>
    </row>
    <row r="2345" spans="1:10" x14ac:dyDescent="0.3">
      <c r="A2345" s="88" t="s">
        <v>484</v>
      </c>
      <c r="B2345" s="24">
        <v>39232</v>
      </c>
      <c r="C2345" s="1">
        <v>25.171361096711017</v>
      </c>
      <c r="D2345" s="1">
        <v>17</v>
      </c>
      <c r="E2345" s="1">
        <v>8</v>
      </c>
      <c r="F2345" s="1">
        <v>0.64500000000000002</v>
      </c>
      <c r="G2345" s="1"/>
      <c r="H2345" s="126">
        <f t="shared" si="36"/>
        <v>1.0731200926872433</v>
      </c>
      <c r="I2345" s="89">
        <v>254.5200000000001</v>
      </c>
      <c r="J2345" s="1">
        <v>76.78854166666666</v>
      </c>
    </row>
    <row r="2346" spans="1:10" x14ac:dyDescent="0.3">
      <c r="A2346" s="88" t="s">
        <v>484</v>
      </c>
      <c r="B2346" s="24">
        <v>39233</v>
      </c>
      <c r="C2346" s="1">
        <v>25.208261332872532</v>
      </c>
      <c r="D2346" s="1">
        <v>20.100000000000001</v>
      </c>
      <c r="E2346" s="1">
        <v>9.4</v>
      </c>
      <c r="F2346" s="1">
        <v>0</v>
      </c>
      <c r="G2346" s="1"/>
      <c r="H2346" s="126">
        <f t="shared" si="36"/>
        <v>1.1798411174091483</v>
      </c>
      <c r="I2346" s="89">
        <v>146.07000000000002</v>
      </c>
      <c r="J2346" s="1">
        <v>71.951041666666654</v>
      </c>
    </row>
    <row r="2347" spans="1:10" x14ac:dyDescent="0.3">
      <c r="A2347" s="88" t="s">
        <v>484</v>
      </c>
      <c r="B2347" s="24">
        <v>39234</v>
      </c>
      <c r="C2347" s="1">
        <v>21.329236507113645</v>
      </c>
      <c r="D2347" s="1">
        <v>21.4</v>
      </c>
      <c r="E2347" s="1">
        <v>9.3000000000000007</v>
      </c>
      <c r="F2347" s="1">
        <v>0</v>
      </c>
      <c r="G2347" s="1"/>
      <c r="H2347" s="126">
        <f t="shared" si="36"/>
        <v>1.1719199459898388</v>
      </c>
      <c r="I2347" s="89">
        <v>214.2</v>
      </c>
      <c r="J2347" s="1">
        <v>81.178124999999994</v>
      </c>
    </row>
    <row r="2348" spans="1:10" x14ac:dyDescent="0.3">
      <c r="A2348" s="88" t="s">
        <v>484</v>
      </c>
      <c r="B2348" s="24">
        <v>39235</v>
      </c>
      <c r="C2348" s="1">
        <v>7.1199455676516328</v>
      </c>
      <c r="D2348" s="1">
        <v>18</v>
      </c>
      <c r="E2348" s="1">
        <v>10.199999999999999</v>
      </c>
      <c r="F2348" s="1">
        <v>0.28999999999999998</v>
      </c>
      <c r="G2348" s="1"/>
      <c r="H2348" s="126">
        <f t="shared" si="36"/>
        <v>1.2449246593693148</v>
      </c>
      <c r="I2348" s="89">
        <v>137.69999999999999</v>
      </c>
      <c r="J2348" s="1">
        <v>89.603125000000006</v>
      </c>
    </row>
    <row r="2349" spans="1:10" x14ac:dyDescent="0.3">
      <c r="A2349" s="88" t="s">
        <v>484</v>
      </c>
      <c r="B2349" s="24">
        <v>39236</v>
      </c>
      <c r="C2349" s="1">
        <v>7.8524460451283726</v>
      </c>
      <c r="D2349" s="1">
        <v>17.899999999999999</v>
      </c>
      <c r="E2349" s="1">
        <v>12</v>
      </c>
      <c r="F2349" s="1">
        <v>0.05</v>
      </c>
      <c r="G2349" s="1"/>
      <c r="H2349" s="126">
        <f t="shared" si="36"/>
        <v>1.4030231277532583</v>
      </c>
      <c r="I2349" s="89">
        <v>159.97642105263159</v>
      </c>
      <c r="J2349" s="1">
        <v>93.694736842105257</v>
      </c>
    </row>
    <row r="2350" spans="1:10" x14ac:dyDescent="0.3">
      <c r="A2350" s="88" t="s">
        <v>484</v>
      </c>
      <c r="B2350" s="24">
        <v>39237</v>
      </c>
      <c r="C2350" s="1">
        <v>10.700168481078279</v>
      </c>
      <c r="D2350" s="1">
        <v>19</v>
      </c>
      <c r="E2350" s="1">
        <v>12.1</v>
      </c>
      <c r="F2350" s="1">
        <v>0</v>
      </c>
      <c r="G2350" s="1"/>
      <c r="H2350" s="126">
        <f t="shared" si="36"/>
        <v>1.4123014242757443</v>
      </c>
      <c r="I2350" s="89">
        <v>176.76000000000005</v>
      </c>
      <c r="J2350" s="1">
        <v>92.803125000000065</v>
      </c>
    </row>
    <row r="2351" spans="1:10" x14ac:dyDescent="0.3">
      <c r="A2351" s="88" t="s">
        <v>484</v>
      </c>
      <c r="B2351" s="24">
        <v>39238</v>
      </c>
      <c r="C2351" s="1">
        <v>14.608893496918382</v>
      </c>
      <c r="D2351" s="1">
        <v>20.399999999999999</v>
      </c>
      <c r="E2351" s="1">
        <v>14.4</v>
      </c>
      <c r="F2351" s="1">
        <v>1.2350000000000001</v>
      </c>
      <c r="G2351" s="1"/>
      <c r="H2351" s="126">
        <f t="shared" si="36"/>
        <v>1.6411136286522547</v>
      </c>
      <c r="I2351" s="89">
        <v>142.65000000000003</v>
      </c>
      <c r="J2351" s="1">
        <v>91.741666666666632</v>
      </c>
    </row>
    <row r="2352" spans="1:10" x14ac:dyDescent="0.3">
      <c r="A2352" s="88" t="s">
        <v>484</v>
      </c>
      <c r="B2352" s="24">
        <v>39239</v>
      </c>
      <c r="C2352" s="1">
        <v>19.278123379989633</v>
      </c>
      <c r="D2352" s="1">
        <v>23.5</v>
      </c>
      <c r="E2352" s="1">
        <v>12.9</v>
      </c>
      <c r="F2352" s="1">
        <v>0.02</v>
      </c>
      <c r="G2352" s="1"/>
      <c r="H2352" s="126">
        <f t="shared" si="36"/>
        <v>1.4884887514247067</v>
      </c>
      <c r="I2352" s="89">
        <v>118.71000000000001</v>
      </c>
      <c r="J2352" s="1">
        <v>89.441666666666677</v>
      </c>
    </row>
    <row r="2353" spans="1:11" x14ac:dyDescent="0.3">
      <c r="A2353" s="88" t="s">
        <v>484</v>
      </c>
      <c r="B2353" s="24">
        <v>39240</v>
      </c>
      <c r="C2353" s="1">
        <v>24.114754334427744</v>
      </c>
      <c r="D2353" s="1">
        <v>28</v>
      </c>
      <c r="E2353" s="1">
        <v>15.1</v>
      </c>
      <c r="F2353" s="1">
        <v>0</v>
      </c>
      <c r="G2353" s="1"/>
      <c r="H2353" s="126">
        <f t="shared" si="36"/>
        <v>1.7169184104549529</v>
      </c>
      <c r="I2353" s="89">
        <v>213.93000000000006</v>
      </c>
      <c r="J2353" s="1">
        <v>83.09479166666668</v>
      </c>
    </row>
    <row r="2354" spans="1:11" x14ac:dyDescent="0.3">
      <c r="A2354" s="88" t="s">
        <v>484</v>
      </c>
      <c r="B2354" s="24">
        <v>39241</v>
      </c>
      <c r="C2354" s="1">
        <v>26.430469155002591</v>
      </c>
      <c r="D2354" s="1">
        <v>28.8</v>
      </c>
      <c r="E2354" s="1">
        <v>15.8</v>
      </c>
      <c r="F2354" s="1">
        <v>0.01</v>
      </c>
      <c r="G2354" s="1"/>
      <c r="H2354" s="126">
        <f t="shared" si="36"/>
        <v>1.7957760971031187</v>
      </c>
      <c r="I2354" s="89">
        <v>292.77</v>
      </c>
      <c r="J2354" s="1">
        <v>76.330208333333331</v>
      </c>
    </row>
    <row r="2355" spans="1:11" x14ac:dyDescent="0.3">
      <c r="A2355" s="88" t="s">
        <v>484</v>
      </c>
      <c r="B2355" s="24">
        <v>39242</v>
      </c>
      <c r="C2355" s="1">
        <v>22.085241345544613</v>
      </c>
      <c r="D2355" s="1">
        <v>29.1</v>
      </c>
      <c r="E2355" s="1">
        <v>15.9</v>
      </c>
      <c r="F2355" s="1">
        <v>5.5049999999999999</v>
      </c>
      <c r="G2355" s="1"/>
      <c r="H2355" s="126">
        <f t="shared" si="36"/>
        <v>1.8072967155190105</v>
      </c>
      <c r="I2355" s="89">
        <v>445.23</v>
      </c>
      <c r="J2355" s="1">
        <v>80.226041666666688</v>
      </c>
    </row>
    <row r="2356" spans="1:11" x14ac:dyDescent="0.3">
      <c r="A2356" s="88" t="s">
        <v>484</v>
      </c>
      <c r="B2356" s="24">
        <v>39243</v>
      </c>
      <c r="C2356" s="1">
        <v>28.153980185473188</v>
      </c>
      <c r="D2356" s="1">
        <v>28.1</v>
      </c>
      <c r="E2356" s="1">
        <v>15.9</v>
      </c>
      <c r="F2356" s="1">
        <v>2.5000000000000001E-2</v>
      </c>
      <c r="G2356" s="1"/>
      <c r="H2356" s="126">
        <f t="shared" si="36"/>
        <v>1.8072967155190105</v>
      </c>
      <c r="I2356" s="89">
        <v>183.60000000000002</v>
      </c>
      <c r="J2356" s="1">
        <v>77.909374999999997</v>
      </c>
    </row>
    <row r="2357" spans="1:11" x14ac:dyDescent="0.3">
      <c r="A2357" s="88" t="s">
        <v>484</v>
      </c>
      <c r="B2357" s="24">
        <v>39244</v>
      </c>
      <c r="C2357" s="1">
        <v>27.824578077299698</v>
      </c>
      <c r="D2357" s="1">
        <v>28.5</v>
      </c>
      <c r="E2357" s="1">
        <v>14.9</v>
      </c>
      <c r="F2357" s="1">
        <v>0</v>
      </c>
      <c r="G2357" s="1"/>
      <c r="H2357" s="126">
        <f t="shared" si="36"/>
        <v>1.6949528505265632</v>
      </c>
      <c r="I2357" s="89">
        <v>203.93999999999997</v>
      </c>
      <c r="J2357" s="1">
        <v>75.279166666666654</v>
      </c>
      <c r="K2357" s="34">
        <v>548.88693299604722</v>
      </c>
    </row>
    <row r="2358" spans="1:11" x14ac:dyDescent="0.3">
      <c r="A2358" s="88" t="s">
        <v>484</v>
      </c>
      <c r="B2358" s="24">
        <v>39245</v>
      </c>
      <c r="C2358" s="1">
        <v>23.555850757444851</v>
      </c>
      <c r="D2358" s="1">
        <v>26.8</v>
      </c>
      <c r="E2358" s="1">
        <v>16.100000000000001</v>
      </c>
      <c r="F2358" s="1">
        <v>0</v>
      </c>
      <c r="G2358" s="1"/>
      <c r="H2358" s="126">
        <f t="shared" si="36"/>
        <v>1.8305324367134694</v>
      </c>
      <c r="I2358" s="89">
        <v>236.07</v>
      </c>
      <c r="J2358" s="1">
        <v>79.221874999999997</v>
      </c>
      <c r="K2358" s="34">
        <v>547.68256002231294</v>
      </c>
    </row>
    <row r="2359" spans="1:11" x14ac:dyDescent="0.3">
      <c r="A2359" s="88" t="s">
        <v>484</v>
      </c>
      <c r="B2359" s="24">
        <v>39246</v>
      </c>
      <c r="C2359" s="1">
        <v>20.530931397960948</v>
      </c>
      <c r="D2359" s="1">
        <v>23.6</v>
      </c>
      <c r="E2359" s="1">
        <v>15.9</v>
      </c>
      <c r="F2359" s="1">
        <v>0</v>
      </c>
      <c r="G2359" s="1"/>
      <c r="H2359" s="126">
        <f t="shared" si="36"/>
        <v>1.8072967155190105</v>
      </c>
      <c r="I2359" s="89">
        <v>246.24</v>
      </c>
      <c r="J2359" s="1">
        <v>81.902083333333351</v>
      </c>
      <c r="K2359" s="34">
        <v>550.03007968127474</v>
      </c>
    </row>
    <row r="2360" spans="1:11" x14ac:dyDescent="0.3">
      <c r="A2360" s="88" t="s">
        <v>484</v>
      </c>
      <c r="B2360" s="24">
        <v>39247</v>
      </c>
      <c r="C2360" s="1">
        <v>19.891027302574738</v>
      </c>
      <c r="D2360" s="1">
        <v>26.1</v>
      </c>
      <c r="E2360" s="1">
        <v>15.1</v>
      </c>
      <c r="F2360" s="1">
        <v>5.9349999999999996</v>
      </c>
      <c r="G2360" s="1"/>
      <c r="H2360" s="126">
        <f t="shared" si="36"/>
        <v>1.7169184104549529</v>
      </c>
      <c r="I2360" s="89">
        <v>129.96</v>
      </c>
      <c r="J2360" s="1">
        <v>81.796875</v>
      </c>
      <c r="K2360" s="34">
        <v>550.96650579872835</v>
      </c>
    </row>
    <row r="2361" spans="1:11" x14ac:dyDescent="0.3">
      <c r="A2361" s="88" t="s">
        <v>484</v>
      </c>
      <c r="B2361" s="24">
        <v>39248</v>
      </c>
      <c r="C2361" s="1">
        <v>19.558025171361098</v>
      </c>
      <c r="D2361" s="1">
        <v>25.4</v>
      </c>
      <c r="E2361" s="1">
        <v>16.5</v>
      </c>
      <c r="F2361" s="1">
        <v>11.53</v>
      </c>
      <c r="G2361" s="1"/>
      <c r="H2361" s="126">
        <f t="shared" si="36"/>
        <v>1.8777904954698514</v>
      </c>
      <c r="I2361" s="89">
        <v>197.36999999999998</v>
      </c>
      <c r="J2361" s="1">
        <v>91.144791666666663</v>
      </c>
      <c r="K2361" s="34">
        <v>549.0606868686865</v>
      </c>
    </row>
    <row r="2362" spans="1:11" x14ac:dyDescent="0.3">
      <c r="A2362" s="88" t="s">
        <v>484</v>
      </c>
      <c r="B2362" s="24">
        <v>39249</v>
      </c>
      <c r="C2362" s="1">
        <v>18.295317090029375</v>
      </c>
      <c r="D2362" s="1">
        <v>21.2</v>
      </c>
      <c r="E2362" s="1">
        <v>14.3</v>
      </c>
      <c r="F2362" s="1">
        <v>5.8150000000000004</v>
      </c>
      <c r="G2362" s="1"/>
      <c r="H2362" s="126">
        <f t="shared" si="36"/>
        <v>1.6305276651269101</v>
      </c>
      <c r="I2362" s="89">
        <v>250.29000000000002</v>
      </c>
      <c r="J2362" s="1">
        <v>85.110416666666694</v>
      </c>
      <c r="K2362" s="34">
        <v>549.96520874751491</v>
      </c>
    </row>
    <row r="2363" spans="1:11" x14ac:dyDescent="0.3">
      <c r="A2363" s="88" t="s">
        <v>484</v>
      </c>
      <c r="B2363" s="24">
        <v>39250</v>
      </c>
      <c r="C2363" s="1">
        <v>20.82253326421289</v>
      </c>
      <c r="D2363" s="1">
        <v>21.8</v>
      </c>
      <c r="E2363" s="1">
        <v>12.4</v>
      </c>
      <c r="F2363" s="1">
        <v>0</v>
      </c>
      <c r="G2363" s="1"/>
      <c r="H2363" s="126">
        <f t="shared" si="36"/>
        <v>1.4404604588486194</v>
      </c>
      <c r="I2363" s="89">
        <v>166.59</v>
      </c>
      <c r="J2363" s="1">
        <v>81.452083333333306</v>
      </c>
      <c r="K2363" s="34">
        <v>551.99731343283622</v>
      </c>
    </row>
    <row r="2364" spans="1:11" x14ac:dyDescent="0.3">
      <c r="A2364" s="88" t="s">
        <v>484</v>
      </c>
      <c r="B2364" s="24">
        <v>39251</v>
      </c>
      <c r="C2364" s="1">
        <v>11.525473763032084</v>
      </c>
      <c r="D2364" s="1">
        <v>20.2</v>
      </c>
      <c r="E2364" s="1">
        <v>14.1</v>
      </c>
      <c r="F2364" s="1">
        <v>8.2949999999999999</v>
      </c>
      <c r="G2364" s="1"/>
      <c r="H2364" s="126">
        <f t="shared" si="36"/>
        <v>1.6095352919714581</v>
      </c>
      <c r="I2364" s="89">
        <v>221.49</v>
      </c>
      <c r="J2364" s="1">
        <v>90.066666666666663</v>
      </c>
      <c r="K2364" s="34">
        <v>551.57563451776684</v>
      </c>
    </row>
    <row r="2365" spans="1:11" x14ac:dyDescent="0.3">
      <c r="A2365" s="88" t="s">
        <v>484</v>
      </c>
      <c r="B2365" s="24">
        <v>39252</v>
      </c>
      <c r="C2365" s="1">
        <v>28.457282126605609</v>
      </c>
      <c r="D2365" s="1">
        <v>24.5</v>
      </c>
      <c r="E2365" s="1">
        <v>13.6</v>
      </c>
      <c r="F2365" s="1">
        <v>5.0000000000000001E-3</v>
      </c>
      <c r="G2365" s="1"/>
      <c r="H2365" s="126">
        <f t="shared" si="36"/>
        <v>1.55808835361568</v>
      </c>
      <c r="I2365" s="89">
        <v>140.4</v>
      </c>
      <c r="J2365" s="1">
        <v>82.13229166666666</v>
      </c>
      <c r="K2365" s="34">
        <v>554.80139026812378</v>
      </c>
    </row>
    <row r="2366" spans="1:11" x14ac:dyDescent="0.3">
      <c r="A2366" s="88" t="s">
        <v>484</v>
      </c>
      <c r="B2366" s="24">
        <v>39253</v>
      </c>
      <c r="C2366" s="1">
        <v>24.452256494441567</v>
      </c>
      <c r="D2366" s="1">
        <v>28.6</v>
      </c>
      <c r="E2366" s="1">
        <v>14.9</v>
      </c>
      <c r="F2366" s="1">
        <v>3.5000000000000003E-2</v>
      </c>
      <c r="G2366" s="1"/>
      <c r="H2366" s="126">
        <f t="shared" si="36"/>
        <v>1.6949528505265632</v>
      </c>
      <c r="I2366" s="89">
        <v>216.45000000000002</v>
      </c>
      <c r="J2366" s="1">
        <v>79.37708333333336</v>
      </c>
      <c r="K2366" s="34">
        <v>553.17538104705102</v>
      </c>
    </row>
    <row r="2367" spans="1:11" x14ac:dyDescent="0.3">
      <c r="A2367" s="88" t="s">
        <v>484</v>
      </c>
      <c r="B2367" s="24">
        <v>39254</v>
      </c>
      <c r="C2367" s="1">
        <v>4.1940268417717874</v>
      </c>
      <c r="D2367" s="1">
        <v>19.600000000000001</v>
      </c>
      <c r="E2367" s="1">
        <v>12.6</v>
      </c>
      <c r="F2367" s="1">
        <v>16.765000000000001</v>
      </c>
      <c r="G2367" s="1"/>
      <c r="H2367" s="126">
        <f t="shared" si="36"/>
        <v>1.4595059422181114</v>
      </c>
      <c r="I2367" s="89">
        <v>160.65</v>
      </c>
      <c r="J2367" s="1">
        <v>90.234375</v>
      </c>
      <c r="K2367" s="34">
        <v>534.21087190527442</v>
      </c>
    </row>
    <row r="2368" spans="1:11" x14ac:dyDescent="0.3">
      <c r="A2368" s="88" t="s">
        <v>484</v>
      </c>
      <c r="B2368" s="24">
        <v>39255</v>
      </c>
      <c r="C2368" s="1">
        <v>22.140141696906859</v>
      </c>
      <c r="D2368" s="1">
        <v>21.4</v>
      </c>
      <c r="E2368" s="1">
        <v>13</v>
      </c>
      <c r="F2368" s="1">
        <v>3.04</v>
      </c>
      <c r="G2368" s="1"/>
      <c r="H2368" s="126">
        <f t="shared" si="36"/>
        <v>1.498261331998219</v>
      </c>
      <c r="I2368" s="89">
        <v>181.17</v>
      </c>
      <c r="J2368" s="1">
        <v>89.876041666666694</v>
      </c>
      <c r="K2368" s="34">
        <v>549.65902534113059</v>
      </c>
    </row>
    <row r="2369" spans="1:11" x14ac:dyDescent="0.3">
      <c r="A2369" s="88" t="s">
        <v>484</v>
      </c>
      <c r="B2369" s="24">
        <v>39256</v>
      </c>
      <c r="C2369" s="1">
        <v>17.843514198490873</v>
      </c>
      <c r="D2369" s="1">
        <v>19.3</v>
      </c>
      <c r="E2369" s="1">
        <v>13.7</v>
      </c>
      <c r="F2369" s="1">
        <v>4.34</v>
      </c>
      <c r="G2369" s="1"/>
      <c r="H2369" s="126">
        <f t="shared" si="36"/>
        <v>1.568260711501982</v>
      </c>
      <c r="I2369" s="89">
        <v>232.46999999999997</v>
      </c>
      <c r="J2369" s="1">
        <v>89.713541666666671</v>
      </c>
      <c r="K2369" s="34">
        <v>549.94707050645491</v>
      </c>
    </row>
    <row r="2370" spans="1:11" x14ac:dyDescent="0.3">
      <c r="A2370" s="88" t="s">
        <v>484</v>
      </c>
      <c r="B2370" s="24">
        <v>39257</v>
      </c>
      <c r="C2370" s="1">
        <v>21.65233857496688</v>
      </c>
      <c r="D2370" s="1">
        <v>21.9</v>
      </c>
      <c r="E2370" s="1">
        <v>13.3</v>
      </c>
      <c r="F2370" s="1">
        <v>0</v>
      </c>
      <c r="G2370" s="1"/>
      <c r="H2370" s="126">
        <f t="shared" si="36"/>
        <v>1.5279178496783383</v>
      </c>
      <c r="I2370" s="89">
        <v>173.52000000000004</v>
      </c>
      <c r="J2370" s="1">
        <v>83.836458333333312</v>
      </c>
      <c r="K2370" s="34">
        <v>550.3939032471834</v>
      </c>
    </row>
    <row r="2371" spans="1:11" x14ac:dyDescent="0.3">
      <c r="A2371" s="88" t="s">
        <v>484</v>
      </c>
      <c r="B2371" s="24">
        <v>39258</v>
      </c>
      <c r="C2371" s="1">
        <v>11.725275041760268</v>
      </c>
      <c r="D2371" s="1">
        <v>23</v>
      </c>
      <c r="E2371" s="1">
        <v>15</v>
      </c>
      <c r="F2371" s="1">
        <v>1.48</v>
      </c>
      <c r="G2371" s="1"/>
      <c r="H2371" s="126">
        <f t="shared" si="36"/>
        <v>1.7059046297032363</v>
      </c>
      <c r="I2371" s="89">
        <v>165.24</v>
      </c>
      <c r="J2371" s="1">
        <v>85.163541666666688</v>
      </c>
      <c r="K2371" s="34">
        <v>549.90961057520542</v>
      </c>
    </row>
    <row r="2372" spans="1:11" x14ac:dyDescent="0.3">
      <c r="A2372" s="88" t="s">
        <v>484</v>
      </c>
      <c r="B2372" s="24">
        <v>39259</v>
      </c>
      <c r="C2372" s="1">
        <v>16.872407983411094</v>
      </c>
      <c r="D2372" s="1">
        <v>17.399999999999999</v>
      </c>
      <c r="E2372" s="1">
        <v>10.8</v>
      </c>
      <c r="F2372" s="1">
        <v>1.8</v>
      </c>
      <c r="G2372" s="1"/>
      <c r="H2372" s="126">
        <f t="shared" ref="H2372:H2435" si="37">0.611*EXP((17.27*E2372)/(E2372+237.3))</f>
        <v>1.2957882396636844</v>
      </c>
      <c r="I2372" s="89">
        <v>467.91000000000008</v>
      </c>
      <c r="J2372" s="1">
        <v>84.965625000000003</v>
      </c>
      <c r="K2372" s="34">
        <v>547.85811795891289</v>
      </c>
    </row>
    <row r="2373" spans="1:11" x14ac:dyDescent="0.3">
      <c r="A2373" s="88" t="s">
        <v>484</v>
      </c>
      <c r="B2373" s="24">
        <v>39260</v>
      </c>
      <c r="C2373" s="1">
        <v>14.37669201082887</v>
      </c>
      <c r="D2373" s="1">
        <v>16.399999999999999</v>
      </c>
      <c r="E2373" s="1">
        <v>9.9</v>
      </c>
      <c r="F2373" s="1">
        <v>1</v>
      </c>
      <c r="G2373" s="1"/>
      <c r="H2373" s="126">
        <f t="shared" si="37"/>
        <v>1.2201575987481763</v>
      </c>
      <c r="I2373" s="89">
        <v>535.14</v>
      </c>
      <c r="J2373" s="1">
        <v>79.552083333333314</v>
      </c>
      <c r="K2373" s="34">
        <v>549.44099502487609</v>
      </c>
    </row>
    <row r="2374" spans="1:11" x14ac:dyDescent="0.3">
      <c r="A2374" s="88" t="s">
        <v>484</v>
      </c>
      <c r="B2374" s="24">
        <v>39261</v>
      </c>
      <c r="C2374" s="1">
        <v>15.91480185473187</v>
      </c>
      <c r="D2374" s="1">
        <v>18.3</v>
      </c>
      <c r="E2374" s="1">
        <v>10.9</v>
      </c>
      <c r="F2374" s="1">
        <v>0.88</v>
      </c>
      <c r="G2374" s="1"/>
      <c r="H2374" s="126">
        <f t="shared" si="37"/>
        <v>1.3044407381026226</v>
      </c>
      <c r="I2374" s="89">
        <v>306.36000000000013</v>
      </c>
      <c r="J2374" s="1">
        <v>82.779166666666683</v>
      </c>
      <c r="K2374" s="34">
        <v>549.77014925373123</v>
      </c>
    </row>
    <row r="2375" spans="1:11" x14ac:dyDescent="0.3">
      <c r="A2375" s="88" t="s">
        <v>484</v>
      </c>
      <c r="B2375" s="24">
        <v>39262</v>
      </c>
      <c r="C2375" s="1">
        <v>8.9793574678877945</v>
      </c>
      <c r="D2375" s="1">
        <v>18.2</v>
      </c>
      <c r="E2375" s="1">
        <v>9.1999999999999993</v>
      </c>
      <c r="F2375" s="1">
        <v>2.2999999999999998</v>
      </c>
      <c r="G2375" s="1"/>
      <c r="H2375" s="126">
        <f t="shared" si="37"/>
        <v>1.16404559315309</v>
      </c>
      <c r="I2375" s="89">
        <v>177.21000000000004</v>
      </c>
      <c r="J2375" s="1">
        <v>86.99166666666666</v>
      </c>
      <c r="K2375" s="34">
        <v>549.7346281540506</v>
      </c>
    </row>
    <row r="2376" spans="1:11" x14ac:dyDescent="0.3">
      <c r="A2376" s="88" t="s">
        <v>484</v>
      </c>
      <c r="B2376" s="24">
        <v>39263</v>
      </c>
      <c r="C2376" s="1">
        <v>13.29758510454467</v>
      </c>
      <c r="D2376" s="1">
        <v>19.2</v>
      </c>
      <c r="E2376" s="1">
        <v>12.7</v>
      </c>
      <c r="F2376" s="1">
        <v>3.66</v>
      </c>
      <c r="G2376" s="1"/>
      <c r="H2376" s="126">
        <f t="shared" si="37"/>
        <v>1.4691113294420337</v>
      </c>
      <c r="I2376" s="89">
        <v>276.20999999999998</v>
      </c>
      <c r="J2376" s="1">
        <v>85.731250000000003</v>
      </c>
      <c r="K2376" s="34">
        <v>549.63821867730178</v>
      </c>
    </row>
    <row r="2377" spans="1:11" x14ac:dyDescent="0.3">
      <c r="A2377" s="88" t="s">
        <v>484</v>
      </c>
      <c r="B2377" s="24">
        <v>39264</v>
      </c>
      <c r="C2377" s="1">
        <v>15.03369621565578</v>
      </c>
      <c r="D2377" s="1">
        <v>24.1</v>
      </c>
      <c r="E2377" s="1">
        <v>14.3</v>
      </c>
      <c r="F2377" s="1">
        <v>0.91</v>
      </c>
      <c r="G2377" s="1"/>
      <c r="H2377" s="126">
        <f t="shared" si="37"/>
        <v>1.6305276651269101</v>
      </c>
      <c r="I2377" s="89">
        <v>126.53999999999999</v>
      </c>
      <c r="J2377" s="1">
        <v>85.08541666666666</v>
      </c>
      <c r="K2377" s="34">
        <v>549.88629407850942</v>
      </c>
    </row>
    <row r="2378" spans="1:11" x14ac:dyDescent="0.3">
      <c r="A2378" s="88" t="s">
        <v>484</v>
      </c>
      <c r="B2378" s="24">
        <v>39265</v>
      </c>
      <c r="C2378" s="1">
        <v>10.792869074362077</v>
      </c>
      <c r="D2378" s="1">
        <v>21.7</v>
      </c>
      <c r="E2378" s="1">
        <v>13.8</v>
      </c>
      <c r="F2378" s="1">
        <v>13.305</v>
      </c>
      <c r="G2378" s="1"/>
      <c r="H2378" s="126">
        <f t="shared" si="37"/>
        <v>1.5784913004187435</v>
      </c>
      <c r="I2378" s="89">
        <v>125.18999999999994</v>
      </c>
      <c r="J2378" s="1">
        <v>92.397916666666617</v>
      </c>
      <c r="K2378" s="34">
        <v>547.55139314705741</v>
      </c>
    </row>
    <row r="2379" spans="1:11" x14ac:dyDescent="0.3">
      <c r="A2379" s="88" t="s">
        <v>484</v>
      </c>
      <c r="B2379" s="24">
        <v>39266</v>
      </c>
      <c r="C2379" s="1">
        <v>16.573606071078853</v>
      </c>
      <c r="D2379" s="1">
        <v>20.8</v>
      </c>
      <c r="E2379" s="1">
        <v>12</v>
      </c>
      <c r="F2379" s="1">
        <v>3.81</v>
      </c>
      <c r="G2379" s="1"/>
      <c r="H2379" s="126">
        <f t="shared" si="37"/>
        <v>1.4030231277532583</v>
      </c>
      <c r="I2379" s="89">
        <v>177.12</v>
      </c>
      <c r="J2379" s="1">
        <v>90.579166666666694</v>
      </c>
      <c r="K2379" s="34">
        <v>549.63919835131185</v>
      </c>
    </row>
    <row r="2380" spans="1:11" x14ac:dyDescent="0.3">
      <c r="A2380" s="88" t="s">
        <v>484</v>
      </c>
      <c r="B2380" s="24">
        <v>39267</v>
      </c>
      <c r="C2380" s="1">
        <v>17.97221502217614</v>
      </c>
      <c r="D2380" s="1">
        <v>18.5</v>
      </c>
      <c r="E2380" s="1">
        <v>11.8</v>
      </c>
      <c r="F2380" s="1">
        <v>2.8149999999999999</v>
      </c>
      <c r="G2380" s="1"/>
      <c r="H2380" s="126">
        <f t="shared" si="37"/>
        <v>1.3846270162501679</v>
      </c>
      <c r="I2380" s="89">
        <v>260.73000000000013</v>
      </c>
      <c r="J2380" s="1">
        <v>90.609375</v>
      </c>
      <c r="K2380" s="34">
        <v>549.22645290581158</v>
      </c>
    </row>
    <row r="2381" spans="1:11" x14ac:dyDescent="0.3">
      <c r="A2381" s="88" t="s">
        <v>484</v>
      </c>
      <c r="B2381" s="24">
        <v>39268</v>
      </c>
      <c r="C2381" s="1">
        <v>14.938295605091874</v>
      </c>
      <c r="D2381" s="1">
        <v>19.8</v>
      </c>
      <c r="E2381" s="1">
        <v>12.7</v>
      </c>
      <c r="F2381" s="1">
        <v>0.67</v>
      </c>
      <c r="G2381" s="1"/>
      <c r="H2381" s="126">
        <f t="shared" si="37"/>
        <v>1.4691113294420337</v>
      </c>
      <c r="I2381" s="89">
        <v>358.83000000000004</v>
      </c>
      <c r="J2381" s="1">
        <v>88.739583333333314</v>
      </c>
      <c r="K2381" s="34">
        <v>549.13142761618212</v>
      </c>
    </row>
    <row r="2382" spans="1:11" x14ac:dyDescent="0.3">
      <c r="A2382" s="88" t="s">
        <v>484</v>
      </c>
      <c r="B2382" s="24">
        <v>39269</v>
      </c>
      <c r="C2382" s="1">
        <v>13.158084211738954</v>
      </c>
      <c r="D2382" s="1">
        <v>19</v>
      </c>
      <c r="E2382" s="1">
        <v>12.5</v>
      </c>
      <c r="F2382" s="1">
        <v>0.435</v>
      </c>
      <c r="G2382" s="1"/>
      <c r="H2382" s="126">
        <f t="shared" si="37"/>
        <v>1.4499557420926388</v>
      </c>
      <c r="I2382" s="89">
        <v>425.43000000000018</v>
      </c>
      <c r="J2382" s="1">
        <v>85.518749999999997</v>
      </c>
      <c r="K2382" s="34">
        <v>548.3379229480737</v>
      </c>
    </row>
    <row r="2383" spans="1:11" x14ac:dyDescent="0.3">
      <c r="A2383" s="88" t="s">
        <v>484</v>
      </c>
      <c r="B2383" s="24">
        <v>39270</v>
      </c>
      <c r="C2383" s="1">
        <v>15.05079632509648</v>
      </c>
      <c r="D2383" s="1">
        <v>20.3</v>
      </c>
      <c r="E2383" s="1">
        <v>12.7</v>
      </c>
      <c r="F2383" s="1">
        <v>0.125</v>
      </c>
      <c r="G2383" s="1"/>
      <c r="H2383" s="126">
        <f t="shared" si="37"/>
        <v>1.4691113294420337</v>
      </c>
      <c r="I2383" s="89">
        <v>490.68000000000006</v>
      </c>
      <c r="J2383" s="1">
        <v>82.92916666666666</v>
      </c>
      <c r="K2383" s="34">
        <v>547.53973843058361</v>
      </c>
    </row>
    <row r="2384" spans="1:11" x14ac:dyDescent="0.3">
      <c r="A2384" s="88" t="s">
        <v>484</v>
      </c>
      <c r="B2384" s="24">
        <v>39271</v>
      </c>
      <c r="C2384" s="1">
        <v>24.00315362018317</v>
      </c>
      <c r="D2384" s="1">
        <v>21.9</v>
      </c>
      <c r="E2384" s="1">
        <v>10.7</v>
      </c>
      <c r="F2384" s="1">
        <v>0</v>
      </c>
      <c r="G2384" s="1"/>
      <c r="H2384" s="126">
        <f t="shared" si="37"/>
        <v>1.2871862257172708</v>
      </c>
      <c r="I2384" s="89">
        <v>230.85000000000002</v>
      </c>
      <c r="J2384" s="1">
        <v>78.672916666666666</v>
      </c>
      <c r="K2384" s="34">
        <v>550.0990591397848</v>
      </c>
    </row>
    <row r="2385" spans="1:11" x14ac:dyDescent="0.3">
      <c r="A2385" s="88" t="s">
        <v>484</v>
      </c>
      <c r="B2385" s="24">
        <v>39272</v>
      </c>
      <c r="C2385" s="1">
        <v>5.9310379586429347</v>
      </c>
      <c r="D2385" s="1">
        <v>15.4</v>
      </c>
      <c r="E2385" s="1">
        <v>11.9</v>
      </c>
      <c r="F2385" s="1">
        <v>6.4649999999999999</v>
      </c>
      <c r="G2385" s="1"/>
      <c r="H2385" s="126">
        <f t="shared" si="37"/>
        <v>1.3937984130245886</v>
      </c>
      <c r="I2385" s="89">
        <v>137.25</v>
      </c>
      <c r="J2385" s="1">
        <v>91.079166666666723</v>
      </c>
      <c r="K2385" s="34">
        <v>549.46771043771048</v>
      </c>
    </row>
    <row r="2386" spans="1:11" x14ac:dyDescent="0.3">
      <c r="A2386" s="88" t="s">
        <v>484</v>
      </c>
      <c r="B2386" s="24">
        <v>39273</v>
      </c>
      <c r="C2386" s="1">
        <v>15.619599965439779</v>
      </c>
      <c r="D2386" s="1">
        <v>18.600000000000001</v>
      </c>
      <c r="E2386" s="1">
        <v>10.7</v>
      </c>
      <c r="F2386" s="1">
        <v>3.22</v>
      </c>
      <c r="G2386" s="1"/>
      <c r="H2386" s="126">
        <f t="shared" si="37"/>
        <v>1.2871862257172708</v>
      </c>
      <c r="I2386" s="89">
        <v>162.35999999999999</v>
      </c>
      <c r="J2386" s="1">
        <v>91.304166666666632</v>
      </c>
      <c r="K2386" s="34">
        <v>549.74661274014136</v>
      </c>
    </row>
    <row r="2387" spans="1:11" x14ac:dyDescent="0.3">
      <c r="A2387" s="88" t="s">
        <v>484</v>
      </c>
      <c r="B2387" s="24">
        <v>39274</v>
      </c>
      <c r="C2387" s="1">
        <v>11.376972812626002</v>
      </c>
      <c r="D2387" s="1">
        <v>17.2</v>
      </c>
      <c r="E2387" s="1">
        <v>9.6999999999999993</v>
      </c>
      <c r="F2387" s="1">
        <v>4.3</v>
      </c>
      <c r="G2387" s="1"/>
      <c r="H2387" s="126">
        <f t="shared" si="37"/>
        <v>1.2038879226915637</v>
      </c>
      <c r="I2387" s="89">
        <v>262.70999999999998</v>
      </c>
      <c r="J2387" s="1">
        <v>89.544791666666697</v>
      </c>
      <c r="K2387" s="34">
        <v>549.59518555474313</v>
      </c>
    </row>
    <row r="2388" spans="1:11" x14ac:dyDescent="0.3">
      <c r="A2388" s="88" t="s">
        <v>484</v>
      </c>
      <c r="B2388" s="24">
        <v>39275</v>
      </c>
      <c r="C2388" s="1">
        <v>9.8424629917631474</v>
      </c>
      <c r="D2388" s="1">
        <v>18.8</v>
      </c>
      <c r="E2388" s="1">
        <v>12.8</v>
      </c>
      <c r="F2388" s="1">
        <v>1.86</v>
      </c>
      <c r="G2388" s="1"/>
      <c r="H2388" s="126">
        <f t="shared" si="37"/>
        <v>1.4787721750550831</v>
      </c>
      <c r="I2388" s="89">
        <v>336.23999999999995</v>
      </c>
      <c r="J2388" s="1">
        <v>84.865624999999994</v>
      </c>
      <c r="K2388" s="34">
        <v>549.85916159567273</v>
      </c>
    </row>
    <row r="2389" spans="1:11" x14ac:dyDescent="0.3">
      <c r="A2389" s="88" t="s">
        <v>484</v>
      </c>
      <c r="B2389" s="24">
        <v>39276</v>
      </c>
      <c r="C2389" s="1">
        <v>16.277504176026728</v>
      </c>
      <c r="D2389" s="1">
        <v>23.7</v>
      </c>
      <c r="E2389" s="1">
        <v>14.8</v>
      </c>
      <c r="F2389" s="1">
        <v>3.0350000000000001</v>
      </c>
      <c r="G2389" s="1"/>
      <c r="H2389" s="126">
        <f t="shared" si="37"/>
        <v>1.6840627760776321</v>
      </c>
      <c r="I2389" s="89">
        <v>253.53000000000003</v>
      </c>
      <c r="J2389" s="1">
        <v>83.703125</v>
      </c>
      <c r="K2389" s="34">
        <v>550.20671414038679</v>
      </c>
    </row>
    <row r="2390" spans="1:11" x14ac:dyDescent="0.3">
      <c r="A2390" s="88" t="s">
        <v>484</v>
      </c>
      <c r="B2390" s="24">
        <v>39277</v>
      </c>
      <c r="C2390" s="1">
        <v>25.487263118483956</v>
      </c>
      <c r="D2390" s="1">
        <v>31</v>
      </c>
      <c r="E2390" s="1">
        <v>16.100000000000001</v>
      </c>
      <c r="F2390" s="1">
        <v>1.4999999999999999E-2</v>
      </c>
      <c r="G2390" s="1"/>
      <c r="H2390" s="126">
        <f t="shared" si="37"/>
        <v>1.8305324367134694</v>
      </c>
      <c r="I2390" s="89">
        <v>201.77999999999997</v>
      </c>
      <c r="J2390" s="1">
        <v>74.090625000000003</v>
      </c>
      <c r="K2390" s="34">
        <v>549.94105442176897</v>
      </c>
    </row>
    <row r="2391" spans="1:11" x14ac:dyDescent="0.3">
      <c r="A2391" s="88" t="s">
        <v>484</v>
      </c>
      <c r="B2391" s="24">
        <v>39278</v>
      </c>
      <c r="C2391" s="1">
        <v>24.195754852831062</v>
      </c>
      <c r="D2391" s="1">
        <v>33.9</v>
      </c>
      <c r="E2391" s="1">
        <v>15.9</v>
      </c>
      <c r="F2391" s="1">
        <v>0</v>
      </c>
      <c r="G2391" s="1"/>
      <c r="H2391" s="126">
        <f t="shared" si="37"/>
        <v>1.8072967155190105</v>
      </c>
      <c r="I2391" s="89">
        <v>125.91</v>
      </c>
      <c r="J2391" s="1">
        <v>75.280208333333334</v>
      </c>
      <c r="K2391" s="34">
        <v>553.72474437627761</v>
      </c>
    </row>
    <row r="2392" spans="1:11" x14ac:dyDescent="0.3">
      <c r="A2392" s="88" t="s">
        <v>484</v>
      </c>
      <c r="B2392" s="24">
        <v>39279</v>
      </c>
      <c r="C2392" s="1">
        <v>27.134273659351418</v>
      </c>
      <c r="D2392" s="1">
        <v>34.4</v>
      </c>
      <c r="E2392" s="1">
        <v>20.8</v>
      </c>
      <c r="F2392" s="1">
        <v>5.0000000000000001E-3</v>
      </c>
      <c r="G2392" s="1"/>
      <c r="H2392" s="126">
        <f t="shared" si="37"/>
        <v>2.457420719105694</v>
      </c>
      <c r="I2392" s="89">
        <v>179.91000000000003</v>
      </c>
      <c r="J2392" s="1">
        <v>60.071874999999999</v>
      </c>
      <c r="K2392" s="34">
        <v>550.18210382513666</v>
      </c>
    </row>
    <row r="2393" spans="1:11" x14ac:dyDescent="0.3">
      <c r="A2393" s="88" t="s">
        <v>484</v>
      </c>
      <c r="B2393" s="24">
        <v>39280</v>
      </c>
      <c r="C2393" s="1">
        <v>22.898846552617936</v>
      </c>
      <c r="D2393" s="1">
        <v>25.6</v>
      </c>
      <c r="E2393" s="1">
        <v>15.8</v>
      </c>
      <c r="F2393" s="1">
        <v>4.4999999999999998E-2</v>
      </c>
      <c r="G2393" s="1"/>
      <c r="H2393" s="126">
        <f t="shared" si="37"/>
        <v>1.7957760971031187</v>
      </c>
      <c r="I2393" s="89">
        <v>273.60000000000002</v>
      </c>
      <c r="J2393" s="1">
        <v>70.484375</v>
      </c>
      <c r="K2393" s="34">
        <v>548.75714965106579</v>
      </c>
    </row>
    <row r="2394" spans="1:11" x14ac:dyDescent="0.3">
      <c r="A2394" s="88" t="s">
        <v>484</v>
      </c>
      <c r="B2394" s="24">
        <v>39281</v>
      </c>
      <c r="C2394" s="1">
        <v>22.248142388111283</v>
      </c>
      <c r="D2394" s="1">
        <v>26.6</v>
      </c>
      <c r="E2394" s="1">
        <v>13.8</v>
      </c>
      <c r="F2394" s="1">
        <v>0</v>
      </c>
      <c r="G2394" s="1"/>
      <c r="H2394" s="126">
        <f t="shared" si="37"/>
        <v>1.5784913004187435</v>
      </c>
      <c r="I2394" s="89">
        <v>167.58000000000004</v>
      </c>
      <c r="J2394" s="1">
        <v>72.382291666666674</v>
      </c>
      <c r="K2394" s="34">
        <v>549.23181810355231</v>
      </c>
    </row>
    <row r="2395" spans="1:11" x14ac:dyDescent="0.3">
      <c r="A2395" s="88" t="s">
        <v>484</v>
      </c>
      <c r="B2395" s="24">
        <v>39282</v>
      </c>
      <c r="C2395" s="1">
        <v>16.55470595011808</v>
      </c>
      <c r="D2395" s="1">
        <v>23.9</v>
      </c>
      <c r="E2395" s="1">
        <v>12.4</v>
      </c>
      <c r="F2395" s="1">
        <v>1.4999999999999999E-2</v>
      </c>
      <c r="G2395" s="1"/>
      <c r="H2395" s="126">
        <f t="shared" si="37"/>
        <v>1.4404604588486194</v>
      </c>
      <c r="I2395" s="89">
        <v>97.29000000000002</v>
      </c>
      <c r="J2395" s="1">
        <v>77.895833333333357</v>
      </c>
      <c r="K2395" s="34">
        <v>549.22081183350485</v>
      </c>
    </row>
    <row r="2396" spans="1:11" x14ac:dyDescent="0.3">
      <c r="A2396" s="88" t="s">
        <v>484</v>
      </c>
      <c r="B2396" s="24">
        <v>39283</v>
      </c>
      <c r="C2396" s="1">
        <v>20.165529059385982</v>
      </c>
      <c r="D2396" s="1">
        <v>27</v>
      </c>
      <c r="E2396" s="1">
        <v>16</v>
      </c>
      <c r="F2396" s="1">
        <v>0.26500000000000001</v>
      </c>
      <c r="G2396" s="1"/>
      <c r="H2396" s="126">
        <f t="shared" si="37"/>
        <v>1.8188820592283421</v>
      </c>
      <c r="I2396" s="89">
        <v>233.28000000000003</v>
      </c>
      <c r="J2396" s="1">
        <v>76.389583333333334</v>
      </c>
      <c r="K2396" s="34">
        <v>549.61529520636407</v>
      </c>
    </row>
    <row r="2397" spans="1:11" x14ac:dyDescent="0.3">
      <c r="A2397" s="88" t="s">
        <v>484</v>
      </c>
      <c r="B2397" s="24">
        <v>39284</v>
      </c>
      <c r="C2397" s="1">
        <v>21.122235182305168</v>
      </c>
      <c r="D2397" s="1">
        <v>24.3</v>
      </c>
      <c r="E2397" s="1">
        <v>16.100000000000001</v>
      </c>
      <c r="F2397" s="1">
        <v>1.875</v>
      </c>
      <c r="G2397" s="1"/>
      <c r="H2397" s="126">
        <f t="shared" si="37"/>
        <v>1.8305324367134694</v>
      </c>
      <c r="I2397" s="89">
        <v>174.78000000000003</v>
      </c>
      <c r="J2397" s="1">
        <v>77.78854166666666</v>
      </c>
      <c r="K2397" s="34">
        <v>549.57673935617834</v>
      </c>
    </row>
    <row r="2398" spans="1:11" x14ac:dyDescent="0.3">
      <c r="A2398" s="88" t="s">
        <v>484</v>
      </c>
      <c r="B2398" s="24">
        <v>39285</v>
      </c>
      <c r="C2398" s="1">
        <v>16.172203502102416</v>
      </c>
      <c r="D2398" s="1">
        <v>21.6</v>
      </c>
      <c r="E2398" s="1">
        <v>13.1</v>
      </c>
      <c r="F2398" s="1">
        <v>11.33</v>
      </c>
      <c r="G2398" s="1"/>
      <c r="H2398" s="126">
        <f t="shared" si="37"/>
        <v>1.5080901913058991</v>
      </c>
      <c r="I2398" s="89">
        <v>222.93000000000006</v>
      </c>
      <c r="J2398" s="1">
        <v>87.45</v>
      </c>
      <c r="K2398" s="34">
        <v>549.81762053416571</v>
      </c>
    </row>
    <row r="2399" spans="1:11" x14ac:dyDescent="0.3">
      <c r="A2399" s="88" t="s">
        <v>484</v>
      </c>
      <c r="B2399" s="24">
        <v>39286</v>
      </c>
      <c r="C2399" s="1">
        <v>16.897608144692125</v>
      </c>
      <c r="D2399" s="1">
        <v>22</v>
      </c>
      <c r="E2399" s="1">
        <v>11.6</v>
      </c>
      <c r="F2399" s="1">
        <v>0.58499999999999996</v>
      </c>
      <c r="G2399" s="1"/>
      <c r="H2399" s="126">
        <f t="shared" si="37"/>
        <v>1.3664431264636057</v>
      </c>
      <c r="I2399" s="89">
        <v>112.95000000000002</v>
      </c>
      <c r="J2399" s="1">
        <v>81.21770833333332</v>
      </c>
      <c r="K2399" s="34">
        <v>548.28705878922062</v>
      </c>
    </row>
    <row r="2400" spans="1:11" x14ac:dyDescent="0.3">
      <c r="A2400" s="88" t="s">
        <v>484</v>
      </c>
      <c r="B2400" s="24">
        <v>39287</v>
      </c>
      <c r="C2400" s="1">
        <v>9.1836587754161627</v>
      </c>
      <c r="D2400" s="1">
        <v>19.5</v>
      </c>
      <c r="E2400" s="1">
        <v>12.4</v>
      </c>
      <c r="F2400" s="1">
        <v>9.1150000000000002</v>
      </c>
      <c r="G2400" s="1"/>
      <c r="H2400" s="126">
        <f t="shared" si="37"/>
        <v>1.4404604588486194</v>
      </c>
      <c r="I2400" s="89">
        <v>379.71</v>
      </c>
      <c r="J2400" s="1">
        <v>88.661458333333329</v>
      </c>
      <c r="K2400" s="34">
        <v>547.26649232914917</v>
      </c>
    </row>
    <row r="2401" spans="1:11" x14ac:dyDescent="0.3">
      <c r="A2401" s="88" t="s">
        <v>484</v>
      </c>
      <c r="B2401" s="24">
        <v>39288</v>
      </c>
      <c r="C2401" s="1">
        <v>20.098928633143252</v>
      </c>
      <c r="D2401" s="1">
        <v>22.7</v>
      </c>
      <c r="E2401" s="1">
        <v>13.3</v>
      </c>
      <c r="F2401" s="1">
        <v>0</v>
      </c>
      <c r="G2401" s="1"/>
      <c r="H2401" s="126">
        <f t="shared" si="37"/>
        <v>1.5279178496783383</v>
      </c>
      <c r="I2401" s="89">
        <v>397.26000000000005</v>
      </c>
      <c r="J2401" s="1">
        <v>73.363541666666706</v>
      </c>
      <c r="K2401" s="34">
        <v>550.07128366561722</v>
      </c>
    </row>
    <row r="2402" spans="1:11" x14ac:dyDescent="0.3">
      <c r="A2402" s="88" t="s">
        <v>484</v>
      </c>
      <c r="B2402" s="24">
        <v>39289</v>
      </c>
      <c r="C2402" s="1">
        <v>19.405924197914867</v>
      </c>
      <c r="D2402" s="1">
        <v>26.6</v>
      </c>
      <c r="E2402" s="1">
        <v>14</v>
      </c>
      <c r="F2402" s="1">
        <v>0</v>
      </c>
      <c r="G2402" s="1"/>
      <c r="H2402" s="126">
        <f t="shared" si="37"/>
        <v>1.5991283056791965</v>
      </c>
      <c r="I2402" s="89">
        <v>176.13</v>
      </c>
      <c r="J2402" s="1">
        <v>62.692708333333314</v>
      </c>
      <c r="K2402" s="34">
        <v>549.9385614035092</v>
      </c>
    </row>
    <row r="2403" spans="1:11" x14ac:dyDescent="0.3">
      <c r="A2403" s="88" t="s">
        <v>484</v>
      </c>
      <c r="B2403" s="24">
        <v>39290</v>
      </c>
      <c r="C2403" s="1">
        <v>19.835226945452451</v>
      </c>
      <c r="D2403" s="1">
        <v>22.6</v>
      </c>
      <c r="E2403" s="1">
        <v>14.5</v>
      </c>
      <c r="F2403" s="1">
        <v>1.41</v>
      </c>
      <c r="G2403" s="1"/>
      <c r="H2403" s="126">
        <f t="shared" si="37"/>
        <v>1.6517598297933815</v>
      </c>
      <c r="I2403" s="89">
        <v>366.39</v>
      </c>
      <c r="J2403" s="1">
        <v>65.486458333333331</v>
      </c>
      <c r="K2403" s="34">
        <v>549.71131244531614</v>
      </c>
    </row>
    <row r="2404" spans="1:11" x14ac:dyDescent="0.3">
      <c r="A2404" s="88" t="s">
        <v>484</v>
      </c>
      <c r="B2404" s="24">
        <v>39291</v>
      </c>
      <c r="C2404" s="1">
        <v>8.6031550601923854</v>
      </c>
      <c r="D2404" s="1">
        <v>20.6</v>
      </c>
      <c r="E2404" s="1">
        <v>13.3</v>
      </c>
      <c r="F2404" s="1">
        <v>5.4450000000000003</v>
      </c>
      <c r="G2404" s="1"/>
      <c r="H2404" s="126">
        <f t="shared" si="37"/>
        <v>1.5279178496783383</v>
      </c>
      <c r="I2404" s="89">
        <v>204.39000000000004</v>
      </c>
      <c r="J2404" s="1">
        <v>81.237499999999997</v>
      </c>
      <c r="K2404" s="34">
        <v>548.41324152542359</v>
      </c>
    </row>
    <row r="2405" spans="1:11" x14ac:dyDescent="0.3">
      <c r="A2405" s="88" t="s">
        <v>484</v>
      </c>
      <c r="B2405" s="24">
        <v>39292</v>
      </c>
      <c r="C2405" s="1">
        <v>4.7988307125165601</v>
      </c>
      <c r="D2405" s="1">
        <v>15.7</v>
      </c>
      <c r="E2405" s="1">
        <v>11.4</v>
      </c>
      <c r="F2405" s="1">
        <v>6.2750000000000004</v>
      </c>
      <c r="G2405" s="1"/>
      <c r="H2405" s="126">
        <f t="shared" si="37"/>
        <v>1.3484693686655054</v>
      </c>
      <c r="I2405" s="89">
        <v>184.95</v>
      </c>
      <c r="J2405" s="1">
        <v>88.905208333333334</v>
      </c>
      <c r="K2405" s="34">
        <v>549.3164009918529</v>
      </c>
    </row>
    <row r="2406" spans="1:11" x14ac:dyDescent="0.3">
      <c r="A2406" s="88" t="s">
        <v>484</v>
      </c>
      <c r="B2406" s="24">
        <v>39293</v>
      </c>
      <c r="C2406" s="1">
        <v>15.469299003513623</v>
      </c>
      <c r="D2406" s="1">
        <v>15.6</v>
      </c>
      <c r="E2406" s="1">
        <v>9.6999999999999993</v>
      </c>
      <c r="F2406" s="1">
        <v>1.5149999999999999</v>
      </c>
      <c r="G2406" s="1"/>
      <c r="H2406" s="126">
        <f t="shared" si="37"/>
        <v>1.2038879226915637</v>
      </c>
      <c r="I2406" s="89">
        <v>488.88000000000022</v>
      </c>
      <c r="J2406" s="1">
        <v>80.242708333333312</v>
      </c>
      <c r="K2406" s="34">
        <v>548.37778962331197</v>
      </c>
    </row>
    <row r="2407" spans="1:11" x14ac:dyDescent="0.3">
      <c r="A2407" s="88" t="s">
        <v>484</v>
      </c>
      <c r="B2407" s="24">
        <v>39294</v>
      </c>
      <c r="C2407" s="1">
        <v>16.1011030470595</v>
      </c>
      <c r="D2407" s="1">
        <v>17.8</v>
      </c>
      <c r="E2407" s="1">
        <v>11.1</v>
      </c>
      <c r="F2407" s="1">
        <v>2.5000000000000001E-2</v>
      </c>
      <c r="G2407" s="1"/>
      <c r="H2407" s="126">
        <f t="shared" si="37"/>
        <v>1.3218981992116727</v>
      </c>
      <c r="I2407" s="89">
        <v>399.77999999999986</v>
      </c>
      <c r="J2407" s="1">
        <v>74.792708333333351</v>
      </c>
      <c r="K2407" s="34">
        <v>549.3295187165777</v>
      </c>
    </row>
    <row r="2408" spans="1:11" x14ac:dyDescent="0.3">
      <c r="A2408" s="88" t="s">
        <v>484</v>
      </c>
      <c r="B2408" s="24">
        <v>39295</v>
      </c>
      <c r="C2408" s="1">
        <v>25.223561430793158</v>
      </c>
      <c r="D2408" s="1">
        <v>21.7</v>
      </c>
      <c r="E2408" s="1">
        <v>9.1999999999999993</v>
      </c>
      <c r="F2408" s="1">
        <v>5.0000000000000001E-3</v>
      </c>
      <c r="G2408" s="1"/>
      <c r="H2408" s="126">
        <f t="shared" si="37"/>
        <v>1.16404559315309</v>
      </c>
      <c r="I2408" s="89">
        <v>159.30000000000001</v>
      </c>
      <c r="J2408" s="1">
        <v>69.235416666666666</v>
      </c>
      <c r="K2408" s="34">
        <v>549.3488005728608</v>
      </c>
    </row>
    <row r="2409" spans="1:11" x14ac:dyDescent="0.3">
      <c r="A2409" s="88" t="s">
        <v>484</v>
      </c>
      <c r="B2409" s="24">
        <v>39296</v>
      </c>
      <c r="C2409" s="1">
        <v>6.8283437013996888</v>
      </c>
      <c r="D2409" s="1">
        <v>19.8</v>
      </c>
      <c r="E2409" s="1">
        <v>13</v>
      </c>
      <c r="F2409" s="1">
        <v>10.15</v>
      </c>
      <c r="G2409" s="1"/>
      <c r="H2409" s="126">
        <f t="shared" si="37"/>
        <v>1.498261331998219</v>
      </c>
      <c r="I2409" s="89">
        <v>206.18999999999997</v>
      </c>
      <c r="J2409" s="1">
        <v>78.494791666666643</v>
      </c>
      <c r="K2409" s="34">
        <v>548.84085102209758</v>
      </c>
    </row>
    <row r="2410" spans="1:11" x14ac:dyDescent="0.3">
      <c r="A2410" s="88" t="s">
        <v>484</v>
      </c>
      <c r="B2410" s="24">
        <v>39297</v>
      </c>
      <c r="C2410" s="1">
        <v>20.070128448822071</v>
      </c>
      <c r="D2410" s="1">
        <v>20.9</v>
      </c>
      <c r="E2410" s="1">
        <v>13</v>
      </c>
      <c r="F2410" s="1">
        <v>5.0000000000000001E-3</v>
      </c>
      <c r="G2410" s="1"/>
      <c r="H2410" s="126">
        <f t="shared" si="37"/>
        <v>1.498261331998219</v>
      </c>
      <c r="I2410" s="89">
        <v>287.45999999999992</v>
      </c>
      <c r="J2410" s="1">
        <v>76.351041666666688</v>
      </c>
      <c r="K2410" s="34">
        <v>550.04282106782114</v>
      </c>
    </row>
    <row r="2411" spans="1:11" x14ac:dyDescent="0.3">
      <c r="A2411" s="88" t="s">
        <v>484</v>
      </c>
      <c r="B2411" s="24">
        <v>39298</v>
      </c>
      <c r="C2411" s="1">
        <v>21.846739819134843</v>
      </c>
      <c r="D2411" s="1">
        <v>24.4</v>
      </c>
      <c r="E2411" s="1">
        <v>11.2</v>
      </c>
      <c r="F2411" s="1">
        <v>5.0000000000000001E-3</v>
      </c>
      <c r="G2411" s="1"/>
      <c r="H2411" s="126">
        <f t="shared" si="37"/>
        <v>1.3307036698161701</v>
      </c>
      <c r="I2411" s="89">
        <v>175.05000000000007</v>
      </c>
      <c r="J2411" s="1">
        <v>68.840625000000003</v>
      </c>
      <c r="K2411" s="34">
        <v>550.06872964169384</v>
      </c>
    </row>
    <row r="2412" spans="1:11" x14ac:dyDescent="0.3">
      <c r="A2412" s="88" t="s">
        <v>484</v>
      </c>
      <c r="B2412" s="24">
        <v>39299</v>
      </c>
      <c r="C2412" s="1">
        <v>24.961659754622431</v>
      </c>
      <c r="D2412" s="1">
        <v>27.1</v>
      </c>
      <c r="E2412" s="1">
        <v>15.2</v>
      </c>
      <c r="F2412" s="1">
        <v>0</v>
      </c>
      <c r="G2412" s="1"/>
      <c r="H2412" s="126">
        <f t="shared" si="37"/>
        <v>1.7279944907780873</v>
      </c>
      <c r="I2412" s="89">
        <v>247.49999999999994</v>
      </c>
      <c r="J2412" s="1">
        <v>59.798958333333353</v>
      </c>
      <c r="K2412" s="34">
        <v>549.0310119695323</v>
      </c>
    </row>
    <row r="2413" spans="1:11" x14ac:dyDescent="0.3">
      <c r="A2413" s="88" t="s">
        <v>484</v>
      </c>
      <c r="B2413" s="24">
        <v>39300</v>
      </c>
      <c r="C2413" s="1">
        <v>25.737464719774209</v>
      </c>
      <c r="D2413" s="1">
        <v>28.3</v>
      </c>
      <c r="E2413" s="1">
        <v>16.5</v>
      </c>
      <c r="F2413" s="1">
        <v>0</v>
      </c>
      <c r="G2413" s="1"/>
      <c r="H2413" s="126">
        <f t="shared" si="37"/>
        <v>1.8777904954698514</v>
      </c>
      <c r="I2413" s="89">
        <v>264.06</v>
      </c>
      <c r="J2413" s="1">
        <v>52.613541666666684</v>
      </c>
      <c r="K2413" s="34">
        <v>549.73081967213136</v>
      </c>
    </row>
    <row r="2414" spans="1:11" x14ac:dyDescent="0.3">
      <c r="A2414" s="88" t="s">
        <v>484</v>
      </c>
      <c r="B2414" s="24">
        <v>39301</v>
      </c>
      <c r="C2414" s="1">
        <v>20.454430908357814</v>
      </c>
      <c r="D2414" s="1">
        <v>25.9</v>
      </c>
      <c r="E2414" s="1">
        <v>14.2</v>
      </c>
      <c r="F2414" s="1">
        <v>5.0000000000000001E-3</v>
      </c>
      <c r="G2414" s="1"/>
      <c r="H2414" s="126">
        <f t="shared" si="37"/>
        <v>1.6200016491976139</v>
      </c>
      <c r="I2414" s="89">
        <v>218.70000000000002</v>
      </c>
      <c r="J2414" s="1">
        <v>77.432291666666714</v>
      </c>
      <c r="K2414" s="34">
        <v>547.2774488304093</v>
      </c>
    </row>
    <row r="2415" spans="1:11" x14ac:dyDescent="0.3">
      <c r="A2415" s="88" t="s">
        <v>484</v>
      </c>
      <c r="B2415" s="24">
        <v>39302</v>
      </c>
      <c r="C2415" s="1">
        <v>5.0949326075686887</v>
      </c>
      <c r="D2415" s="1">
        <v>18.3</v>
      </c>
      <c r="E2415" s="1">
        <v>15.2</v>
      </c>
      <c r="F2415" s="1">
        <v>0</v>
      </c>
      <c r="G2415" s="1"/>
      <c r="H2415" s="126">
        <f t="shared" si="37"/>
        <v>1.7279944907780873</v>
      </c>
      <c r="I2415" s="89">
        <v>260.09999999999997</v>
      </c>
      <c r="J2415" s="1">
        <v>92.329166666666652</v>
      </c>
      <c r="K2415" s="34">
        <v>549.41791483113059</v>
      </c>
    </row>
    <row r="2416" spans="1:11" x14ac:dyDescent="0.3">
      <c r="A2416" s="88" t="s">
        <v>484</v>
      </c>
      <c r="B2416" s="24">
        <v>39303</v>
      </c>
      <c r="C2416" s="1">
        <v>19.886527273774551</v>
      </c>
      <c r="D2416" s="1">
        <v>28.8</v>
      </c>
      <c r="E2416" s="1">
        <v>16.2</v>
      </c>
      <c r="F2416" s="1">
        <v>5.0000000000000001E-3</v>
      </c>
      <c r="G2416" s="1"/>
      <c r="H2416" s="126">
        <f t="shared" si="37"/>
        <v>1.842248157637969</v>
      </c>
      <c r="I2416" s="89">
        <v>230.94000000000011</v>
      </c>
      <c r="J2416" s="1">
        <v>80.322916666666657</v>
      </c>
      <c r="K2416" s="34">
        <v>549.31393805309733</v>
      </c>
    </row>
    <row r="2417" spans="1:11" x14ac:dyDescent="0.3">
      <c r="A2417" s="88" t="s">
        <v>484</v>
      </c>
      <c r="B2417" s="24">
        <v>39304</v>
      </c>
      <c r="C2417" s="1">
        <v>4.7907306606762283</v>
      </c>
      <c r="D2417" s="1">
        <v>21.1</v>
      </c>
      <c r="E2417" s="1">
        <v>16</v>
      </c>
      <c r="F2417" s="1">
        <v>13.484999999999999</v>
      </c>
      <c r="G2417" s="1"/>
      <c r="H2417" s="126">
        <f t="shared" si="37"/>
        <v>1.8188820592283421</v>
      </c>
      <c r="I2417" s="89">
        <v>222.92999999999995</v>
      </c>
      <c r="J2417" s="1">
        <v>93.946875000000006</v>
      </c>
      <c r="K2417" s="34">
        <v>549.35160932297492</v>
      </c>
    </row>
    <row r="2418" spans="1:11" x14ac:dyDescent="0.3">
      <c r="A2418" s="88" t="s">
        <v>484</v>
      </c>
      <c r="B2418" s="24">
        <v>39305</v>
      </c>
      <c r="C2418" s="1">
        <v>7.2144461724555038</v>
      </c>
      <c r="D2418" s="1">
        <v>20.9</v>
      </c>
      <c r="E2418" s="1">
        <v>14.6</v>
      </c>
      <c r="F2418" s="1">
        <v>9.2100000000000009</v>
      </c>
      <c r="G2418" s="1"/>
      <c r="H2418" s="126">
        <f t="shared" si="37"/>
        <v>1.6624665597000106</v>
      </c>
      <c r="I2418" s="89">
        <v>389.70000000000005</v>
      </c>
      <c r="J2418" s="1">
        <v>85.261458333333323</v>
      </c>
      <c r="K2418" s="34">
        <v>549.05447788926006</v>
      </c>
    </row>
    <row r="2419" spans="1:11" x14ac:dyDescent="0.3">
      <c r="A2419" s="88" t="s">
        <v>484</v>
      </c>
      <c r="B2419" s="24">
        <v>39306</v>
      </c>
      <c r="C2419" s="1">
        <v>19.65162577040493</v>
      </c>
      <c r="D2419" s="1">
        <v>22.3</v>
      </c>
      <c r="E2419" s="1">
        <v>11.6</v>
      </c>
      <c r="F2419" s="1">
        <v>0</v>
      </c>
      <c r="G2419" s="1"/>
      <c r="H2419" s="126">
        <f t="shared" si="37"/>
        <v>1.3664431264636057</v>
      </c>
      <c r="I2419" s="89">
        <v>181.71</v>
      </c>
      <c r="J2419" s="1">
        <v>78.419791666666711</v>
      </c>
      <c r="K2419" s="34">
        <v>549.94109742441231</v>
      </c>
    </row>
    <row r="2420" spans="1:11" x14ac:dyDescent="0.3">
      <c r="A2420" s="88" t="s">
        <v>484</v>
      </c>
      <c r="B2420" s="24">
        <v>39307</v>
      </c>
      <c r="C2420" s="1">
        <v>11.019253681118297</v>
      </c>
      <c r="D2420" s="1">
        <v>22.6</v>
      </c>
      <c r="E2420" s="1">
        <v>12.1</v>
      </c>
      <c r="F2420" s="1">
        <v>0</v>
      </c>
      <c r="G2420" s="1"/>
      <c r="H2420" s="126">
        <f t="shared" si="37"/>
        <v>1.4123014242757443</v>
      </c>
      <c r="I2420" s="89">
        <v>153.97389473684211</v>
      </c>
      <c r="J2420" s="1">
        <v>75.538947368421034</v>
      </c>
      <c r="K2420" s="34">
        <v>549.79029962546781</v>
      </c>
    </row>
    <row r="2421" spans="1:11" x14ac:dyDescent="0.3">
      <c r="A2421" s="88" t="s">
        <v>484</v>
      </c>
      <c r="B2421" s="24">
        <v>39308</v>
      </c>
      <c r="C2421" s="1">
        <v>23.027547376303207</v>
      </c>
      <c r="D2421" s="1">
        <v>24.7</v>
      </c>
      <c r="E2421" s="1">
        <v>11.4</v>
      </c>
      <c r="F2421" s="1">
        <v>0</v>
      </c>
      <c r="G2421" s="1"/>
      <c r="H2421" s="126">
        <f t="shared" si="37"/>
        <v>1.3484693686655054</v>
      </c>
      <c r="I2421" s="89">
        <v>129.32999999999998</v>
      </c>
      <c r="J2421" s="1">
        <v>65.970833333333346</v>
      </c>
      <c r="K2421" s="34">
        <v>549.34986817325796</v>
      </c>
    </row>
    <row r="2422" spans="1:11" x14ac:dyDescent="0.3">
      <c r="A2422" s="88" t="s">
        <v>484</v>
      </c>
      <c r="B2422" s="24">
        <v>39309</v>
      </c>
      <c r="C2422" s="1">
        <v>12.507380047232301</v>
      </c>
      <c r="D2422" s="1">
        <v>26.6</v>
      </c>
      <c r="E2422" s="1">
        <v>18.100000000000001</v>
      </c>
      <c r="F2422" s="1">
        <v>0.68</v>
      </c>
      <c r="G2422" s="1"/>
      <c r="H2422" s="126">
        <f t="shared" si="37"/>
        <v>2.0776827112717497</v>
      </c>
      <c r="I2422" s="89">
        <v>246.51</v>
      </c>
      <c r="J2422" s="1">
        <v>71.752083333333317</v>
      </c>
      <c r="K2422" s="34">
        <v>548.57294028722595</v>
      </c>
    </row>
    <row r="2423" spans="1:11" x14ac:dyDescent="0.3">
      <c r="A2423" s="88" t="s">
        <v>484</v>
      </c>
      <c r="B2423" s="24">
        <v>39310</v>
      </c>
      <c r="C2423" s="1">
        <v>13.36958556534762</v>
      </c>
      <c r="D2423" s="1">
        <v>21.4</v>
      </c>
      <c r="E2423" s="1">
        <v>13</v>
      </c>
      <c r="F2423" s="1">
        <v>6.45</v>
      </c>
      <c r="G2423" s="1"/>
      <c r="H2423" s="126">
        <f t="shared" si="37"/>
        <v>1.498261331998219</v>
      </c>
      <c r="I2423" s="89">
        <v>299.88000000000017</v>
      </c>
      <c r="J2423" s="1">
        <v>76.447916666666671</v>
      </c>
      <c r="K2423" s="34">
        <v>549.11093394077454</v>
      </c>
    </row>
    <row r="2424" spans="1:11" x14ac:dyDescent="0.3">
      <c r="A2424" s="88" t="s">
        <v>484</v>
      </c>
      <c r="B2424" s="24">
        <v>39311</v>
      </c>
      <c r="C2424" s="1">
        <v>14.767294510684868</v>
      </c>
      <c r="D2424" s="1">
        <v>19.899999999999999</v>
      </c>
      <c r="E2424" s="1">
        <v>11.8</v>
      </c>
      <c r="F2424" s="1">
        <v>2.0950000000000002</v>
      </c>
      <c r="G2424" s="1"/>
      <c r="H2424" s="126">
        <f t="shared" si="37"/>
        <v>1.3846270162501679</v>
      </c>
      <c r="I2424" s="89">
        <v>223.92000000000002</v>
      </c>
      <c r="J2424" s="1">
        <v>76.23645833333336</v>
      </c>
      <c r="K2424" s="34">
        <v>549.36063007998985</v>
      </c>
    </row>
    <row r="2425" spans="1:11" x14ac:dyDescent="0.3">
      <c r="A2425" s="88" t="s">
        <v>484</v>
      </c>
      <c r="B2425" s="24">
        <v>39312</v>
      </c>
      <c r="C2425" s="1">
        <v>18.280916997868786</v>
      </c>
      <c r="D2425" s="1">
        <v>20.5</v>
      </c>
      <c r="E2425" s="1">
        <v>10.3</v>
      </c>
      <c r="F2425" s="1">
        <v>0</v>
      </c>
      <c r="G2425" s="1"/>
      <c r="H2425" s="126">
        <f t="shared" si="37"/>
        <v>1.2532780017936267</v>
      </c>
      <c r="I2425" s="89">
        <v>115.55999999999999</v>
      </c>
      <c r="J2425" s="1">
        <v>77.186458333333363</v>
      </c>
      <c r="K2425" s="34">
        <v>550.25770114942577</v>
      </c>
    </row>
    <row r="2426" spans="1:11" x14ac:dyDescent="0.3">
      <c r="A2426" s="88" t="s">
        <v>484</v>
      </c>
      <c r="B2426" s="24">
        <v>39313</v>
      </c>
      <c r="C2426" s="1">
        <v>15.210997350383044</v>
      </c>
      <c r="D2426" s="1">
        <v>24.2</v>
      </c>
      <c r="E2426" s="1">
        <v>11.6</v>
      </c>
      <c r="F2426" s="1">
        <v>9.125</v>
      </c>
      <c r="G2426" s="1"/>
      <c r="H2426" s="126">
        <f t="shared" si="37"/>
        <v>1.3664431264636057</v>
      </c>
      <c r="I2426" s="89">
        <v>127.52999999999997</v>
      </c>
      <c r="J2426" s="1">
        <v>69.506249999999994</v>
      </c>
      <c r="K2426" s="34">
        <v>551.00526720492155</v>
      </c>
    </row>
    <row r="2427" spans="1:11" x14ac:dyDescent="0.3">
      <c r="A2427" s="88" t="s">
        <v>484</v>
      </c>
      <c r="B2427" s="24">
        <v>39314</v>
      </c>
      <c r="C2427" s="1">
        <v>19.716426185127585</v>
      </c>
      <c r="D2427" s="1">
        <v>22.2</v>
      </c>
      <c r="E2427" s="1">
        <v>12.9</v>
      </c>
      <c r="F2427" s="1">
        <v>7.0000000000000007E-2</v>
      </c>
      <c r="G2427" s="1"/>
      <c r="H2427" s="126">
        <f t="shared" si="37"/>
        <v>1.4884887514247067</v>
      </c>
      <c r="I2427" s="89">
        <v>139.67999999999998</v>
      </c>
      <c r="J2427" s="1">
        <v>77.417708333333351</v>
      </c>
      <c r="K2427" s="34">
        <v>549.01196283391425</v>
      </c>
    </row>
    <row r="2428" spans="1:11" x14ac:dyDescent="0.3">
      <c r="A2428" s="88" t="s">
        <v>484</v>
      </c>
      <c r="B2428" s="24">
        <v>39315</v>
      </c>
      <c r="C2428" s="1">
        <v>2.598316629226427</v>
      </c>
      <c r="D2428" s="1">
        <v>19</v>
      </c>
      <c r="E2428" s="1">
        <v>13.7</v>
      </c>
      <c r="F2428" s="1">
        <v>26.785</v>
      </c>
      <c r="G2428" s="1"/>
      <c r="H2428" s="126">
        <f t="shared" si="37"/>
        <v>1.568260711501982</v>
      </c>
      <c r="I2428" s="89">
        <v>277.64999999999998</v>
      </c>
      <c r="J2428" s="1">
        <v>92.772916666666632</v>
      </c>
      <c r="K2428" s="34">
        <v>548.15992248061991</v>
      </c>
    </row>
    <row r="2429" spans="1:11" x14ac:dyDescent="0.3">
      <c r="A2429" s="88" t="s">
        <v>484</v>
      </c>
      <c r="B2429" s="24">
        <v>39316</v>
      </c>
      <c r="C2429" s="1">
        <v>14.491892748113587</v>
      </c>
      <c r="D2429" s="1">
        <v>22.9</v>
      </c>
      <c r="E2429" s="1">
        <v>14.7</v>
      </c>
      <c r="F2429" s="1">
        <v>1.51</v>
      </c>
      <c r="G2429" s="1"/>
      <c r="H2429" s="126">
        <f t="shared" si="37"/>
        <v>1.673234110655023</v>
      </c>
      <c r="I2429" s="89">
        <v>130.76999999999992</v>
      </c>
      <c r="J2429" s="1">
        <v>82.37708333333336</v>
      </c>
      <c r="K2429" s="34">
        <v>548.89563862928333</v>
      </c>
    </row>
    <row r="2430" spans="1:11" x14ac:dyDescent="0.3">
      <c r="A2430" s="88" t="s">
        <v>484</v>
      </c>
      <c r="B2430" s="24">
        <v>39317</v>
      </c>
      <c r="C2430" s="1">
        <v>11.087170957894131</v>
      </c>
      <c r="D2430" s="1">
        <v>22.7</v>
      </c>
      <c r="E2430" s="1">
        <v>12.9</v>
      </c>
      <c r="F2430" s="1">
        <v>17.524999999999999</v>
      </c>
      <c r="G2430" s="1"/>
      <c r="H2430" s="126">
        <f t="shared" si="37"/>
        <v>1.4884887514247067</v>
      </c>
      <c r="I2430" s="89">
        <v>111.32999999999996</v>
      </c>
      <c r="J2430" s="1">
        <v>90.47083333333336</v>
      </c>
      <c r="K2430" s="34">
        <v>549.44904306220121</v>
      </c>
    </row>
    <row r="2431" spans="1:11" x14ac:dyDescent="0.3">
      <c r="A2431" s="88" t="s">
        <v>484</v>
      </c>
      <c r="B2431" s="24">
        <v>39318</v>
      </c>
      <c r="C2431" s="1">
        <v>15.988602327054894</v>
      </c>
      <c r="D2431" s="1">
        <v>24</v>
      </c>
      <c r="E2431" s="1">
        <v>15.5</v>
      </c>
      <c r="F2431" s="1">
        <v>6.7350000000000003</v>
      </c>
      <c r="G2431" s="1"/>
      <c r="H2431" s="126">
        <f t="shared" si="37"/>
        <v>1.7615995264429876</v>
      </c>
      <c r="I2431" s="89">
        <v>133.02000000000001</v>
      </c>
      <c r="J2431" s="1">
        <v>84.880208333333343</v>
      </c>
      <c r="K2431" s="34">
        <v>549.62854242793298</v>
      </c>
    </row>
    <row r="2432" spans="1:11" x14ac:dyDescent="0.3">
      <c r="A2432" s="88" t="s">
        <v>484</v>
      </c>
      <c r="B2432" s="24">
        <v>39319</v>
      </c>
      <c r="C2432" s="1">
        <v>14.09229019065722</v>
      </c>
      <c r="D2432" s="1">
        <v>23.8</v>
      </c>
      <c r="E2432" s="1">
        <v>14.5</v>
      </c>
      <c r="F2432" s="1">
        <v>0</v>
      </c>
      <c r="G2432" s="1"/>
      <c r="H2432" s="126">
        <f t="shared" si="37"/>
        <v>1.6517598297933815</v>
      </c>
      <c r="I2432" s="89">
        <v>212.04000000000011</v>
      </c>
      <c r="J2432" s="1">
        <v>82.792708333333337</v>
      </c>
      <c r="K2432" s="34">
        <v>550.00295857988158</v>
      </c>
    </row>
    <row r="2433" spans="1:11" x14ac:dyDescent="0.3">
      <c r="A2433" s="88" t="s">
        <v>484</v>
      </c>
      <c r="B2433" s="24">
        <v>39320</v>
      </c>
      <c r="C2433" s="1">
        <v>14.145390530499395</v>
      </c>
      <c r="D2433" s="1">
        <v>22.6</v>
      </c>
      <c r="E2433" s="1">
        <v>13.3</v>
      </c>
      <c r="F2433" s="1">
        <v>0</v>
      </c>
      <c r="G2433" s="1"/>
      <c r="H2433" s="126">
        <f t="shared" si="37"/>
        <v>1.5279178496783383</v>
      </c>
      <c r="I2433" s="89">
        <v>284.31</v>
      </c>
      <c r="J2433" s="1">
        <v>78.408333333333317</v>
      </c>
      <c r="K2433" s="34">
        <v>549.11625049544182</v>
      </c>
    </row>
    <row r="2434" spans="1:11" x14ac:dyDescent="0.3">
      <c r="A2434" s="88" t="s">
        <v>484</v>
      </c>
      <c r="B2434" s="24">
        <v>39321</v>
      </c>
      <c r="C2434" s="1">
        <v>12.922282702609296</v>
      </c>
      <c r="D2434" s="1">
        <v>17.7</v>
      </c>
      <c r="E2434" s="1">
        <v>12.3</v>
      </c>
      <c r="F2434" s="1">
        <v>0</v>
      </c>
      <c r="G2434" s="1"/>
      <c r="H2434" s="126">
        <f t="shared" si="37"/>
        <v>1.4310198233396516</v>
      </c>
      <c r="I2434" s="89">
        <v>232.82999999999998</v>
      </c>
      <c r="J2434" s="1">
        <v>72.619791666666671</v>
      </c>
      <c r="K2434" s="34">
        <v>549.92716049382636</v>
      </c>
    </row>
    <row r="2435" spans="1:11" x14ac:dyDescent="0.3">
      <c r="A2435" s="88" t="s">
        <v>484</v>
      </c>
      <c r="B2435" s="24">
        <v>39322</v>
      </c>
      <c r="C2435" s="1">
        <v>15.322598064627615</v>
      </c>
      <c r="D2435" s="1">
        <v>17.399999999999999</v>
      </c>
      <c r="E2435" s="1">
        <v>8.5</v>
      </c>
      <c r="F2435" s="1">
        <v>5.0000000000000001E-3</v>
      </c>
      <c r="G2435" s="1"/>
      <c r="H2435" s="126">
        <f t="shared" si="37"/>
        <v>1.110216300480029</v>
      </c>
      <c r="I2435" s="89">
        <v>184.58999999999986</v>
      </c>
      <c r="J2435" s="1">
        <v>76.0677083333333</v>
      </c>
      <c r="K2435" s="34">
        <v>550.04053621448577</v>
      </c>
    </row>
    <row r="2436" spans="1:11" x14ac:dyDescent="0.3">
      <c r="A2436" s="88" t="s">
        <v>484</v>
      </c>
      <c r="B2436" s="24">
        <v>39323</v>
      </c>
      <c r="C2436" s="1">
        <v>16.947108461494153</v>
      </c>
      <c r="D2436" s="1">
        <v>17</v>
      </c>
      <c r="E2436" s="1">
        <v>6.2</v>
      </c>
      <c r="F2436" s="1">
        <v>0.01</v>
      </c>
      <c r="G2436" s="1"/>
      <c r="H2436" s="126">
        <f t="shared" ref="H2436:H2499" si="38">0.611*EXP((17.27*E2436)/(E2436+237.3))</f>
        <v>0.94844700173703456</v>
      </c>
      <c r="I2436" s="89">
        <v>99.990000000000009</v>
      </c>
      <c r="J2436" s="1">
        <v>79.668750000000003</v>
      </c>
      <c r="K2436" s="34">
        <v>550.09258280033475</v>
      </c>
    </row>
    <row r="2437" spans="1:11" x14ac:dyDescent="0.3">
      <c r="A2437" s="88" t="s">
        <v>484</v>
      </c>
      <c r="B2437" s="24">
        <v>39324</v>
      </c>
      <c r="C2437" s="1">
        <v>12.034877023212948</v>
      </c>
      <c r="D2437" s="1">
        <v>17.2</v>
      </c>
      <c r="E2437" s="1">
        <v>7.5</v>
      </c>
      <c r="F2437" s="1">
        <v>1.895</v>
      </c>
      <c r="G2437" s="1"/>
      <c r="H2437" s="126">
        <f t="shared" si="38"/>
        <v>1.0371194102680934</v>
      </c>
      <c r="I2437" s="89">
        <v>313.46999999999997</v>
      </c>
      <c r="J2437" s="1">
        <v>81.789583333333368</v>
      </c>
      <c r="K2437" s="34">
        <v>548.04169696969723</v>
      </c>
    </row>
    <row r="2438" spans="1:11" x14ac:dyDescent="0.3">
      <c r="A2438" s="88" t="s">
        <v>484</v>
      </c>
      <c r="B2438" s="24">
        <v>39325</v>
      </c>
      <c r="C2438" s="1">
        <v>6.6564426012326487</v>
      </c>
      <c r="D2438" s="1">
        <v>17.899999999999999</v>
      </c>
      <c r="E2438" s="1">
        <v>12.9</v>
      </c>
      <c r="F2438" s="1">
        <v>6.9</v>
      </c>
      <c r="G2438" s="1"/>
      <c r="H2438" s="126">
        <f t="shared" si="38"/>
        <v>1.4884887514247067</v>
      </c>
      <c r="I2438" s="89">
        <v>326.15999999999997</v>
      </c>
      <c r="J2438" s="1">
        <v>88.835416666666674</v>
      </c>
      <c r="K2438" s="34">
        <v>547.20891330891311</v>
      </c>
    </row>
    <row r="2439" spans="1:11" x14ac:dyDescent="0.3">
      <c r="A2439" s="88" t="s">
        <v>484</v>
      </c>
      <c r="B2439" s="24">
        <v>39326</v>
      </c>
      <c r="C2439" s="1">
        <v>13.792588272564943</v>
      </c>
      <c r="D2439" s="1">
        <v>19.399999999999999</v>
      </c>
      <c r="E2439" s="1">
        <v>12.4</v>
      </c>
      <c r="F2439" s="1">
        <v>0.27500000000000002</v>
      </c>
      <c r="G2439" s="1"/>
      <c r="H2439" s="126">
        <f t="shared" si="38"/>
        <v>1.4404604588486194</v>
      </c>
      <c r="I2439" s="89">
        <v>260.45999999999992</v>
      </c>
      <c r="J2439" s="1">
        <v>84.496875000000003</v>
      </c>
      <c r="K2439" s="34">
        <v>549.77800897592863</v>
      </c>
    </row>
    <row r="2440" spans="1:11" x14ac:dyDescent="0.3">
      <c r="A2440" s="88" t="s">
        <v>484</v>
      </c>
      <c r="B2440" s="24">
        <v>39327</v>
      </c>
      <c r="C2440" s="1">
        <v>12.027676977132655</v>
      </c>
      <c r="D2440" s="1">
        <v>19.8</v>
      </c>
      <c r="E2440" s="1">
        <v>12.4</v>
      </c>
      <c r="F2440" s="1">
        <v>0</v>
      </c>
      <c r="G2440" s="1"/>
      <c r="H2440" s="126">
        <f t="shared" si="38"/>
        <v>1.4404604588486194</v>
      </c>
      <c r="I2440" s="89">
        <v>270.08999999999997</v>
      </c>
      <c r="J2440" s="1">
        <v>79.896874999999994</v>
      </c>
      <c r="K2440" s="34">
        <v>548.69286592865956</v>
      </c>
    </row>
    <row r="2441" spans="1:11" x14ac:dyDescent="0.3">
      <c r="A2441" s="88" t="s">
        <v>484</v>
      </c>
      <c r="B2441" s="24">
        <v>39328</v>
      </c>
      <c r="C2441" s="1">
        <v>9.2439591613386316</v>
      </c>
      <c r="D2441" s="1">
        <v>16.3</v>
      </c>
      <c r="E2441" s="1">
        <v>10.5</v>
      </c>
      <c r="F2441" s="1">
        <v>17.989999999999998</v>
      </c>
      <c r="G2441" s="1"/>
      <c r="H2441" s="126">
        <f t="shared" si="38"/>
        <v>1.2701326466613394</v>
      </c>
      <c r="I2441" s="89">
        <v>287.28000000000003</v>
      </c>
      <c r="J2441" s="1">
        <v>84.140625</v>
      </c>
      <c r="K2441" s="34">
        <v>549.02550473835993</v>
      </c>
    </row>
    <row r="2442" spans="1:11" x14ac:dyDescent="0.3">
      <c r="A2442" s="88" t="s">
        <v>484</v>
      </c>
      <c r="B2442" s="24">
        <v>39329</v>
      </c>
      <c r="C2442" s="1">
        <v>17.287310638788089</v>
      </c>
      <c r="D2442" s="1">
        <v>16.100000000000001</v>
      </c>
      <c r="E2442" s="1">
        <v>8.4</v>
      </c>
      <c r="F2442" s="1">
        <v>0.52</v>
      </c>
      <c r="G2442" s="1"/>
      <c r="H2442" s="126">
        <f t="shared" si="38"/>
        <v>1.1027080638918816</v>
      </c>
      <c r="I2442" s="89">
        <v>434.87999999999994</v>
      </c>
      <c r="J2442" s="1">
        <v>72.838541666666686</v>
      </c>
      <c r="K2442" s="34">
        <v>548.3148654244302</v>
      </c>
    </row>
    <row r="2443" spans="1:11" x14ac:dyDescent="0.3">
      <c r="A2443" s="88" t="s">
        <v>484</v>
      </c>
      <c r="B2443" s="24">
        <v>39330</v>
      </c>
      <c r="C2443" s="1">
        <v>14.77269454524509</v>
      </c>
      <c r="D2443" s="1">
        <v>17.100000000000001</v>
      </c>
      <c r="E2443" s="1">
        <v>7.6</v>
      </c>
      <c r="F2443" s="1">
        <v>0</v>
      </c>
      <c r="G2443" s="1"/>
      <c r="H2443" s="126">
        <f t="shared" si="38"/>
        <v>1.0442332464842816</v>
      </c>
      <c r="I2443" s="89">
        <v>233.19</v>
      </c>
      <c r="J2443" s="1">
        <v>74.755208333333329</v>
      </c>
      <c r="K2443" s="34">
        <v>549.96350395339198</v>
      </c>
    </row>
    <row r="2444" spans="1:11" x14ac:dyDescent="0.3">
      <c r="A2444" s="88" t="s">
        <v>484</v>
      </c>
      <c r="B2444" s="24">
        <v>39331</v>
      </c>
      <c r="C2444" s="1">
        <v>10.578667703473302</v>
      </c>
      <c r="D2444" s="1">
        <v>19.8</v>
      </c>
      <c r="E2444" s="1">
        <v>10.3</v>
      </c>
      <c r="F2444" s="1">
        <v>0.495</v>
      </c>
      <c r="G2444" s="1"/>
      <c r="H2444" s="126">
        <f t="shared" si="38"/>
        <v>1.2532780017936267</v>
      </c>
      <c r="I2444" s="89">
        <v>242.28000000000006</v>
      </c>
      <c r="J2444" s="1">
        <v>81.402083333333309</v>
      </c>
      <c r="K2444" s="34">
        <v>549.27202007528228</v>
      </c>
    </row>
    <row r="2445" spans="1:11" x14ac:dyDescent="0.3">
      <c r="A2445" s="88" t="s">
        <v>484</v>
      </c>
      <c r="B2445" s="24">
        <v>39332</v>
      </c>
      <c r="C2445" s="1">
        <v>6.96874459996544</v>
      </c>
      <c r="D2445" s="1">
        <v>17.5</v>
      </c>
      <c r="E2445" s="1">
        <v>12.9</v>
      </c>
      <c r="F2445" s="1">
        <v>0.03</v>
      </c>
      <c r="G2445" s="1"/>
      <c r="H2445" s="126">
        <f t="shared" si="38"/>
        <v>1.4884887514247067</v>
      </c>
      <c r="I2445" s="89">
        <v>325.79999999999995</v>
      </c>
      <c r="J2445" s="1">
        <v>83.777083333333337</v>
      </c>
      <c r="K2445" s="34">
        <v>549.00491803278658</v>
      </c>
    </row>
    <row r="2446" spans="1:11" x14ac:dyDescent="0.3">
      <c r="A2446" s="88" t="s">
        <v>484</v>
      </c>
      <c r="B2446" s="24">
        <v>39333</v>
      </c>
      <c r="C2446" s="1">
        <v>5.7375367202350098</v>
      </c>
      <c r="D2446" s="1">
        <v>17.8</v>
      </c>
      <c r="E2446" s="1">
        <v>13.1</v>
      </c>
      <c r="F2446" s="1">
        <v>1.835</v>
      </c>
      <c r="G2446" s="1"/>
      <c r="H2446" s="126">
        <f t="shared" si="38"/>
        <v>1.5080901913058991</v>
      </c>
      <c r="I2446" s="89">
        <v>371.33999999999992</v>
      </c>
      <c r="J2446" s="1">
        <v>89.909374999999997</v>
      </c>
      <c r="K2446" s="34">
        <v>547.63729957805924</v>
      </c>
    </row>
    <row r="2447" spans="1:11" x14ac:dyDescent="0.3">
      <c r="A2447" s="88" t="s">
        <v>484</v>
      </c>
      <c r="B2447" s="24">
        <v>39334</v>
      </c>
      <c r="C2447" s="1">
        <v>11.220371810379588</v>
      </c>
      <c r="D2447" s="1">
        <v>17</v>
      </c>
      <c r="E2447" s="1">
        <v>11.8</v>
      </c>
      <c r="F2447" s="1">
        <v>0.16</v>
      </c>
      <c r="G2447" s="1"/>
      <c r="H2447" s="126">
        <f t="shared" si="38"/>
        <v>1.3846270162501679</v>
      </c>
      <c r="I2447" s="89">
        <v>390.06000000000017</v>
      </c>
      <c r="J2447" s="1">
        <v>81.541666666666643</v>
      </c>
      <c r="K2447" s="34">
        <v>548.15682782018678</v>
      </c>
    </row>
    <row r="2448" spans="1:11" x14ac:dyDescent="0.3">
      <c r="A2448" s="88" t="s">
        <v>484</v>
      </c>
      <c r="B2448" s="24">
        <v>39335</v>
      </c>
      <c r="C2448" s="1">
        <v>5.2551336328552498</v>
      </c>
      <c r="D2448" s="1">
        <v>15.3</v>
      </c>
      <c r="E2448" s="1">
        <v>11.2</v>
      </c>
      <c r="F2448" s="1">
        <v>13.164999999999999</v>
      </c>
      <c r="G2448" s="1"/>
      <c r="H2448" s="126">
        <f t="shared" si="38"/>
        <v>1.3307036698161701</v>
      </c>
      <c r="I2448" s="89">
        <v>366.20999999999992</v>
      </c>
      <c r="J2448" s="1">
        <v>85.751041666666666</v>
      </c>
      <c r="K2448" s="34">
        <v>548.19504908237332</v>
      </c>
    </row>
    <row r="2449" spans="1:11" x14ac:dyDescent="0.3">
      <c r="A2449" s="88" t="s">
        <v>484</v>
      </c>
      <c r="B2449" s="24">
        <v>39336</v>
      </c>
      <c r="C2449" s="1">
        <v>12.398479350267841</v>
      </c>
      <c r="D2449" s="1">
        <v>17.600000000000001</v>
      </c>
      <c r="E2449" s="1">
        <v>11.2</v>
      </c>
      <c r="F2449" s="1">
        <v>1.5049999999999999</v>
      </c>
      <c r="G2449" s="1"/>
      <c r="H2449" s="126">
        <f t="shared" si="38"/>
        <v>1.3307036698161701</v>
      </c>
      <c r="I2449" s="89">
        <v>325.98</v>
      </c>
      <c r="J2449" s="1">
        <v>82.163541666666688</v>
      </c>
      <c r="K2449" s="34">
        <v>548.9851043985667</v>
      </c>
    </row>
    <row r="2450" spans="1:11" x14ac:dyDescent="0.3">
      <c r="A2450" s="88" t="s">
        <v>484</v>
      </c>
      <c r="B2450" s="24">
        <v>39337</v>
      </c>
      <c r="C2450" s="1">
        <v>9.6156615402338588</v>
      </c>
      <c r="D2450" s="1">
        <v>16.399999999999999</v>
      </c>
      <c r="E2450" s="1">
        <v>11.6</v>
      </c>
      <c r="F2450" s="1">
        <v>0.33</v>
      </c>
      <c r="G2450" s="1"/>
      <c r="H2450" s="126">
        <f t="shared" si="38"/>
        <v>1.3664431264636057</v>
      </c>
      <c r="I2450" s="89">
        <v>282.14999999999998</v>
      </c>
      <c r="J2450" s="1">
        <v>82.214583333333323</v>
      </c>
      <c r="K2450" s="34">
        <v>548.84713238464849</v>
      </c>
    </row>
    <row r="2451" spans="1:11" x14ac:dyDescent="0.3">
      <c r="A2451" s="88" t="s">
        <v>484</v>
      </c>
      <c r="B2451" s="24">
        <v>39338</v>
      </c>
      <c r="C2451" s="1">
        <v>7.2297462703761299</v>
      </c>
      <c r="D2451" s="1">
        <v>14.7</v>
      </c>
      <c r="E2451" s="1">
        <v>9.1999999999999993</v>
      </c>
      <c r="F2451" s="1">
        <v>0</v>
      </c>
      <c r="G2451" s="1"/>
      <c r="H2451" s="126">
        <f t="shared" si="38"/>
        <v>1.16404559315309</v>
      </c>
      <c r="I2451" s="89">
        <v>164.16</v>
      </c>
      <c r="J2451" s="1">
        <v>75.040625000000006</v>
      </c>
      <c r="K2451" s="34">
        <v>550.046207195492</v>
      </c>
    </row>
    <row r="2452" spans="1:11" x14ac:dyDescent="0.3">
      <c r="A2452" s="88" t="s">
        <v>484</v>
      </c>
      <c r="B2452" s="24">
        <v>39339</v>
      </c>
      <c r="C2452" s="1">
        <v>14.939195610851909</v>
      </c>
      <c r="D2452" s="1">
        <v>19</v>
      </c>
      <c r="E2452" s="1">
        <v>6.5</v>
      </c>
      <c r="F2452" s="1">
        <v>0.32500000000000001</v>
      </c>
      <c r="G2452" s="1"/>
      <c r="H2452" s="126">
        <f t="shared" si="38"/>
        <v>0.96829408068935052</v>
      </c>
      <c r="I2452" s="89">
        <v>246.78000000000003</v>
      </c>
      <c r="J2452" s="1">
        <v>79.105208333333323</v>
      </c>
      <c r="K2452" s="34">
        <v>548.66745098039212</v>
      </c>
    </row>
    <row r="2453" spans="1:11" x14ac:dyDescent="0.3">
      <c r="A2453" s="88" t="s">
        <v>484</v>
      </c>
      <c r="B2453" s="24">
        <v>39340</v>
      </c>
      <c r="C2453" s="1">
        <v>13.448786072230863</v>
      </c>
      <c r="D2453" s="1">
        <v>16.100000000000001</v>
      </c>
      <c r="E2453" s="1">
        <v>8.8000000000000007</v>
      </c>
      <c r="F2453" s="1">
        <v>0</v>
      </c>
      <c r="G2453" s="1"/>
      <c r="H2453" s="126">
        <f t="shared" si="38"/>
        <v>1.1330116523877718</v>
      </c>
      <c r="I2453" s="89">
        <v>369.27000000000021</v>
      </c>
      <c r="J2453" s="1">
        <v>70.535416666666677</v>
      </c>
      <c r="K2453" s="34">
        <v>549.73950941743317</v>
      </c>
    </row>
    <row r="2454" spans="1:11" x14ac:dyDescent="0.3">
      <c r="A2454" s="88" t="s">
        <v>484</v>
      </c>
      <c r="B2454" s="24">
        <v>39341</v>
      </c>
      <c r="C2454" s="1">
        <v>16.643806520361728</v>
      </c>
      <c r="D2454" s="1">
        <v>20.6</v>
      </c>
      <c r="E2454" s="1">
        <v>8</v>
      </c>
      <c r="F2454" s="1">
        <v>0</v>
      </c>
      <c r="G2454" s="1"/>
      <c r="H2454" s="126">
        <f t="shared" si="38"/>
        <v>1.0731200926872433</v>
      </c>
      <c r="I2454" s="89">
        <v>203.31</v>
      </c>
      <c r="J2454" s="1">
        <v>69.944791666666717</v>
      </c>
      <c r="K2454" s="34">
        <v>550.07089387934855</v>
      </c>
    </row>
    <row r="2455" spans="1:11" x14ac:dyDescent="0.3">
      <c r="A2455" s="88" t="s">
        <v>484</v>
      </c>
      <c r="B2455" s="24">
        <v>39342</v>
      </c>
      <c r="C2455" s="1">
        <v>9.5742612752721623</v>
      </c>
      <c r="D2455" s="1">
        <v>21.6</v>
      </c>
      <c r="E2455" s="1">
        <v>12</v>
      </c>
      <c r="F2455" s="1">
        <v>2.1749999999999998</v>
      </c>
      <c r="G2455" s="1"/>
      <c r="H2455" s="126">
        <f t="shared" si="38"/>
        <v>1.4030231277532583</v>
      </c>
      <c r="I2455" s="89">
        <v>218.07</v>
      </c>
      <c r="J2455" s="1">
        <v>75.36041666666668</v>
      </c>
      <c r="K2455" s="34">
        <v>549.84080795031105</v>
      </c>
    </row>
    <row r="2456" spans="1:11" x14ac:dyDescent="0.3">
      <c r="A2456" s="88" t="s">
        <v>484</v>
      </c>
      <c r="B2456" s="24">
        <v>39343</v>
      </c>
      <c r="C2456" s="1">
        <v>7.0020448130868038</v>
      </c>
      <c r="D2456" s="1">
        <v>13.7</v>
      </c>
      <c r="E2456" s="1">
        <v>7.2</v>
      </c>
      <c r="F2456" s="1">
        <v>6.3449999999999998</v>
      </c>
      <c r="G2456" s="1"/>
      <c r="H2456" s="126">
        <f t="shared" si="38"/>
        <v>1.0160332727272676</v>
      </c>
      <c r="I2456" s="89">
        <v>300.51</v>
      </c>
      <c r="J2456" s="1">
        <v>84.735416666666694</v>
      </c>
      <c r="K2456" s="34">
        <v>547.55093457943917</v>
      </c>
    </row>
    <row r="2457" spans="1:11" x14ac:dyDescent="0.3">
      <c r="A2457" s="88" t="s">
        <v>484</v>
      </c>
      <c r="B2457" s="24">
        <v>39344</v>
      </c>
      <c r="C2457" s="1">
        <v>12.825982086285352</v>
      </c>
      <c r="D2457" s="1">
        <v>15</v>
      </c>
      <c r="E2457" s="1">
        <v>6.3</v>
      </c>
      <c r="F2457" s="1">
        <v>0</v>
      </c>
      <c r="G2457" s="1"/>
      <c r="H2457" s="126">
        <f t="shared" si="38"/>
        <v>0.95502249025252561</v>
      </c>
      <c r="I2457" s="89">
        <v>269.45999999999998</v>
      </c>
      <c r="J2457" s="1">
        <v>71.596874999999997</v>
      </c>
      <c r="K2457" s="34">
        <v>546.83285440613076</v>
      </c>
    </row>
    <row r="2458" spans="1:11" x14ac:dyDescent="0.3">
      <c r="A2458" s="88" t="s">
        <v>484</v>
      </c>
      <c r="B2458" s="24">
        <v>39345</v>
      </c>
      <c r="C2458" s="1">
        <v>11.593874200794886</v>
      </c>
      <c r="D2458" s="1">
        <v>18.5</v>
      </c>
      <c r="E2458" s="1">
        <v>8.9</v>
      </c>
      <c r="F2458" s="1">
        <v>0</v>
      </c>
      <c r="G2458" s="1"/>
      <c r="H2458" s="126">
        <f t="shared" si="38"/>
        <v>1.1407010860938473</v>
      </c>
      <c r="I2458" s="89">
        <v>252.09</v>
      </c>
      <c r="J2458" s="1">
        <v>69.161458333333314</v>
      </c>
      <c r="K2458" s="34">
        <v>548.74894286999586</v>
      </c>
    </row>
    <row r="2459" spans="1:11" x14ac:dyDescent="0.3">
      <c r="A2459" s="88" t="s">
        <v>484</v>
      </c>
      <c r="B2459" s="24">
        <v>39346</v>
      </c>
      <c r="C2459" s="1">
        <v>11.496673578710904</v>
      </c>
      <c r="D2459" s="1">
        <v>19.100000000000001</v>
      </c>
      <c r="E2459" s="1">
        <v>12.6</v>
      </c>
      <c r="F2459" s="1">
        <v>0</v>
      </c>
      <c r="G2459" s="1"/>
      <c r="H2459" s="126">
        <f t="shared" si="38"/>
        <v>1.4595059422181114</v>
      </c>
      <c r="I2459" s="89">
        <v>168.75</v>
      </c>
      <c r="J2459" s="1">
        <v>66.742708333333326</v>
      </c>
      <c r="K2459" s="34">
        <v>549.86399819086398</v>
      </c>
    </row>
    <row r="2460" spans="1:11" x14ac:dyDescent="0.3">
      <c r="A2460" s="88" t="s">
        <v>484</v>
      </c>
      <c r="B2460" s="24">
        <v>39347</v>
      </c>
      <c r="C2460" s="1">
        <v>13.930289153850584</v>
      </c>
      <c r="D2460" s="1">
        <v>20.6</v>
      </c>
      <c r="E2460" s="1">
        <v>10.1</v>
      </c>
      <c r="F2460" s="1">
        <v>0</v>
      </c>
      <c r="G2460" s="1"/>
      <c r="H2460" s="126">
        <f t="shared" si="38"/>
        <v>1.2366203081300822</v>
      </c>
      <c r="I2460" s="89">
        <v>151.92000000000004</v>
      </c>
      <c r="J2460" s="1">
        <v>74.5</v>
      </c>
      <c r="K2460" s="34">
        <v>550.30118235561611</v>
      </c>
    </row>
    <row r="2461" spans="1:11" x14ac:dyDescent="0.3">
      <c r="A2461" s="88" t="s">
        <v>484</v>
      </c>
      <c r="B2461" s="24">
        <v>39348</v>
      </c>
      <c r="C2461" s="1">
        <v>14.811394792926675</v>
      </c>
      <c r="D2461" s="1">
        <v>23.5</v>
      </c>
      <c r="E2461" s="1">
        <v>7.8</v>
      </c>
      <c r="F2461" s="1">
        <v>0</v>
      </c>
      <c r="G2461" s="1"/>
      <c r="H2461" s="126">
        <f t="shared" si="38"/>
        <v>1.0585899253295545</v>
      </c>
      <c r="I2461" s="89">
        <v>79.020000000000039</v>
      </c>
      <c r="J2461" s="1">
        <v>76.452083333333334</v>
      </c>
      <c r="K2461" s="34">
        <v>549.2344307270231</v>
      </c>
    </row>
    <row r="2462" spans="1:11" x14ac:dyDescent="0.3">
      <c r="A2462" s="88" t="s">
        <v>484</v>
      </c>
      <c r="B2462" s="24">
        <v>39349</v>
      </c>
      <c r="C2462" s="1">
        <v>13.686387592880594</v>
      </c>
      <c r="D2462" s="1">
        <v>24.1</v>
      </c>
      <c r="E2462" s="1">
        <v>13.2</v>
      </c>
      <c r="F2462" s="1">
        <v>6.5000000000000002E-2</v>
      </c>
      <c r="G2462" s="1"/>
      <c r="H2462" s="126">
        <f t="shared" si="38"/>
        <v>1.5179756049640964</v>
      </c>
      <c r="I2462" s="89">
        <v>219.51</v>
      </c>
      <c r="J2462" s="1">
        <v>67.365624999999994</v>
      </c>
      <c r="K2462" s="34">
        <v>549.18643678160959</v>
      </c>
    </row>
    <row r="2463" spans="1:11" x14ac:dyDescent="0.3">
      <c r="A2463" s="88" t="s">
        <v>484</v>
      </c>
      <c r="B2463" s="24">
        <v>39350</v>
      </c>
      <c r="C2463" s="1">
        <v>9.9036633834456538</v>
      </c>
      <c r="D2463" s="1">
        <v>16</v>
      </c>
      <c r="E2463" s="1">
        <v>9.6</v>
      </c>
      <c r="F2463" s="1">
        <v>5.125</v>
      </c>
      <c r="G2463" s="1"/>
      <c r="H2463" s="126">
        <f t="shared" si="38"/>
        <v>1.1958248668287446</v>
      </c>
      <c r="I2463" s="89">
        <v>204.39000000000004</v>
      </c>
      <c r="J2463" s="1">
        <v>77.837500000000006</v>
      </c>
      <c r="K2463" s="34">
        <v>549.420110957004</v>
      </c>
    </row>
    <row r="2464" spans="1:11" x14ac:dyDescent="0.3">
      <c r="A2464" s="88" t="s">
        <v>484</v>
      </c>
      <c r="B2464" s="24">
        <v>39351</v>
      </c>
      <c r="C2464" s="1">
        <v>9.1467585392546518</v>
      </c>
      <c r="D2464" s="1">
        <v>15.2</v>
      </c>
      <c r="E2464" s="1">
        <v>8.3000000000000007</v>
      </c>
      <c r="F2464" s="1">
        <v>0</v>
      </c>
      <c r="G2464" s="1"/>
      <c r="H2464" s="126">
        <f t="shared" si="38"/>
        <v>1.0952445521994474</v>
      </c>
      <c r="I2464" s="89">
        <v>116.01000000000002</v>
      </c>
      <c r="J2464" s="1">
        <v>80.674999999999997</v>
      </c>
      <c r="K2464" s="34">
        <v>549.48833100883314</v>
      </c>
    </row>
    <row r="2465" spans="1:11" x14ac:dyDescent="0.3">
      <c r="A2465" s="88" t="s">
        <v>484</v>
      </c>
      <c r="B2465" s="24">
        <v>39352</v>
      </c>
      <c r="C2465" s="1">
        <v>4.3497278382581648</v>
      </c>
      <c r="D2465" s="1">
        <v>14.7</v>
      </c>
      <c r="E2465" s="1">
        <v>9.1</v>
      </c>
      <c r="F2465" s="1">
        <v>18.829999999999998</v>
      </c>
      <c r="G2465" s="1"/>
      <c r="H2465" s="126">
        <f t="shared" si="38"/>
        <v>1.156217822409108</v>
      </c>
      <c r="I2465" s="89">
        <v>342.18000000000006</v>
      </c>
      <c r="J2465" s="1">
        <v>87.984375</v>
      </c>
      <c r="K2465" s="34">
        <v>547.31893408134636</v>
      </c>
    </row>
    <row r="2466" spans="1:11" x14ac:dyDescent="0.3">
      <c r="A2466" s="88" t="s">
        <v>484</v>
      </c>
      <c r="B2466" s="24">
        <v>39353</v>
      </c>
      <c r="C2466" s="1">
        <v>4.0860261505673634</v>
      </c>
      <c r="D2466" s="1">
        <v>15.9</v>
      </c>
      <c r="E2466" s="1">
        <v>12.9</v>
      </c>
      <c r="F2466" s="1">
        <v>15.365</v>
      </c>
      <c r="G2466" s="1"/>
      <c r="H2466" s="126">
        <f t="shared" si="38"/>
        <v>1.4884887514247067</v>
      </c>
      <c r="I2466" s="89">
        <v>268.2</v>
      </c>
      <c r="J2466" s="1">
        <v>90.622916666666697</v>
      </c>
      <c r="K2466" s="34">
        <v>549.32463563704744</v>
      </c>
    </row>
    <row r="2467" spans="1:11" x14ac:dyDescent="0.3">
      <c r="A2467" s="88" t="s">
        <v>484</v>
      </c>
      <c r="B2467" s="24">
        <v>39354</v>
      </c>
      <c r="C2467" s="1">
        <v>1.8639119290363459</v>
      </c>
      <c r="D2467" s="1">
        <v>12.9</v>
      </c>
      <c r="E2467" s="1">
        <v>11.7</v>
      </c>
      <c r="F2467" s="1">
        <v>26.85</v>
      </c>
      <c r="G2467" s="1"/>
      <c r="H2467" s="126">
        <f t="shared" si="38"/>
        <v>1.3755086746426002</v>
      </c>
      <c r="I2467" s="89">
        <v>227.25</v>
      </c>
      <c r="J2467" s="1">
        <v>96.690625000000054</v>
      </c>
      <c r="K2467" s="34">
        <v>548.95484633569754</v>
      </c>
    </row>
    <row r="2468" spans="1:11" x14ac:dyDescent="0.3">
      <c r="A2468" s="88" t="s">
        <v>484</v>
      </c>
      <c r="B2468" s="24">
        <v>39355</v>
      </c>
      <c r="C2468" s="1">
        <v>5.8347373423189905</v>
      </c>
      <c r="D2468" s="1">
        <v>14.8</v>
      </c>
      <c r="E2468" s="1">
        <v>10.9</v>
      </c>
      <c r="F2468" s="1">
        <v>0.33500000000000002</v>
      </c>
      <c r="G2468" s="1"/>
      <c r="H2468" s="126">
        <f t="shared" si="38"/>
        <v>1.3044407381026226</v>
      </c>
      <c r="I2468" s="89">
        <v>233.01</v>
      </c>
      <c r="J2468" s="1">
        <v>85.506249999999994</v>
      </c>
      <c r="K2468" s="34">
        <v>549.67180218735166</v>
      </c>
    </row>
    <row r="2469" spans="1:11" x14ac:dyDescent="0.3">
      <c r="A2469" s="88" t="s">
        <v>484</v>
      </c>
      <c r="B2469" s="24">
        <v>39356</v>
      </c>
      <c r="C2469" s="1">
        <v>8.5041544265883307</v>
      </c>
      <c r="D2469" s="1">
        <v>16.3</v>
      </c>
      <c r="E2469" s="1">
        <v>8.6</v>
      </c>
      <c r="F2469" s="1">
        <v>4.5599999999999996</v>
      </c>
      <c r="G2469" s="1"/>
      <c r="H2469" s="126">
        <f t="shared" si="38"/>
        <v>1.117769490765057</v>
      </c>
      <c r="I2469" s="89">
        <v>136.07999999999998</v>
      </c>
      <c r="J2469" s="1">
        <v>89.519791666666677</v>
      </c>
      <c r="K2469" s="34">
        <v>548.9868005738881</v>
      </c>
    </row>
    <row r="2470" spans="1:11" x14ac:dyDescent="0.3">
      <c r="A2470" s="88" t="s">
        <v>484</v>
      </c>
      <c r="B2470" s="24">
        <v>39357</v>
      </c>
      <c r="C2470" s="1">
        <v>2.1519137722481423</v>
      </c>
      <c r="D2470" s="1">
        <v>13.9</v>
      </c>
      <c r="E2470" s="1">
        <v>11.9</v>
      </c>
      <c r="F2470" s="1">
        <v>3.5000000000000003E-2</v>
      </c>
      <c r="G2470" s="1"/>
      <c r="H2470" s="126">
        <f t="shared" si="38"/>
        <v>1.3937984130245886</v>
      </c>
      <c r="I2470" s="89">
        <v>179.55</v>
      </c>
      <c r="J2470" s="1">
        <v>93.407291666666637</v>
      </c>
      <c r="K2470" s="34">
        <v>548.88696412948389</v>
      </c>
    </row>
    <row r="2471" spans="1:11" x14ac:dyDescent="0.3">
      <c r="A2471" s="88" t="s">
        <v>484</v>
      </c>
      <c r="B2471" s="24">
        <v>39358</v>
      </c>
      <c r="C2471" s="1">
        <v>7.4853479062266004</v>
      </c>
      <c r="D2471" s="1">
        <v>15.4</v>
      </c>
      <c r="E2471" s="1">
        <v>9.6999999999999993</v>
      </c>
      <c r="F2471" s="1">
        <v>2.52</v>
      </c>
      <c r="G2471" s="1"/>
      <c r="H2471" s="126">
        <f t="shared" si="38"/>
        <v>1.2038879226915637</v>
      </c>
      <c r="I2471" s="89">
        <v>215.45999999999998</v>
      </c>
      <c r="J2471" s="1">
        <v>87.139583333333334</v>
      </c>
    </row>
    <row r="2472" spans="1:11" x14ac:dyDescent="0.3">
      <c r="A2472" s="88" t="s">
        <v>484</v>
      </c>
      <c r="B2472" s="24">
        <v>39359</v>
      </c>
      <c r="C2472" s="1">
        <v>3.6324232475087839</v>
      </c>
      <c r="D2472" s="1">
        <v>17.8</v>
      </c>
      <c r="E2472" s="1">
        <v>11.7</v>
      </c>
      <c r="F2472" s="1">
        <v>0.26</v>
      </c>
      <c r="G2472" s="1"/>
      <c r="H2472" s="126">
        <f t="shared" si="38"/>
        <v>1.3755086746426002</v>
      </c>
      <c r="I2472" s="89">
        <v>132.92999999999998</v>
      </c>
      <c r="J2472" s="1">
        <v>92.330208333333346</v>
      </c>
    </row>
    <row r="2473" spans="1:11" x14ac:dyDescent="0.3">
      <c r="A2473" s="88" t="s">
        <v>484</v>
      </c>
      <c r="B2473" s="24">
        <v>39360</v>
      </c>
      <c r="C2473" s="1">
        <v>7.6923492310350792</v>
      </c>
      <c r="D2473" s="1">
        <v>14.4</v>
      </c>
      <c r="E2473" s="1">
        <v>8.9</v>
      </c>
      <c r="F2473" s="1">
        <v>0</v>
      </c>
      <c r="G2473" s="1"/>
      <c r="H2473" s="126">
        <f t="shared" si="38"/>
        <v>1.1407010860938473</v>
      </c>
      <c r="I2473" s="89">
        <v>136.70999999999995</v>
      </c>
      <c r="J2473" s="1">
        <v>90.920833333333363</v>
      </c>
    </row>
    <row r="2474" spans="1:11" x14ac:dyDescent="0.3">
      <c r="A2474" s="88" t="s">
        <v>484</v>
      </c>
      <c r="B2474" s="24">
        <v>39361</v>
      </c>
      <c r="C2474" s="1">
        <v>7.5366482345487018</v>
      </c>
      <c r="D2474" s="1">
        <v>14</v>
      </c>
      <c r="E2474" s="1">
        <v>5.9</v>
      </c>
      <c r="F2474" s="1">
        <v>0</v>
      </c>
      <c r="G2474" s="1"/>
      <c r="H2474" s="126">
        <f t="shared" si="38"/>
        <v>0.92895926237531279</v>
      </c>
      <c r="I2474" s="89">
        <v>144.09000000000009</v>
      </c>
      <c r="J2474" s="1">
        <v>90.561458333333363</v>
      </c>
    </row>
    <row r="2475" spans="1:11" x14ac:dyDescent="0.3">
      <c r="A2475" s="88" t="s">
        <v>484</v>
      </c>
      <c r="B2475" s="24">
        <v>39362</v>
      </c>
      <c r="C2475" s="1">
        <v>10.906269800126722</v>
      </c>
      <c r="D2475" s="1">
        <v>15</v>
      </c>
      <c r="E2475" s="1">
        <v>3.7</v>
      </c>
      <c r="F2475" s="1">
        <v>1.4999999999999999E-2</v>
      </c>
      <c r="G2475" s="1"/>
      <c r="H2475" s="126">
        <f t="shared" si="38"/>
        <v>0.79650868879481573</v>
      </c>
      <c r="I2475" s="89">
        <v>58.77000000000001</v>
      </c>
      <c r="J2475" s="1">
        <v>84.831249999999997</v>
      </c>
    </row>
    <row r="2476" spans="1:11" x14ac:dyDescent="0.3">
      <c r="A2476" s="88" t="s">
        <v>484</v>
      </c>
      <c r="B2476" s="24">
        <v>39363</v>
      </c>
      <c r="C2476" s="1">
        <v>7.8822504464028578</v>
      </c>
      <c r="D2476" s="1">
        <v>13.5</v>
      </c>
      <c r="E2476" s="1">
        <v>5.4</v>
      </c>
      <c r="F2476" s="1">
        <v>5.0000000000000001E-3</v>
      </c>
      <c r="G2476" s="1"/>
      <c r="H2476" s="126">
        <f t="shared" si="38"/>
        <v>0.8972630930441321</v>
      </c>
      <c r="I2476" s="89">
        <v>125.82000000000002</v>
      </c>
      <c r="J2476" s="1">
        <v>87.083333333333357</v>
      </c>
    </row>
    <row r="2477" spans="1:11" x14ac:dyDescent="0.3">
      <c r="A2477" s="88" t="s">
        <v>484</v>
      </c>
      <c r="B2477" s="24">
        <v>39364</v>
      </c>
      <c r="C2477" s="1">
        <v>6.1416393064915615</v>
      </c>
      <c r="D2477" s="1">
        <v>12.3</v>
      </c>
      <c r="E2477" s="1">
        <v>5.5</v>
      </c>
      <c r="F2477" s="1">
        <v>5.0000000000000001E-3</v>
      </c>
      <c r="G2477" s="1"/>
      <c r="H2477" s="126">
        <f t="shared" si="38"/>
        <v>0.90352494025987484</v>
      </c>
      <c r="I2477" s="89">
        <v>87.659999999999982</v>
      </c>
      <c r="J2477" s="1">
        <v>83.279166666666654</v>
      </c>
    </row>
    <row r="2478" spans="1:11" x14ac:dyDescent="0.3">
      <c r="A2478" s="88" t="s">
        <v>484</v>
      </c>
      <c r="B2478" s="24">
        <v>39365</v>
      </c>
      <c r="C2478" s="1">
        <v>10.071064454812511</v>
      </c>
      <c r="D2478" s="1">
        <v>13.7</v>
      </c>
      <c r="E2478" s="1">
        <v>3.2</v>
      </c>
      <c r="F2478" s="1">
        <v>0</v>
      </c>
      <c r="G2478" s="1"/>
      <c r="H2478" s="126">
        <f t="shared" si="38"/>
        <v>0.76884154961442475</v>
      </c>
      <c r="I2478" s="89">
        <v>106.47000000000003</v>
      </c>
      <c r="J2478" s="1">
        <v>85.171875</v>
      </c>
    </row>
    <row r="2479" spans="1:11" x14ac:dyDescent="0.3">
      <c r="A2479" s="88" t="s">
        <v>484</v>
      </c>
      <c r="B2479" s="24">
        <v>39366</v>
      </c>
      <c r="C2479" s="1">
        <v>8.395253729623871</v>
      </c>
      <c r="D2479" s="1">
        <v>13.1</v>
      </c>
      <c r="E2479" s="1">
        <v>5.7</v>
      </c>
      <c r="F2479" s="1">
        <v>0</v>
      </c>
      <c r="G2479" s="1"/>
      <c r="H2479" s="126">
        <f t="shared" si="38"/>
        <v>0.91616430843021424</v>
      </c>
      <c r="I2479" s="89">
        <v>120.50999999999999</v>
      </c>
      <c r="J2479" s="1">
        <v>88.903125000000003</v>
      </c>
    </row>
    <row r="2480" spans="1:11" x14ac:dyDescent="0.3">
      <c r="A2480" s="88" t="s">
        <v>484</v>
      </c>
      <c r="B2480" s="24">
        <v>39367</v>
      </c>
      <c r="C2480" s="1">
        <v>3.9726254248027186</v>
      </c>
      <c r="D2480" s="1">
        <v>15.9</v>
      </c>
      <c r="E2480" s="1">
        <v>9.4</v>
      </c>
      <c r="F2480" s="1">
        <v>0.28000000000000003</v>
      </c>
      <c r="G2480" s="1"/>
      <c r="H2480" s="126">
        <f t="shared" si="38"/>
        <v>1.1798411174091483</v>
      </c>
      <c r="I2480" s="89">
        <v>354.24</v>
      </c>
      <c r="J2480" s="1">
        <v>86.289583333333283</v>
      </c>
    </row>
    <row r="2481" spans="1:10" x14ac:dyDescent="0.3">
      <c r="A2481" s="88" t="s">
        <v>484</v>
      </c>
      <c r="B2481" s="24">
        <v>39368</v>
      </c>
      <c r="C2481" s="1">
        <v>9.8847632624848796</v>
      </c>
      <c r="D2481" s="1">
        <v>12.6</v>
      </c>
      <c r="E2481" s="1">
        <v>4.3</v>
      </c>
      <c r="F2481" s="1">
        <v>0</v>
      </c>
      <c r="G2481" s="1"/>
      <c r="H2481" s="126">
        <f t="shared" si="38"/>
        <v>0.83086609768035358</v>
      </c>
      <c r="I2481" s="89">
        <v>130.05000000000001</v>
      </c>
      <c r="J2481" s="1">
        <v>84.215625000000003</v>
      </c>
    </row>
    <row r="2482" spans="1:10" x14ac:dyDescent="0.3">
      <c r="A2482" s="88" t="s">
        <v>484</v>
      </c>
      <c r="B2482" s="24">
        <v>39369</v>
      </c>
      <c r="C2482" s="1">
        <v>10.966570186049191</v>
      </c>
      <c r="D2482" s="1">
        <v>14.5</v>
      </c>
      <c r="E2482" s="1">
        <v>1.6</v>
      </c>
      <c r="F2482" s="1">
        <v>0</v>
      </c>
      <c r="G2482" s="1"/>
      <c r="H2482" s="126">
        <f t="shared" si="38"/>
        <v>0.68591959793818613</v>
      </c>
      <c r="I2482" s="89">
        <v>136.97999999999999</v>
      </c>
      <c r="J2482" s="1">
        <v>74.113541666666663</v>
      </c>
    </row>
    <row r="2483" spans="1:10" x14ac:dyDescent="0.3">
      <c r="A2483" s="88" t="s">
        <v>484</v>
      </c>
      <c r="B2483" s="24">
        <v>39370</v>
      </c>
      <c r="C2483" s="1">
        <v>10.526467369391163</v>
      </c>
      <c r="D2483" s="1">
        <v>16.5</v>
      </c>
      <c r="E2483" s="1">
        <v>2.5</v>
      </c>
      <c r="F2483" s="1">
        <v>0</v>
      </c>
      <c r="G2483" s="1"/>
      <c r="H2483" s="126">
        <f t="shared" si="38"/>
        <v>0.73153336467415264</v>
      </c>
      <c r="I2483" s="89">
        <v>160.19999999999987</v>
      </c>
      <c r="J2483" s="1">
        <v>73.570833333333326</v>
      </c>
    </row>
    <row r="2484" spans="1:10" x14ac:dyDescent="0.3">
      <c r="A2484" s="88" t="s">
        <v>484</v>
      </c>
      <c r="B2484" s="24">
        <v>39371</v>
      </c>
      <c r="C2484" s="1">
        <v>6.2190398018547324</v>
      </c>
      <c r="D2484" s="1">
        <v>17.100000000000001</v>
      </c>
      <c r="E2484" s="1">
        <v>11.4</v>
      </c>
      <c r="F2484" s="1">
        <v>0</v>
      </c>
      <c r="G2484" s="1"/>
      <c r="H2484" s="126">
        <f t="shared" si="38"/>
        <v>1.3484693686655054</v>
      </c>
      <c r="I2484" s="89">
        <v>172.62</v>
      </c>
      <c r="J2484" s="1">
        <v>76.994791666666657</v>
      </c>
    </row>
    <row r="2485" spans="1:10" x14ac:dyDescent="0.3">
      <c r="A2485" s="88" t="s">
        <v>484</v>
      </c>
      <c r="B2485" s="24">
        <v>39372</v>
      </c>
      <c r="C2485" s="1">
        <v>6.1875396002534409</v>
      </c>
      <c r="D2485" s="1">
        <v>17.600000000000001</v>
      </c>
      <c r="E2485" s="1">
        <v>9.6</v>
      </c>
      <c r="F2485" s="1">
        <v>5.5650000000000004</v>
      </c>
      <c r="G2485" s="1"/>
      <c r="H2485" s="126">
        <f t="shared" si="38"/>
        <v>1.1958248668287446</v>
      </c>
      <c r="I2485" s="89">
        <v>238.8600000000001</v>
      </c>
      <c r="J2485" s="1">
        <v>81.928124999999994</v>
      </c>
    </row>
    <row r="2486" spans="1:10" x14ac:dyDescent="0.3">
      <c r="A2486" s="88" t="s">
        <v>484</v>
      </c>
      <c r="B2486" s="24">
        <v>39373</v>
      </c>
      <c r="C2486" s="1">
        <v>6.8265436898796157</v>
      </c>
      <c r="D2486" s="1">
        <v>10.7</v>
      </c>
      <c r="E2486" s="1">
        <v>5.9</v>
      </c>
      <c r="F2486" s="1">
        <v>2.83</v>
      </c>
      <c r="G2486" s="1"/>
      <c r="H2486" s="126">
        <f t="shared" si="38"/>
        <v>0.92895926237531279</v>
      </c>
      <c r="I2486" s="89">
        <v>373.86</v>
      </c>
      <c r="J2486" s="1">
        <v>85.697916666666671</v>
      </c>
    </row>
    <row r="2487" spans="1:10" x14ac:dyDescent="0.3">
      <c r="A2487" s="88" t="s">
        <v>484</v>
      </c>
      <c r="B2487" s="24">
        <v>39374</v>
      </c>
      <c r="C2487" s="1">
        <v>7.9650509763262489</v>
      </c>
      <c r="D2487" s="1">
        <v>9.8000000000000007</v>
      </c>
      <c r="E2487" s="1">
        <v>1.9</v>
      </c>
      <c r="F2487" s="1">
        <v>0</v>
      </c>
      <c r="G2487" s="1"/>
      <c r="H2487" s="126">
        <f t="shared" si="38"/>
        <v>0.70083680221327738</v>
      </c>
      <c r="I2487" s="89">
        <v>267.38999999999993</v>
      </c>
      <c r="J2487" s="1">
        <v>79.007291666666703</v>
      </c>
    </row>
    <row r="2488" spans="1:10" x14ac:dyDescent="0.3">
      <c r="A2488" s="88" t="s">
        <v>484</v>
      </c>
      <c r="B2488" s="24">
        <v>39375</v>
      </c>
      <c r="C2488" s="1">
        <v>7.4601477449455675</v>
      </c>
      <c r="D2488" s="1">
        <v>8.3000000000000007</v>
      </c>
      <c r="E2488" s="1">
        <v>-0.6</v>
      </c>
      <c r="F2488" s="1">
        <v>0</v>
      </c>
      <c r="G2488" s="1"/>
      <c r="H2488" s="126">
        <f t="shared" si="38"/>
        <v>0.58482930968803559</v>
      </c>
      <c r="I2488" s="89">
        <v>132.75</v>
      </c>
      <c r="J2488" s="1">
        <v>82.441666666666706</v>
      </c>
    </row>
    <row r="2489" spans="1:10" x14ac:dyDescent="0.3">
      <c r="A2489" s="88" t="s">
        <v>484</v>
      </c>
      <c r="B2489" s="24">
        <v>39376</v>
      </c>
      <c r="C2489" s="1">
        <v>4.6278296181095557</v>
      </c>
      <c r="D2489" s="1">
        <v>9.3000000000000007</v>
      </c>
      <c r="E2489" s="1">
        <v>1.3</v>
      </c>
      <c r="F2489" s="1">
        <v>2.6850000000000001</v>
      </c>
      <c r="G2489" s="1"/>
      <c r="H2489" s="126">
        <f t="shared" si="38"/>
        <v>0.67128358518521281</v>
      </c>
      <c r="I2489" s="89">
        <v>222.93000000000006</v>
      </c>
      <c r="J2489" s="1">
        <v>86.030208333333348</v>
      </c>
    </row>
    <row r="2490" spans="1:10" x14ac:dyDescent="0.3">
      <c r="A2490" s="88" t="s">
        <v>484</v>
      </c>
      <c r="B2490" s="24">
        <v>39377</v>
      </c>
      <c r="C2490" s="1">
        <v>8.4024537757041653</v>
      </c>
      <c r="D2490" s="1">
        <v>7.2</v>
      </c>
      <c r="E2490" s="1">
        <v>-0.8</v>
      </c>
      <c r="F2490" s="1">
        <v>0</v>
      </c>
      <c r="G2490" s="1"/>
      <c r="H2490" s="126">
        <f t="shared" si="38"/>
        <v>0.57632881345991693</v>
      </c>
      <c r="I2490" s="89">
        <v>240.48000000000002</v>
      </c>
      <c r="J2490" s="1">
        <v>81.394791666666677</v>
      </c>
    </row>
    <row r="2491" spans="1:10" x14ac:dyDescent="0.3">
      <c r="A2491" s="88" t="s">
        <v>484</v>
      </c>
      <c r="B2491" s="24">
        <v>39378</v>
      </c>
      <c r="C2491" s="1">
        <v>6.0363386325672481</v>
      </c>
      <c r="D2491" s="1">
        <v>7.9</v>
      </c>
      <c r="E2491" s="1">
        <v>0.6</v>
      </c>
      <c r="F2491" s="1">
        <v>0</v>
      </c>
      <c r="G2491" s="1"/>
      <c r="H2491" s="126">
        <f t="shared" si="38"/>
        <v>0.63820086880942895</v>
      </c>
      <c r="I2491" s="89">
        <v>245.43</v>
      </c>
      <c r="J2491" s="1">
        <v>81.491666666666674</v>
      </c>
    </row>
    <row r="2492" spans="1:10" x14ac:dyDescent="0.3">
      <c r="A2492" s="88" t="s">
        <v>484</v>
      </c>
      <c r="B2492" s="24">
        <v>39379</v>
      </c>
      <c r="C2492" s="1">
        <v>1.3824088474166234</v>
      </c>
      <c r="D2492" s="1">
        <v>7.2</v>
      </c>
      <c r="E2492" s="1">
        <v>5.6</v>
      </c>
      <c r="F2492" s="1">
        <v>0</v>
      </c>
      <c r="G2492" s="1"/>
      <c r="H2492" s="126">
        <f t="shared" si="38"/>
        <v>0.9098252778997602</v>
      </c>
      <c r="I2492" s="89">
        <v>307.88999999999993</v>
      </c>
      <c r="J2492" s="1">
        <v>84.433333333333351</v>
      </c>
    </row>
    <row r="2493" spans="1:10" x14ac:dyDescent="0.3">
      <c r="A2493" s="88" t="s">
        <v>484</v>
      </c>
      <c r="B2493" s="24">
        <v>39380</v>
      </c>
      <c r="C2493" s="1">
        <v>0.84330539715454178</v>
      </c>
      <c r="D2493" s="1">
        <v>7.5</v>
      </c>
      <c r="E2493" s="1">
        <v>6.7</v>
      </c>
      <c r="F2493" s="1">
        <v>1.4999999999999999E-2</v>
      </c>
      <c r="G2493" s="1"/>
      <c r="H2493" s="126">
        <f t="shared" si="38"/>
        <v>0.98172789008858663</v>
      </c>
      <c r="I2493" s="89">
        <v>230.94000000000011</v>
      </c>
      <c r="J2493" s="1">
        <v>89.852083333333326</v>
      </c>
    </row>
    <row r="2494" spans="1:10" x14ac:dyDescent="0.3">
      <c r="A2494" s="88" t="s">
        <v>484</v>
      </c>
      <c r="B2494" s="24">
        <v>39381</v>
      </c>
      <c r="C2494" s="1">
        <v>0.46170295489891133</v>
      </c>
      <c r="D2494" s="1">
        <v>7.6</v>
      </c>
      <c r="E2494" s="1">
        <v>6</v>
      </c>
      <c r="F2494" s="1">
        <v>0.83499999999999996</v>
      </c>
      <c r="G2494" s="1"/>
      <c r="H2494" s="126">
        <f t="shared" si="38"/>
        <v>0.93541559507788385</v>
      </c>
      <c r="I2494" s="89">
        <v>201.51</v>
      </c>
      <c r="J2494" s="1">
        <v>93.288541666666674</v>
      </c>
    </row>
    <row r="2495" spans="1:10" x14ac:dyDescent="0.3">
      <c r="A2495" s="88" t="s">
        <v>484</v>
      </c>
      <c r="B2495" s="24">
        <v>39382</v>
      </c>
      <c r="C2495" s="1">
        <v>1.6056102759057658</v>
      </c>
      <c r="D2495" s="1">
        <v>8.6</v>
      </c>
      <c r="E2495" s="1">
        <v>2.9</v>
      </c>
      <c r="F2495" s="1">
        <v>0.05</v>
      </c>
      <c r="G2495" s="1"/>
      <c r="H2495" s="126">
        <f t="shared" si="38"/>
        <v>0.75265154972421666</v>
      </c>
      <c r="I2495" s="89">
        <v>133.01999999999998</v>
      </c>
      <c r="J2495" s="1">
        <v>93.138541666666654</v>
      </c>
    </row>
    <row r="2496" spans="1:10" x14ac:dyDescent="0.3">
      <c r="A2496" s="88" t="s">
        <v>484</v>
      </c>
      <c r="B2496" s="24">
        <v>39383</v>
      </c>
      <c r="C2496" s="1">
        <v>7.6239487932722767</v>
      </c>
      <c r="D2496" s="1">
        <v>10.3</v>
      </c>
      <c r="E2496" s="1">
        <v>2</v>
      </c>
      <c r="F2496" s="1">
        <v>0.01</v>
      </c>
      <c r="G2496" s="1"/>
      <c r="H2496" s="126">
        <f t="shared" si="38"/>
        <v>0.70587248896856769</v>
      </c>
      <c r="I2496" s="89">
        <v>164.52</v>
      </c>
      <c r="J2496" s="1">
        <v>83.418750000000003</v>
      </c>
    </row>
    <row r="2497" spans="1:10" x14ac:dyDescent="0.3">
      <c r="A2497" s="88" t="s">
        <v>484</v>
      </c>
      <c r="B2497" s="24">
        <v>39384</v>
      </c>
      <c r="C2497" s="1">
        <v>2.8836184551581132</v>
      </c>
      <c r="D2497" s="1">
        <v>10.5</v>
      </c>
      <c r="E2497" s="1">
        <v>7.6</v>
      </c>
      <c r="F2497" s="1">
        <v>5.44</v>
      </c>
      <c r="G2497" s="1"/>
      <c r="H2497" s="126">
        <f t="shared" si="38"/>
        <v>1.0442332464842816</v>
      </c>
      <c r="I2497" s="89">
        <v>140.67000000000002</v>
      </c>
      <c r="J2497" s="1">
        <v>81.232291666666654</v>
      </c>
    </row>
    <row r="2498" spans="1:10" x14ac:dyDescent="0.3">
      <c r="A2498" s="88" t="s">
        <v>484</v>
      </c>
      <c r="B2498" s="24">
        <v>39385</v>
      </c>
      <c r="C2498" s="1">
        <v>2.7900178561142788</v>
      </c>
      <c r="D2498" s="1">
        <v>10.6</v>
      </c>
      <c r="E2498" s="1">
        <v>5.5</v>
      </c>
      <c r="F2498" s="1">
        <v>5</v>
      </c>
      <c r="G2498" s="1"/>
      <c r="H2498" s="126">
        <f t="shared" si="38"/>
        <v>0.90352494025987484</v>
      </c>
      <c r="I2498" s="89">
        <v>181.71</v>
      </c>
      <c r="J2498" s="1">
        <v>92.131249999999994</v>
      </c>
    </row>
    <row r="2499" spans="1:10" x14ac:dyDescent="0.3">
      <c r="A2499" s="88" t="s">
        <v>484</v>
      </c>
      <c r="B2499" s="24">
        <v>39386</v>
      </c>
      <c r="C2499" s="1">
        <v>7.2495463970969416</v>
      </c>
      <c r="D2499" s="1">
        <v>10.8</v>
      </c>
      <c r="E2499" s="1">
        <v>4.0999999999999996</v>
      </c>
      <c r="F2499" s="1">
        <v>0</v>
      </c>
      <c r="G2499" s="1"/>
      <c r="H2499" s="126">
        <f t="shared" si="38"/>
        <v>0.81927114982761395</v>
      </c>
      <c r="I2499" s="89">
        <v>229.1399999999999</v>
      </c>
      <c r="J2499" s="1">
        <v>85.178124999999994</v>
      </c>
    </row>
    <row r="2500" spans="1:10" x14ac:dyDescent="0.3">
      <c r="A2500" s="88" t="s">
        <v>484</v>
      </c>
      <c r="B2500" s="24">
        <v>39387</v>
      </c>
      <c r="C2500" s="1">
        <v>1.2402079373307988</v>
      </c>
      <c r="D2500" s="1">
        <v>9.9</v>
      </c>
      <c r="E2500" s="1">
        <v>0</v>
      </c>
      <c r="F2500" s="1">
        <v>0</v>
      </c>
      <c r="G2500" s="1"/>
      <c r="H2500" s="126">
        <f t="shared" ref="H2500:H2563" si="39">0.611*EXP((17.27*E2500)/(E2500+237.3))</f>
        <v>0.61099999999999999</v>
      </c>
      <c r="I2500" s="89">
        <v>236.96999999999997</v>
      </c>
      <c r="J2500" s="1">
        <v>83.041666666666643</v>
      </c>
    </row>
    <row r="2501" spans="1:10" x14ac:dyDescent="0.3">
      <c r="A2501" s="88" t="s">
        <v>484</v>
      </c>
      <c r="B2501" s="24">
        <v>39388</v>
      </c>
      <c r="C2501" s="1">
        <v>1.1088070963654169</v>
      </c>
      <c r="D2501" s="1">
        <v>2.6</v>
      </c>
      <c r="E2501" s="1">
        <v>0.7</v>
      </c>
      <c r="F2501" s="1">
        <v>2.0449999999999999</v>
      </c>
      <c r="G2501" s="1"/>
      <c r="H2501" s="126">
        <f t="shared" si="39"/>
        <v>0.64283692539220627</v>
      </c>
      <c r="I2501" s="89">
        <v>193.14000000000007</v>
      </c>
      <c r="J2501" s="1">
        <v>97.427083333333357</v>
      </c>
    </row>
    <row r="2502" spans="1:10" x14ac:dyDescent="0.3">
      <c r="A2502" s="88" t="s">
        <v>484</v>
      </c>
      <c r="B2502" s="24">
        <v>39389</v>
      </c>
      <c r="C2502" s="1">
        <v>2.6568170036288232</v>
      </c>
      <c r="D2502" s="1">
        <v>9.9</v>
      </c>
      <c r="E2502" s="1">
        <v>0</v>
      </c>
      <c r="F2502" s="1">
        <v>0.85499999999999998</v>
      </c>
      <c r="G2502" s="1"/>
      <c r="H2502" s="126">
        <f t="shared" si="39"/>
        <v>0.61099999999999999</v>
      </c>
      <c r="I2502" s="89">
        <v>293.03999999999996</v>
      </c>
      <c r="J2502" s="1">
        <v>91.95729166666672</v>
      </c>
    </row>
    <row r="2503" spans="1:10" x14ac:dyDescent="0.3">
      <c r="A2503" s="88" t="s">
        <v>484</v>
      </c>
      <c r="B2503" s="24">
        <v>39390</v>
      </c>
      <c r="C2503" s="1">
        <v>4.9059313979609467</v>
      </c>
      <c r="D2503" s="1">
        <v>9.9</v>
      </c>
      <c r="E2503" s="1">
        <v>0</v>
      </c>
      <c r="F2503" s="1">
        <v>0.05</v>
      </c>
      <c r="G2503" s="1"/>
      <c r="H2503" s="126">
        <f t="shared" si="39"/>
        <v>0.61099999999999999</v>
      </c>
      <c r="I2503" s="89">
        <v>267.38999999999993</v>
      </c>
      <c r="J2503" s="1">
        <v>80.87916666666662</v>
      </c>
    </row>
    <row r="2504" spans="1:10" x14ac:dyDescent="0.3">
      <c r="A2504" s="88" t="s">
        <v>484</v>
      </c>
      <c r="B2504" s="24">
        <v>39391</v>
      </c>
      <c r="C2504" s="1">
        <v>5.8176372328782904</v>
      </c>
      <c r="D2504" s="1">
        <v>9.9</v>
      </c>
      <c r="E2504" s="1">
        <v>0</v>
      </c>
      <c r="F2504" s="1">
        <v>1.52</v>
      </c>
      <c r="G2504" s="1"/>
      <c r="H2504" s="126">
        <f t="shared" si="39"/>
        <v>0.61099999999999999</v>
      </c>
      <c r="I2504" s="89">
        <v>144</v>
      </c>
      <c r="J2504" s="1">
        <v>81.856250000000003</v>
      </c>
    </row>
    <row r="2505" spans="1:10" x14ac:dyDescent="0.3">
      <c r="A2505" s="88" t="s">
        <v>484</v>
      </c>
      <c r="B2505" s="24">
        <v>39392</v>
      </c>
      <c r="C2505" s="1">
        <v>3.3597215022176141</v>
      </c>
      <c r="D2505" s="1">
        <v>8</v>
      </c>
      <c r="E2505" s="1">
        <v>4.3</v>
      </c>
      <c r="F2505" s="1">
        <v>8.0299999999999994</v>
      </c>
      <c r="G2505" s="1"/>
      <c r="H2505" s="126">
        <f t="shared" si="39"/>
        <v>0.83086609768035358</v>
      </c>
      <c r="I2505" s="89">
        <v>436.14</v>
      </c>
      <c r="J2505" s="1">
        <v>86.201041666666697</v>
      </c>
    </row>
    <row r="2506" spans="1:10" x14ac:dyDescent="0.3">
      <c r="A2506" s="88" t="s">
        <v>484</v>
      </c>
      <c r="B2506" s="24">
        <v>39393</v>
      </c>
      <c r="C2506" s="1">
        <v>0.66780427394735331</v>
      </c>
      <c r="D2506" s="1">
        <v>9.5</v>
      </c>
      <c r="E2506" s="1">
        <v>5.4</v>
      </c>
      <c r="F2506" s="1">
        <v>5.97</v>
      </c>
      <c r="G2506" s="1"/>
      <c r="H2506" s="126">
        <f t="shared" si="39"/>
        <v>0.8972630930441321</v>
      </c>
      <c r="I2506" s="89">
        <v>539.82000000000016</v>
      </c>
      <c r="J2506" s="1">
        <v>87.441666666666706</v>
      </c>
    </row>
    <row r="2507" spans="1:10" x14ac:dyDescent="0.3">
      <c r="A2507" s="88" t="s">
        <v>484</v>
      </c>
      <c r="B2507" s="24">
        <v>39394</v>
      </c>
      <c r="C2507" s="1">
        <v>3.0834197338862968</v>
      </c>
      <c r="D2507" s="1">
        <v>9.9</v>
      </c>
      <c r="E2507" s="1">
        <v>0</v>
      </c>
      <c r="F2507" s="1">
        <v>3.4849999999999999</v>
      </c>
      <c r="G2507" s="1"/>
      <c r="H2507" s="126">
        <f t="shared" si="39"/>
        <v>0.61099999999999999</v>
      </c>
      <c r="I2507" s="89">
        <v>388.35000000000014</v>
      </c>
      <c r="J2507" s="1">
        <v>83.491666666666688</v>
      </c>
    </row>
    <row r="2508" spans="1:10" x14ac:dyDescent="0.3">
      <c r="A2508" s="88" t="s">
        <v>484</v>
      </c>
      <c r="B2508" s="24">
        <v>39395</v>
      </c>
      <c r="C2508" s="1">
        <v>2.91601866251944</v>
      </c>
      <c r="D2508" s="1">
        <v>6.9</v>
      </c>
      <c r="E2508" s="1">
        <v>1.3</v>
      </c>
      <c r="F2508" s="1">
        <v>5.09</v>
      </c>
      <c r="G2508" s="1"/>
      <c r="H2508" s="126">
        <f t="shared" si="39"/>
        <v>0.67128358518521281</v>
      </c>
      <c r="I2508" s="89">
        <v>585.09</v>
      </c>
      <c r="J2508" s="1">
        <v>84.984375</v>
      </c>
    </row>
    <row r="2509" spans="1:10" x14ac:dyDescent="0.3">
      <c r="A2509" s="88" t="s">
        <v>484</v>
      </c>
      <c r="B2509" s="24">
        <v>39396</v>
      </c>
      <c r="C2509" s="1">
        <v>2.492115949542077</v>
      </c>
      <c r="D2509" s="1">
        <v>5.0999999999999996</v>
      </c>
      <c r="E2509" s="1">
        <v>2.2000000000000002</v>
      </c>
      <c r="F2509" s="1">
        <v>6.3049999999999997</v>
      </c>
      <c r="G2509" s="1"/>
      <c r="H2509" s="126">
        <f t="shared" si="39"/>
        <v>0.71603982725344328</v>
      </c>
      <c r="I2509" s="89">
        <v>343.35</v>
      </c>
      <c r="J2509" s="1">
        <v>89.006249999999994</v>
      </c>
    </row>
    <row r="2510" spans="1:10" x14ac:dyDescent="0.3">
      <c r="A2510" s="88" t="s">
        <v>484</v>
      </c>
      <c r="B2510" s="24">
        <v>39397</v>
      </c>
      <c r="C2510" s="1">
        <v>1.30590835781349</v>
      </c>
      <c r="D2510" s="1">
        <v>8.6</v>
      </c>
      <c r="E2510" s="1">
        <v>2</v>
      </c>
      <c r="F2510" s="1">
        <v>7.5</v>
      </c>
      <c r="G2510" s="1"/>
      <c r="H2510" s="126">
        <f t="shared" si="39"/>
        <v>0.70587248896856769</v>
      </c>
      <c r="I2510" s="89">
        <v>394.20000000000005</v>
      </c>
      <c r="J2510" s="1">
        <v>88.651041666666671</v>
      </c>
    </row>
    <row r="2511" spans="1:10" x14ac:dyDescent="0.3">
      <c r="A2511" s="88" t="s">
        <v>484</v>
      </c>
      <c r="B2511" s="24">
        <v>39398</v>
      </c>
      <c r="C2511" s="1">
        <v>2.3364149530556997</v>
      </c>
      <c r="D2511" s="1">
        <v>6.5</v>
      </c>
      <c r="E2511" s="1">
        <v>1.8</v>
      </c>
      <c r="F2511" s="1">
        <v>5.6150000000000002</v>
      </c>
      <c r="G2511" s="1"/>
      <c r="H2511" s="126">
        <f t="shared" si="39"/>
        <v>0.69583287280742301</v>
      </c>
      <c r="I2511" s="89">
        <v>451.43999999999994</v>
      </c>
      <c r="J2511" s="1">
        <v>85.47708333333334</v>
      </c>
    </row>
    <row r="2512" spans="1:10" x14ac:dyDescent="0.3">
      <c r="A2512" s="88" t="s">
        <v>484</v>
      </c>
      <c r="B2512" s="24">
        <v>39399</v>
      </c>
      <c r="C2512" s="1">
        <v>0.51840331778123383</v>
      </c>
      <c r="D2512" s="1">
        <v>5</v>
      </c>
      <c r="E2512" s="1">
        <v>2</v>
      </c>
      <c r="F2512" s="1">
        <v>6.2249999999999996</v>
      </c>
      <c r="G2512" s="1"/>
      <c r="H2512" s="126">
        <f t="shared" si="39"/>
        <v>0.70587248896856769</v>
      </c>
      <c r="I2512" s="89">
        <v>300.60000000000025</v>
      </c>
      <c r="J2512" s="1">
        <v>88.889583333333306</v>
      </c>
    </row>
    <row r="2513" spans="1:10" x14ac:dyDescent="0.3">
      <c r="A2513" s="88" t="s">
        <v>484</v>
      </c>
      <c r="B2513" s="24">
        <v>39400</v>
      </c>
      <c r="C2513" s="1">
        <v>2.558716375784805</v>
      </c>
      <c r="D2513" s="1">
        <v>2.6</v>
      </c>
      <c r="E2513" s="1">
        <v>0.4</v>
      </c>
      <c r="F2513" s="1">
        <v>0.19500000000000001</v>
      </c>
      <c r="G2513" s="1"/>
      <c r="H2513" s="126">
        <f t="shared" si="39"/>
        <v>0.62901732612537431</v>
      </c>
      <c r="I2513" s="89">
        <v>329.75999999999982</v>
      </c>
      <c r="J2513" s="1">
        <v>87.676041666666663</v>
      </c>
    </row>
    <row r="2514" spans="1:10" x14ac:dyDescent="0.3">
      <c r="A2514" s="88" t="s">
        <v>484</v>
      </c>
      <c r="B2514" s="24">
        <v>39401</v>
      </c>
      <c r="C2514" s="1">
        <v>2.799017913714648</v>
      </c>
      <c r="D2514" s="1">
        <v>3.8</v>
      </c>
      <c r="E2514" s="1">
        <v>0.5</v>
      </c>
      <c r="F2514" s="1">
        <v>0</v>
      </c>
      <c r="G2514" s="1"/>
      <c r="H2514" s="126">
        <f t="shared" si="39"/>
        <v>0.63359438986733596</v>
      </c>
      <c r="I2514" s="89">
        <v>234</v>
      </c>
      <c r="J2514" s="1">
        <v>85.626041666666652</v>
      </c>
    </row>
    <row r="2515" spans="1:10" x14ac:dyDescent="0.3">
      <c r="A2515" s="88" t="s">
        <v>484</v>
      </c>
      <c r="B2515" s="24">
        <v>39402</v>
      </c>
      <c r="C2515" s="1">
        <v>1.0962070157249006</v>
      </c>
      <c r="D2515" s="1">
        <v>4.0999999999999996</v>
      </c>
      <c r="E2515" s="1">
        <v>0</v>
      </c>
      <c r="F2515" s="1">
        <v>1.22</v>
      </c>
      <c r="G2515" s="1"/>
      <c r="H2515" s="126">
        <f t="shared" si="39"/>
        <v>0.61099999999999999</v>
      </c>
      <c r="I2515" s="89">
        <v>236.88000000000002</v>
      </c>
      <c r="J2515" s="1">
        <v>87.641666666666666</v>
      </c>
    </row>
    <row r="2516" spans="1:10" x14ac:dyDescent="0.3">
      <c r="A2516" s="88" t="s">
        <v>484</v>
      </c>
      <c r="B2516" s="24">
        <v>39403</v>
      </c>
      <c r="C2516" s="1">
        <v>1.1943076435689188</v>
      </c>
      <c r="D2516" s="1">
        <v>6.2</v>
      </c>
      <c r="E2516" s="1">
        <v>4.0999999999999996</v>
      </c>
      <c r="F2516" s="1">
        <v>0.90500000000000003</v>
      </c>
      <c r="G2516" s="1"/>
      <c r="H2516" s="126">
        <f t="shared" si="39"/>
        <v>0.81927114982761395</v>
      </c>
      <c r="I2516" s="89">
        <v>228.60000000000008</v>
      </c>
      <c r="J2516" s="1">
        <v>91.75</v>
      </c>
    </row>
    <row r="2517" spans="1:10" x14ac:dyDescent="0.3">
      <c r="A2517" s="88" t="s">
        <v>484</v>
      </c>
      <c r="B2517" s="24">
        <v>39404</v>
      </c>
      <c r="C2517" s="1">
        <v>0.83340533379413639</v>
      </c>
      <c r="D2517" s="1">
        <v>6.3</v>
      </c>
      <c r="E2517" s="1">
        <v>3.6</v>
      </c>
      <c r="F2517" s="1">
        <v>0.57499999999999996</v>
      </c>
      <c r="G2517" s="1"/>
      <c r="H2517" s="126">
        <f t="shared" si="39"/>
        <v>0.79090602148237243</v>
      </c>
      <c r="I2517" s="89">
        <v>168.84</v>
      </c>
      <c r="J2517" s="1">
        <v>91.014583333333306</v>
      </c>
    </row>
    <row r="2518" spans="1:10" x14ac:dyDescent="0.3">
      <c r="A2518" s="88" t="s">
        <v>484</v>
      </c>
      <c r="B2518" s="24">
        <v>39405</v>
      </c>
      <c r="C2518" s="1">
        <v>1.7595112608720695</v>
      </c>
      <c r="D2518" s="1">
        <v>3.5</v>
      </c>
      <c r="E2518" s="1">
        <v>0.5</v>
      </c>
      <c r="F2518" s="1">
        <v>0.19500000000000001</v>
      </c>
      <c r="G2518" s="1"/>
      <c r="H2518" s="126">
        <f t="shared" si="39"/>
        <v>0.63359438986733596</v>
      </c>
      <c r="I2518" s="89">
        <v>299.60999999999996</v>
      </c>
      <c r="J2518" s="1">
        <v>85.45</v>
      </c>
    </row>
    <row r="2519" spans="1:10" x14ac:dyDescent="0.3">
      <c r="A2519" s="88" t="s">
        <v>484</v>
      </c>
      <c r="B2519" s="24">
        <v>39406</v>
      </c>
      <c r="C2519" s="1">
        <v>2.1978140660100225</v>
      </c>
      <c r="D2519" s="1">
        <v>5.6</v>
      </c>
      <c r="E2519" s="1">
        <v>0.7</v>
      </c>
      <c r="F2519" s="1">
        <v>0</v>
      </c>
      <c r="G2519" s="1"/>
      <c r="H2519" s="126">
        <f t="shared" si="39"/>
        <v>0.64283692539220627</v>
      </c>
      <c r="I2519" s="89">
        <v>116.37</v>
      </c>
      <c r="J2519" s="1">
        <v>88.009375000000006</v>
      </c>
    </row>
    <row r="2520" spans="1:10" x14ac:dyDescent="0.3">
      <c r="A2520" s="88" t="s">
        <v>484</v>
      </c>
      <c r="B2520" s="24">
        <v>39407</v>
      </c>
      <c r="C2520" s="1">
        <v>1.4418092275790566</v>
      </c>
      <c r="D2520" s="1">
        <v>7.8</v>
      </c>
      <c r="E2520" s="1">
        <v>0.1</v>
      </c>
      <c r="F2520" s="1">
        <v>0</v>
      </c>
      <c r="G2520" s="1"/>
      <c r="H2520" s="126">
        <f t="shared" si="39"/>
        <v>0.61546101269605991</v>
      </c>
      <c r="I2520" s="89">
        <v>147.06</v>
      </c>
      <c r="J2520" s="1">
        <v>85.783333333333303</v>
      </c>
    </row>
    <row r="2521" spans="1:10" x14ac:dyDescent="0.3">
      <c r="A2521" s="88" t="s">
        <v>484</v>
      </c>
      <c r="B2521" s="24">
        <v>39408</v>
      </c>
      <c r="C2521" s="1">
        <v>0.97380623235988717</v>
      </c>
      <c r="D2521" s="1">
        <v>9.6</v>
      </c>
      <c r="E2521" s="1">
        <v>4.2</v>
      </c>
      <c r="F2521" s="1">
        <v>0</v>
      </c>
      <c r="G2521" s="1"/>
      <c r="H2521" s="126">
        <f t="shared" si="39"/>
        <v>0.82505065566727931</v>
      </c>
      <c r="I2521" s="89">
        <v>103.05000000000003</v>
      </c>
      <c r="J2521" s="1">
        <v>85.840625000000003</v>
      </c>
    </row>
    <row r="2522" spans="1:10" x14ac:dyDescent="0.3">
      <c r="A2522" s="88" t="s">
        <v>484</v>
      </c>
      <c r="B2522" s="24">
        <v>39409</v>
      </c>
      <c r="C2522" s="1">
        <v>1.072806865963942</v>
      </c>
      <c r="D2522" s="1">
        <v>9</v>
      </c>
      <c r="E2522" s="1">
        <v>3.8</v>
      </c>
      <c r="F2522" s="1">
        <v>0.28999999999999998</v>
      </c>
      <c r="G2522" s="1"/>
      <c r="H2522" s="126">
        <f t="shared" si="39"/>
        <v>0.80214634758046521</v>
      </c>
      <c r="I2522" s="89">
        <v>206.55</v>
      </c>
      <c r="J2522" s="1">
        <v>88.568749999999994</v>
      </c>
    </row>
    <row r="2523" spans="1:10" x14ac:dyDescent="0.3">
      <c r="A2523" s="88" t="s">
        <v>484</v>
      </c>
      <c r="B2523" s="24">
        <v>39410</v>
      </c>
      <c r="C2523" s="1">
        <v>4.6719299003513619</v>
      </c>
      <c r="D2523" s="1">
        <v>4.8</v>
      </c>
      <c r="E2523" s="1">
        <v>0.1</v>
      </c>
      <c r="F2523" s="1">
        <v>0</v>
      </c>
      <c r="G2523" s="1"/>
      <c r="H2523" s="126">
        <f t="shared" si="39"/>
        <v>0.61546101269605991</v>
      </c>
      <c r="I2523" s="89">
        <v>260.82</v>
      </c>
      <c r="J2523" s="1">
        <v>74.807291666666686</v>
      </c>
    </row>
    <row r="2524" spans="1:10" x14ac:dyDescent="0.3">
      <c r="A2524" s="88" t="s">
        <v>484</v>
      </c>
      <c r="B2524" s="24">
        <v>39411</v>
      </c>
      <c r="C2524" s="1">
        <v>1.9287123437590001</v>
      </c>
      <c r="D2524" s="1">
        <v>8.1</v>
      </c>
      <c r="E2524" s="1">
        <v>1.6</v>
      </c>
      <c r="F2524" s="1">
        <v>3.8050000000000002</v>
      </c>
      <c r="G2524" s="1"/>
      <c r="H2524" s="126">
        <f t="shared" si="39"/>
        <v>0.68591959793818613</v>
      </c>
      <c r="I2524" s="89">
        <v>439.92000000000013</v>
      </c>
      <c r="J2524" s="1">
        <v>84.10833333333332</v>
      </c>
    </row>
    <row r="2525" spans="1:10" x14ac:dyDescent="0.3">
      <c r="A2525" s="88" t="s">
        <v>484</v>
      </c>
      <c r="B2525" s="24">
        <v>39412</v>
      </c>
      <c r="C2525" s="1">
        <v>1.7982115085536547</v>
      </c>
      <c r="D2525" s="1">
        <v>2.8</v>
      </c>
      <c r="E2525" s="1">
        <v>0.7</v>
      </c>
      <c r="F2525" s="1">
        <v>1.21</v>
      </c>
      <c r="G2525" s="1"/>
      <c r="H2525" s="126">
        <f t="shared" si="39"/>
        <v>0.64283692539220627</v>
      </c>
      <c r="I2525" s="89">
        <v>517.50000000000045</v>
      </c>
      <c r="J2525" s="1">
        <v>86.579166666666637</v>
      </c>
    </row>
    <row r="2526" spans="1:10" x14ac:dyDescent="0.3">
      <c r="A2526" s="88" t="s">
        <v>484</v>
      </c>
      <c r="B2526" s="24">
        <v>39413</v>
      </c>
      <c r="C2526" s="1">
        <v>3.9960255745636775</v>
      </c>
      <c r="D2526" s="1">
        <v>4.8</v>
      </c>
      <c r="E2526" s="1">
        <v>0.1</v>
      </c>
      <c r="F2526" s="1">
        <v>0</v>
      </c>
      <c r="G2526" s="1"/>
      <c r="H2526" s="126">
        <f t="shared" si="39"/>
        <v>0.61546101269605991</v>
      </c>
      <c r="I2526" s="89">
        <v>270.71999999999991</v>
      </c>
      <c r="J2526" s="1">
        <v>86.316666666666677</v>
      </c>
    </row>
    <row r="2527" spans="1:10" x14ac:dyDescent="0.3">
      <c r="A2527" s="88" t="s">
        <v>484</v>
      </c>
      <c r="B2527" s="24">
        <v>39414</v>
      </c>
      <c r="C2527" s="1">
        <v>2.2032141005702437</v>
      </c>
      <c r="D2527" s="1">
        <v>5.0999999999999996</v>
      </c>
      <c r="E2527" s="1">
        <v>0.4</v>
      </c>
      <c r="F2527" s="1">
        <v>0</v>
      </c>
      <c r="G2527" s="1"/>
      <c r="H2527" s="126">
        <f t="shared" si="39"/>
        <v>0.62901732612537431</v>
      </c>
      <c r="I2527" s="89">
        <v>171.27</v>
      </c>
      <c r="J2527" s="1">
        <v>84.182291666666643</v>
      </c>
    </row>
    <row r="2528" spans="1:10" x14ac:dyDescent="0.3">
      <c r="A2528" s="88" t="s">
        <v>484</v>
      </c>
      <c r="B2528" s="24">
        <v>39415</v>
      </c>
      <c r="C2528" s="1">
        <v>1.1628074419676286</v>
      </c>
      <c r="D2528" s="1">
        <v>4.5999999999999996</v>
      </c>
      <c r="E2528" s="1">
        <v>0.6</v>
      </c>
      <c r="F2528" s="1">
        <v>0.13</v>
      </c>
      <c r="G2528" s="1"/>
      <c r="H2528" s="126">
        <f t="shared" si="39"/>
        <v>0.63820086880942895</v>
      </c>
      <c r="I2528" s="89">
        <v>288.99000000000007</v>
      </c>
      <c r="J2528" s="1">
        <v>78.193749999999994</v>
      </c>
    </row>
    <row r="2529" spans="1:10" x14ac:dyDescent="0.3">
      <c r="A2529" s="88" t="s">
        <v>484</v>
      </c>
      <c r="B2529" s="24">
        <v>39416</v>
      </c>
      <c r="C2529" s="1">
        <v>1.9476124647197743</v>
      </c>
      <c r="D2529" s="1">
        <v>7.6</v>
      </c>
      <c r="E2529" s="1">
        <v>3.8</v>
      </c>
      <c r="F2529" s="1">
        <v>3.9950000000000001</v>
      </c>
      <c r="G2529" s="1"/>
      <c r="H2529" s="126">
        <f t="shared" si="39"/>
        <v>0.80214634758046521</v>
      </c>
      <c r="I2529" s="89">
        <v>387.63000000000011</v>
      </c>
      <c r="J2529" s="1">
        <v>86.36145833333336</v>
      </c>
    </row>
    <row r="2530" spans="1:10" x14ac:dyDescent="0.3">
      <c r="A2530" s="88" t="s">
        <v>484</v>
      </c>
      <c r="B2530" s="24">
        <v>39417</v>
      </c>
      <c r="C2530" s="1">
        <v>2.1654138586486953</v>
      </c>
      <c r="D2530" s="1">
        <v>9.9</v>
      </c>
      <c r="E2530" s="1">
        <v>0</v>
      </c>
      <c r="F2530" s="1">
        <v>1.355</v>
      </c>
      <c r="G2530" s="1"/>
      <c r="H2530" s="126">
        <f t="shared" si="39"/>
        <v>0.61099999999999999</v>
      </c>
      <c r="I2530" s="89">
        <v>363.24000000000018</v>
      </c>
      <c r="J2530" s="1">
        <v>77.541666666666643</v>
      </c>
    </row>
    <row r="2531" spans="1:10" x14ac:dyDescent="0.3">
      <c r="A2531" s="88" t="s">
        <v>484</v>
      </c>
      <c r="B2531" s="24">
        <v>39418</v>
      </c>
      <c r="C2531" s="1">
        <v>0.60300385922469912</v>
      </c>
      <c r="D2531" s="1">
        <v>9.9</v>
      </c>
      <c r="E2531" s="1">
        <v>6</v>
      </c>
      <c r="F2531" s="1">
        <v>3.8149999999999999</v>
      </c>
      <c r="G2531" s="1"/>
      <c r="H2531" s="126">
        <f t="shared" si="39"/>
        <v>0.93541559507788385</v>
      </c>
      <c r="I2531" s="89">
        <v>388.17000000000007</v>
      </c>
      <c r="J2531" s="1">
        <v>79.706249999999997</v>
      </c>
    </row>
    <row r="2532" spans="1:10" x14ac:dyDescent="0.3">
      <c r="A2532" s="88" t="s">
        <v>484</v>
      </c>
      <c r="B2532" s="24">
        <v>39419</v>
      </c>
      <c r="C2532" s="1">
        <v>1.0822806108064356</v>
      </c>
      <c r="D2532" s="1">
        <v>8.4</v>
      </c>
      <c r="E2532" s="1">
        <v>3.8</v>
      </c>
      <c r="F2532" s="1">
        <v>6.17</v>
      </c>
      <c r="G2532" s="1"/>
      <c r="H2532" s="126">
        <f t="shared" si="39"/>
        <v>0.80214634758046521</v>
      </c>
      <c r="I2532" s="89">
        <v>617.89642105263147</v>
      </c>
      <c r="J2532" s="1">
        <v>82.214736842105282</v>
      </c>
    </row>
    <row r="2533" spans="1:10" x14ac:dyDescent="0.3">
      <c r="A2533" s="88" t="s">
        <v>484</v>
      </c>
      <c r="B2533" s="24">
        <v>39420</v>
      </c>
      <c r="C2533" s="1">
        <v>2.4192154829790913</v>
      </c>
      <c r="D2533" s="1">
        <v>7.1</v>
      </c>
      <c r="E2533" s="1">
        <v>4.3</v>
      </c>
      <c r="F2533" s="1">
        <v>0.51500000000000001</v>
      </c>
      <c r="G2533" s="1"/>
      <c r="H2533" s="126">
        <f t="shared" si="39"/>
        <v>0.83086609768035358</v>
      </c>
      <c r="I2533" s="89">
        <v>394.20000000000005</v>
      </c>
      <c r="J2533" s="1">
        <v>81.279166666666669</v>
      </c>
    </row>
    <row r="2534" spans="1:10" x14ac:dyDescent="0.3">
      <c r="A2534" s="88" t="s">
        <v>484</v>
      </c>
      <c r="B2534" s="24">
        <v>39421</v>
      </c>
      <c r="C2534" s="1">
        <v>0.78300501123207189</v>
      </c>
      <c r="D2534" s="1">
        <v>9.9</v>
      </c>
      <c r="E2534" s="1">
        <v>0</v>
      </c>
      <c r="F2534" s="1">
        <v>0.34</v>
      </c>
      <c r="G2534" s="1"/>
      <c r="H2534" s="126">
        <f t="shared" si="39"/>
        <v>0.61099999999999999</v>
      </c>
      <c r="I2534" s="89">
        <v>341.1</v>
      </c>
      <c r="J2534" s="1">
        <v>80.816666666666691</v>
      </c>
    </row>
    <row r="2535" spans="1:10" x14ac:dyDescent="0.3">
      <c r="A2535" s="88" t="s">
        <v>484</v>
      </c>
      <c r="B2535" s="24">
        <v>39422</v>
      </c>
      <c r="C2535" s="1">
        <v>1.5642100109440702</v>
      </c>
      <c r="D2535" s="1">
        <v>9.9</v>
      </c>
      <c r="E2535" s="1">
        <v>0</v>
      </c>
      <c r="F2535" s="1">
        <v>5.085</v>
      </c>
      <c r="G2535" s="1"/>
      <c r="H2535" s="126">
        <f t="shared" si="39"/>
        <v>0.61099999999999999</v>
      </c>
      <c r="I2535" s="89">
        <v>332.00999999999993</v>
      </c>
      <c r="J2535" s="1">
        <v>83.05</v>
      </c>
    </row>
    <row r="2536" spans="1:10" x14ac:dyDescent="0.3">
      <c r="A2536" s="88" t="s">
        <v>484</v>
      </c>
      <c r="B2536" s="24">
        <v>39423</v>
      </c>
      <c r="C2536" s="1">
        <v>1.3509086458153332</v>
      </c>
      <c r="D2536" s="1">
        <v>9.8000000000000007</v>
      </c>
      <c r="E2536" s="1">
        <v>0</v>
      </c>
      <c r="F2536" s="1">
        <v>8.1349999999999998</v>
      </c>
      <c r="G2536" s="1"/>
      <c r="H2536" s="126">
        <f t="shared" si="39"/>
        <v>0.61099999999999999</v>
      </c>
      <c r="I2536" s="89">
        <v>563.94000000000017</v>
      </c>
      <c r="J2536" s="1">
        <v>81.379166666666677</v>
      </c>
    </row>
    <row r="2537" spans="1:10" x14ac:dyDescent="0.3">
      <c r="A2537" s="88" t="s">
        <v>484</v>
      </c>
      <c r="B2537" s="24">
        <v>39424</v>
      </c>
      <c r="C2537" s="1">
        <v>1.4472092621392778</v>
      </c>
      <c r="D2537" s="1">
        <v>7</v>
      </c>
      <c r="E2537" s="1">
        <v>4.3</v>
      </c>
      <c r="F2537" s="1">
        <v>0.185</v>
      </c>
      <c r="G2537" s="1"/>
      <c r="H2537" s="126">
        <f t="shared" si="39"/>
        <v>0.83086609768035358</v>
      </c>
      <c r="I2537" s="89">
        <v>393.75</v>
      </c>
      <c r="J2537" s="1">
        <v>74.263541666666711</v>
      </c>
    </row>
    <row r="2538" spans="1:10" x14ac:dyDescent="0.3">
      <c r="A2538" s="88" t="s">
        <v>484</v>
      </c>
      <c r="B2538" s="24">
        <v>39425</v>
      </c>
      <c r="C2538" s="1">
        <v>2.1267136109671103</v>
      </c>
      <c r="D2538" s="1">
        <v>9.1999999999999993</v>
      </c>
      <c r="E2538" s="1">
        <v>4.0999999999999996</v>
      </c>
      <c r="F2538" s="1">
        <v>2.2250000000000001</v>
      </c>
      <c r="G2538" s="1"/>
      <c r="H2538" s="126">
        <f t="shared" si="39"/>
        <v>0.81927114982761395</v>
      </c>
      <c r="I2538" s="89">
        <v>247.86</v>
      </c>
      <c r="J2538" s="1">
        <v>79.135416666666686</v>
      </c>
    </row>
    <row r="2539" spans="1:10" x14ac:dyDescent="0.3">
      <c r="A2539" s="88" t="s">
        <v>484</v>
      </c>
      <c r="B2539" s="24">
        <v>39426</v>
      </c>
      <c r="C2539" s="1">
        <v>0.73530470595011799</v>
      </c>
      <c r="D2539" s="1">
        <v>5.9</v>
      </c>
      <c r="E2539" s="1">
        <v>4.3</v>
      </c>
      <c r="F2539" s="1">
        <v>1.24</v>
      </c>
      <c r="G2539" s="1"/>
      <c r="H2539" s="126">
        <f t="shared" si="39"/>
        <v>0.83086609768035358</v>
      </c>
      <c r="I2539" s="89">
        <v>163.89000000000001</v>
      </c>
      <c r="J2539" s="1">
        <v>87.397916666666674</v>
      </c>
    </row>
    <row r="2540" spans="1:10" x14ac:dyDescent="0.3">
      <c r="A2540" s="88" t="s">
        <v>484</v>
      </c>
      <c r="B2540" s="24">
        <v>39427</v>
      </c>
      <c r="C2540" s="1">
        <v>0.16380104832670928</v>
      </c>
      <c r="D2540" s="1">
        <v>5</v>
      </c>
      <c r="E2540" s="1">
        <v>3.6</v>
      </c>
      <c r="F2540" s="1">
        <v>3.415</v>
      </c>
      <c r="G2540" s="1"/>
      <c r="H2540" s="126">
        <f t="shared" si="39"/>
        <v>0.79090602148237243</v>
      </c>
      <c r="I2540" s="89">
        <v>282.78000000000009</v>
      </c>
      <c r="J2540" s="1">
        <v>94.272916666666632</v>
      </c>
    </row>
    <row r="2541" spans="1:10" x14ac:dyDescent="0.3">
      <c r="A2541" s="88" t="s">
        <v>484</v>
      </c>
      <c r="B2541" s="24">
        <v>39428</v>
      </c>
      <c r="C2541" s="1">
        <v>0.27450175681124361</v>
      </c>
      <c r="D2541" s="1">
        <v>4.5999999999999996</v>
      </c>
      <c r="E2541" s="1">
        <v>3.7</v>
      </c>
      <c r="F2541" s="1">
        <v>0.23499999999999999</v>
      </c>
      <c r="G2541" s="1"/>
      <c r="H2541" s="126">
        <f t="shared" si="39"/>
        <v>0.79650868879481573</v>
      </c>
      <c r="I2541" s="89">
        <v>275.31000000000017</v>
      </c>
      <c r="J2541" s="1">
        <v>89.775000000000006</v>
      </c>
    </row>
    <row r="2542" spans="1:10" x14ac:dyDescent="0.3">
      <c r="A2542" s="88" t="s">
        <v>484</v>
      </c>
      <c r="B2542" s="24">
        <v>39429</v>
      </c>
      <c r="C2542" s="1">
        <v>0.98280628996025576</v>
      </c>
      <c r="D2542" s="1">
        <v>4</v>
      </c>
      <c r="E2542" s="1">
        <v>2.2000000000000002</v>
      </c>
      <c r="F2542" s="1">
        <v>0</v>
      </c>
      <c r="G2542" s="1"/>
      <c r="H2542" s="126">
        <f t="shared" si="39"/>
        <v>0.71603982725344328</v>
      </c>
      <c r="I2542" s="89">
        <v>130.58999999999997</v>
      </c>
      <c r="J2542" s="1">
        <v>85.198958333333323</v>
      </c>
    </row>
    <row r="2543" spans="1:10" x14ac:dyDescent="0.3">
      <c r="A2543" s="88" t="s">
        <v>484</v>
      </c>
      <c r="B2543" s="24">
        <v>39430</v>
      </c>
      <c r="C2543" s="1">
        <v>0.24660157825010079</v>
      </c>
      <c r="D2543" s="1">
        <v>2.2999999999999998</v>
      </c>
      <c r="E2543" s="1">
        <v>1.4</v>
      </c>
      <c r="F2543" s="1">
        <v>0.01</v>
      </c>
      <c r="G2543" s="1"/>
      <c r="H2543" s="126">
        <f t="shared" si="39"/>
        <v>0.67613129580825593</v>
      </c>
      <c r="I2543" s="89">
        <v>98.550000000000011</v>
      </c>
      <c r="J2543" s="1">
        <v>81.890625</v>
      </c>
    </row>
    <row r="2544" spans="1:10" x14ac:dyDescent="0.3">
      <c r="A2544" s="88" t="s">
        <v>484</v>
      </c>
      <c r="B2544" s="24">
        <v>39431</v>
      </c>
      <c r="C2544" s="1">
        <v>2.7909178618743162</v>
      </c>
      <c r="D2544" s="1">
        <v>3</v>
      </c>
      <c r="E2544" s="1">
        <v>0</v>
      </c>
      <c r="F2544" s="1">
        <v>0</v>
      </c>
      <c r="G2544" s="1"/>
      <c r="H2544" s="126">
        <f t="shared" si="39"/>
        <v>0.61099999999999999</v>
      </c>
      <c r="I2544" s="89">
        <v>221.03999999999996</v>
      </c>
      <c r="J2544" s="1">
        <v>82.481250000000003</v>
      </c>
    </row>
    <row r="2545" spans="1:10" x14ac:dyDescent="0.3">
      <c r="A2545" s="88" t="s">
        <v>484</v>
      </c>
      <c r="B2545" s="24">
        <v>39432</v>
      </c>
      <c r="C2545" s="1">
        <v>0.55980358274292963</v>
      </c>
      <c r="D2545" s="1">
        <v>4.4000000000000004</v>
      </c>
      <c r="E2545" s="1">
        <v>1.1000000000000001</v>
      </c>
      <c r="F2545" s="1">
        <v>0</v>
      </c>
      <c r="G2545" s="1"/>
      <c r="H2545" s="126">
        <f t="shared" si="39"/>
        <v>0.66168020278676021</v>
      </c>
      <c r="I2545" s="89">
        <v>181.61999999999995</v>
      </c>
      <c r="J2545" s="1">
        <v>91.106250000000003</v>
      </c>
    </row>
    <row r="2546" spans="1:10" x14ac:dyDescent="0.3">
      <c r="A2546" s="88" t="s">
        <v>484</v>
      </c>
      <c r="B2546" s="24">
        <v>39433</v>
      </c>
      <c r="C2546" s="1">
        <v>1.7964114970335812</v>
      </c>
      <c r="D2546" s="1">
        <v>1.4</v>
      </c>
      <c r="E2546" s="1">
        <v>0</v>
      </c>
      <c r="F2546" s="1">
        <v>0</v>
      </c>
      <c r="G2546" s="1"/>
      <c r="H2546" s="126">
        <f t="shared" si="39"/>
        <v>0.61099999999999999</v>
      </c>
      <c r="I2546" s="89">
        <v>301.76999999999987</v>
      </c>
      <c r="J2546" s="1">
        <v>84.293750000000003</v>
      </c>
    </row>
    <row r="2547" spans="1:10" x14ac:dyDescent="0.3">
      <c r="A2547" s="88" t="s">
        <v>484</v>
      </c>
      <c r="B2547" s="24">
        <v>39434</v>
      </c>
      <c r="C2547" s="1">
        <v>1.1349072634064858</v>
      </c>
      <c r="D2547" s="1">
        <v>2.4</v>
      </c>
      <c r="E2547" s="1">
        <v>0.3</v>
      </c>
      <c r="F2547" s="1">
        <v>0</v>
      </c>
      <c r="G2547" s="1"/>
      <c r="H2547" s="126">
        <f t="shared" si="39"/>
        <v>0.62446951587741306</v>
      </c>
      <c r="I2547" s="89">
        <v>271.17</v>
      </c>
      <c r="J2547" s="1">
        <v>88.55520833333334</v>
      </c>
    </row>
    <row r="2548" spans="1:10" x14ac:dyDescent="0.3">
      <c r="A2548" s="88" t="s">
        <v>484</v>
      </c>
      <c r="B2548" s="24">
        <v>39435</v>
      </c>
      <c r="C2548" s="1">
        <v>0.38610247105581474</v>
      </c>
      <c r="D2548" s="1">
        <v>3.5</v>
      </c>
      <c r="E2548" s="1">
        <v>2.4</v>
      </c>
      <c r="F2548" s="1">
        <v>0</v>
      </c>
      <c r="G2548" s="1"/>
      <c r="H2548" s="126">
        <f t="shared" si="39"/>
        <v>0.7263362808555901</v>
      </c>
      <c r="I2548" s="89">
        <v>118.17000000000002</v>
      </c>
      <c r="J2548" s="1">
        <v>94.529166666666654</v>
      </c>
    </row>
    <row r="2549" spans="1:10" x14ac:dyDescent="0.3">
      <c r="A2549" s="88" t="s">
        <v>484</v>
      </c>
      <c r="B2549" s="24">
        <v>39436</v>
      </c>
      <c r="C2549" s="1">
        <v>0.85320546051494728</v>
      </c>
      <c r="D2549" s="1">
        <v>4.5</v>
      </c>
      <c r="E2549" s="1">
        <v>3.3</v>
      </c>
      <c r="F2549" s="1">
        <v>0</v>
      </c>
      <c r="G2549" s="1"/>
      <c r="H2549" s="126">
        <f t="shared" si="39"/>
        <v>0.77430610767805441</v>
      </c>
      <c r="I2549" s="89">
        <v>89.460000000000008</v>
      </c>
      <c r="J2549" s="1">
        <v>96.25833333333334</v>
      </c>
    </row>
    <row r="2550" spans="1:10" x14ac:dyDescent="0.3">
      <c r="A2550" s="88" t="s">
        <v>484</v>
      </c>
      <c r="B2550" s="24">
        <v>39437</v>
      </c>
      <c r="C2550" s="1">
        <v>1.2411079430908358</v>
      </c>
      <c r="D2550" s="1">
        <v>5.2</v>
      </c>
      <c r="E2550" s="1">
        <v>3.8</v>
      </c>
      <c r="F2550" s="1">
        <v>0</v>
      </c>
      <c r="G2550" s="1"/>
      <c r="H2550" s="126">
        <f t="shared" si="39"/>
        <v>0.80214634758046521</v>
      </c>
      <c r="I2550" s="89">
        <v>143.73000000000005</v>
      </c>
      <c r="J2550" s="1">
        <v>98.844791666666694</v>
      </c>
    </row>
    <row r="2551" spans="1:10" x14ac:dyDescent="0.3">
      <c r="A2551" s="88" t="s">
        <v>484</v>
      </c>
      <c r="B2551" s="24">
        <v>39438</v>
      </c>
      <c r="C2551" s="1">
        <v>2.2473143828120503</v>
      </c>
      <c r="D2551" s="1">
        <v>6.6</v>
      </c>
      <c r="E2551" s="1">
        <v>2.7</v>
      </c>
      <c r="F2551" s="1">
        <v>0</v>
      </c>
      <c r="G2551" s="1"/>
      <c r="H2551" s="126">
        <f t="shared" si="39"/>
        <v>0.74202613073523482</v>
      </c>
      <c r="I2551" s="89">
        <v>60.480000000000004</v>
      </c>
      <c r="J2551" s="1">
        <v>98.269791666666677</v>
      </c>
    </row>
    <row r="2552" spans="1:10" x14ac:dyDescent="0.3">
      <c r="A2552" s="88" t="s">
        <v>484</v>
      </c>
      <c r="B2552" s="24">
        <v>39439</v>
      </c>
      <c r="C2552" s="1">
        <v>0.86220551811531587</v>
      </c>
      <c r="D2552" s="1">
        <v>5.2</v>
      </c>
      <c r="E2552" s="1">
        <v>0</v>
      </c>
      <c r="F2552" s="1">
        <v>0.18</v>
      </c>
      <c r="G2552" s="1"/>
      <c r="H2552" s="126">
        <f t="shared" si="39"/>
        <v>0.61099999999999999</v>
      </c>
      <c r="I2552" s="89">
        <v>174.51000000000002</v>
      </c>
      <c r="J2552" s="1">
        <v>94.275000000000006</v>
      </c>
    </row>
    <row r="2553" spans="1:10" x14ac:dyDescent="0.3">
      <c r="A2553" s="88" t="s">
        <v>484</v>
      </c>
      <c r="B2553" s="24">
        <v>39440</v>
      </c>
      <c r="C2553" s="1">
        <v>0.85680548355509467</v>
      </c>
      <c r="D2553" s="1">
        <v>1.3</v>
      </c>
      <c r="E2553" s="1">
        <v>0</v>
      </c>
      <c r="F2553" s="1">
        <v>0</v>
      </c>
      <c r="G2553" s="1"/>
      <c r="H2553" s="126">
        <f t="shared" si="39"/>
        <v>0.61099999999999999</v>
      </c>
      <c r="I2553" s="89">
        <v>94.23</v>
      </c>
      <c r="J2553" s="1">
        <v>97.38229166666666</v>
      </c>
    </row>
    <row r="2554" spans="1:10" x14ac:dyDescent="0.3">
      <c r="A2554" s="88" t="s">
        <v>484</v>
      </c>
      <c r="B2554" s="24">
        <v>39441</v>
      </c>
      <c r="C2554" s="1">
        <v>3.0078192500432004</v>
      </c>
      <c r="D2554" s="1">
        <v>3.1</v>
      </c>
      <c r="E2554" s="1">
        <v>0.1</v>
      </c>
      <c r="F2554" s="1">
        <v>0</v>
      </c>
      <c r="G2554" s="1"/>
      <c r="H2554" s="126">
        <f t="shared" si="39"/>
        <v>0.61546101269605991</v>
      </c>
      <c r="I2554" s="89">
        <v>163.98</v>
      </c>
      <c r="J2554" s="1">
        <v>77.314583333333317</v>
      </c>
    </row>
    <row r="2555" spans="1:10" x14ac:dyDescent="0.3">
      <c r="A2555" s="88" t="s">
        <v>484</v>
      </c>
      <c r="B2555" s="24">
        <v>39442</v>
      </c>
      <c r="C2555" s="1">
        <v>0.80010512067277229</v>
      </c>
      <c r="D2555" s="1">
        <v>2.2000000000000002</v>
      </c>
      <c r="E2555" s="1">
        <v>0</v>
      </c>
      <c r="F2555" s="1">
        <v>0</v>
      </c>
      <c r="G2555" s="1"/>
      <c r="H2555" s="126">
        <f t="shared" si="39"/>
        <v>0.61099999999999999</v>
      </c>
      <c r="I2555" s="89">
        <v>234.63000000000002</v>
      </c>
      <c r="J2555" s="1">
        <v>75.290625000000006</v>
      </c>
    </row>
    <row r="2556" spans="1:10" x14ac:dyDescent="0.3">
      <c r="A2556" s="88" t="s">
        <v>484</v>
      </c>
      <c r="B2556" s="24">
        <v>39443</v>
      </c>
      <c r="C2556" s="1">
        <v>2.2833146132135247</v>
      </c>
      <c r="D2556" s="1">
        <v>3.9</v>
      </c>
      <c r="E2556" s="1">
        <v>0.1</v>
      </c>
      <c r="F2556" s="1">
        <v>0</v>
      </c>
      <c r="G2556" s="1"/>
      <c r="H2556" s="126">
        <f t="shared" si="39"/>
        <v>0.61546101269605991</v>
      </c>
      <c r="I2556" s="89">
        <v>250.74000000000004</v>
      </c>
      <c r="J2556" s="1">
        <v>82.422916666666637</v>
      </c>
    </row>
    <row r="2557" spans="1:10" x14ac:dyDescent="0.3">
      <c r="A2557" s="88" t="s">
        <v>484</v>
      </c>
      <c r="B2557" s="24">
        <v>39444</v>
      </c>
      <c r="C2557" s="1">
        <v>1.570510051264328</v>
      </c>
      <c r="D2557" s="1">
        <v>6</v>
      </c>
      <c r="E2557" s="1">
        <v>3.8</v>
      </c>
      <c r="F2557" s="1">
        <v>0</v>
      </c>
      <c r="G2557" s="1"/>
      <c r="H2557" s="126">
        <f t="shared" si="39"/>
        <v>0.80214634758046521</v>
      </c>
      <c r="I2557" s="89">
        <v>328.95</v>
      </c>
      <c r="J2557" s="1">
        <v>80.294791666666683</v>
      </c>
    </row>
    <row r="2558" spans="1:10" x14ac:dyDescent="0.3">
      <c r="A2558" s="88" t="s">
        <v>484</v>
      </c>
      <c r="B2558" s="24">
        <v>39445</v>
      </c>
      <c r="C2558" s="1">
        <v>0.82260526467369399</v>
      </c>
      <c r="D2558" s="1">
        <v>5</v>
      </c>
      <c r="E2558" s="1">
        <v>2.5</v>
      </c>
      <c r="F2558" s="1">
        <v>0</v>
      </c>
      <c r="G2558" s="1"/>
      <c r="H2558" s="126">
        <f t="shared" si="39"/>
        <v>0.73153336467415264</v>
      </c>
      <c r="I2558" s="89">
        <v>329.31000000000006</v>
      </c>
      <c r="J2558" s="1">
        <v>72.228125000000006</v>
      </c>
    </row>
    <row r="2559" spans="1:10" x14ac:dyDescent="0.3">
      <c r="A2559" s="88" t="s">
        <v>484</v>
      </c>
      <c r="B2559" s="24">
        <v>39446</v>
      </c>
      <c r="C2559" s="1">
        <v>0.6741043142676113</v>
      </c>
      <c r="D2559" s="1">
        <v>4.9000000000000004</v>
      </c>
      <c r="E2559" s="1">
        <v>2.7</v>
      </c>
      <c r="F2559" s="1">
        <v>0.52500000000000002</v>
      </c>
      <c r="G2559" s="1"/>
      <c r="H2559" s="126">
        <f t="shared" si="39"/>
        <v>0.74202613073523482</v>
      </c>
      <c r="I2559" s="89">
        <v>246.15000000000003</v>
      </c>
      <c r="J2559" s="1">
        <v>84.98333333333332</v>
      </c>
    </row>
    <row r="2560" spans="1:10" x14ac:dyDescent="0.3">
      <c r="A2560" s="88" t="s">
        <v>484</v>
      </c>
      <c r="B2560" s="24">
        <v>39447</v>
      </c>
      <c r="C2560" s="1">
        <v>1.9368123955993319</v>
      </c>
      <c r="D2560" s="1">
        <v>4</v>
      </c>
      <c r="E2560" s="1">
        <v>1.1000000000000001</v>
      </c>
      <c r="F2560" s="1">
        <v>0</v>
      </c>
      <c r="G2560" s="1"/>
      <c r="H2560" s="126">
        <f t="shared" si="39"/>
        <v>0.66168020278676021</v>
      </c>
      <c r="I2560" s="89">
        <v>256.41000000000003</v>
      </c>
      <c r="J2560" s="1">
        <v>90.83645833333334</v>
      </c>
    </row>
    <row r="2561" spans="1:10" x14ac:dyDescent="0.3">
      <c r="A2561" s="88" t="s">
        <v>484</v>
      </c>
      <c r="B2561" s="24">
        <v>39448</v>
      </c>
      <c r="C2561" s="1">
        <v>0.84240539139450499</v>
      </c>
      <c r="D2561" s="1">
        <v>1.1000000000000001</v>
      </c>
      <c r="E2561" s="1">
        <v>-1</v>
      </c>
      <c r="F2561" s="1">
        <v>1.4650000000000001</v>
      </c>
      <c r="G2561" s="1"/>
      <c r="H2561" s="126">
        <f t="shared" si="39"/>
        <v>0.5679377955282604</v>
      </c>
      <c r="I2561" s="89">
        <v>141.84000000000003</v>
      </c>
      <c r="J2561" s="1">
        <v>95.430208333333326</v>
      </c>
    </row>
    <row r="2562" spans="1:10" x14ac:dyDescent="0.3">
      <c r="A2562" s="88" t="s">
        <v>484</v>
      </c>
      <c r="B2562" s="24">
        <v>39449</v>
      </c>
      <c r="C2562" s="1">
        <v>1.30590835781349</v>
      </c>
      <c r="D2562" s="1">
        <v>0</v>
      </c>
      <c r="E2562" s="1">
        <v>-1.2</v>
      </c>
      <c r="F2562" s="1">
        <v>0.48</v>
      </c>
      <c r="G2562" s="1"/>
      <c r="H2562" s="126">
        <f t="shared" si="39"/>
        <v>0.55965503960920326</v>
      </c>
      <c r="I2562" s="89">
        <v>209.97000000000008</v>
      </c>
      <c r="J2562" s="1">
        <v>92.261458333333351</v>
      </c>
    </row>
    <row r="2563" spans="1:10" x14ac:dyDescent="0.3">
      <c r="A2563" s="88" t="s">
        <v>484</v>
      </c>
      <c r="B2563" s="24">
        <v>39450</v>
      </c>
      <c r="C2563" s="1">
        <v>0.85680548355509467</v>
      </c>
      <c r="D2563" s="1">
        <v>-1.1000000000000001</v>
      </c>
      <c r="E2563" s="1">
        <v>-3.6</v>
      </c>
      <c r="F2563" s="1">
        <v>0</v>
      </c>
      <c r="G2563" s="1"/>
      <c r="H2563" s="126">
        <f t="shared" si="39"/>
        <v>0.46827867731545425</v>
      </c>
      <c r="I2563" s="89">
        <v>589.95000000000005</v>
      </c>
      <c r="J2563" s="1">
        <v>89.7708333333333</v>
      </c>
    </row>
    <row r="2564" spans="1:10" x14ac:dyDescent="0.3">
      <c r="A2564" s="88" t="s">
        <v>484</v>
      </c>
      <c r="B2564" s="24">
        <v>39451</v>
      </c>
      <c r="C2564" s="1">
        <v>2.6073166868267954</v>
      </c>
      <c r="D2564" s="1">
        <v>-3.1</v>
      </c>
      <c r="E2564" s="1">
        <v>-5.5</v>
      </c>
      <c r="F2564" s="1">
        <v>0</v>
      </c>
      <c r="G2564" s="1"/>
      <c r="H2564" s="126">
        <f t="shared" ref="H2564:H2627" si="40">0.611*EXP((17.27*E2564)/(E2564+237.3))</f>
        <v>0.40558302691933429</v>
      </c>
      <c r="I2564" s="89">
        <v>428.4</v>
      </c>
      <c r="J2564" s="1">
        <v>92.546875</v>
      </c>
    </row>
    <row r="2565" spans="1:10" x14ac:dyDescent="0.3">
      <c r="A2565" s="88" t="s">
        <v>484</v>
      </c>
      <c r="B2565" s="24">
        <v>39452</v>
      </c>
      <c r="C2565" s="1">
        <v>0.58500374402396171</v>
      </c>
      <c r="D2565" s="1">
        <v>7.4</v>
      </c>
      <c r="E2565" s="1">
        <v>-3.2</v>
      </c>
      <c r="F2565" s="1">
        <v>0</v>
      </c>
      <c r="G2565" s="1"/>
      <c r="H2565" s="126">
        <f t="shared" si="40"/>
        <v>0.48252218724041501</v>
      </c>
      <c r="I2565" s="89">
        <v>248.39999999999998</v>
      </c>
      <c r="J2565" s="1">
        <v>83.01770833333336</v>
      </c>
    </row>
    <row r="2566" spans="1:10" x14ac:dyDescent="0.3">
      <c r="A2566" s="88" t="s">
        <v>484</v>
      </c>
      <c r="B2566" s="24">
        <v>39453</v>
      </c>
      <c r="C2566" s="1">
        <v>0.53820344450204483</v>
      </c>
      <c r="D2566" s="1">
        <v>5.2</v>
      </c>
      <c r="E2566" s="1">
        <v>1.5</v>
      </c>
      <c r="F2566" s="1">
        <v>5.3650000000000002</v>
      </c>
      <c r="G2566" s="1"/>
      <c r="H2566" s="126">
        <f t="shared" si="40"/>
        <v>0.68100991033793745</v>
      </c>
      <c r="I2566" s="89">
        <v>175.86</v>
      </c>
      <c r="J2566" s="1">
        <v>91.404166666666626</v>
      </c>
    </row>
    <row r="2567" spans="1:10" x14ac:dyDescent="0.3">
      <c r="A2567" s="88" t="s">
        <v>484</v>
      </c>
      <c r="B2567" s="24">
        <v>39454</v>
      </c>
      <c r="C2567" s="1">
        <v>1.7334110938310006</v>
      </c>
      <c r="D2567" s="1">
        <v>8</v>
      </c>
      <c r="E2567" s="1">
        <v>0.6</v>
      </c>
      <c r="F2567" s="1">
        <v>10.875</v>
      </c>
      <c r="G2567" s="1"/>
      <c r="H2567" s="126">
        <f t="shared" si="40"/>
        <v>0.63820086880942895</v>
      </c>
      <c r="I2567" s="89">
        <v>303.65999999999997</v>
      </c>
      <c r="J2567" s="1">
        <v>80.059375000000003</v>
      </c>
    </row>
    <row r="2568" spans="1:10" x14ac:dyDescent="0.3">
      <c r="A2568" s="88" t="s">
        <v>484</v>
      </c>
      <c r="B2568" s="24">
        <v>39455</v>
      </c>
      <c r="C2568" s="1">
        <v>2.691917228270261</v>
      </c>
      <c r="D2568" s="1">
        <v>7.2</v>
      </c>
      <c r="E2568" s="1">
        <v>2.9</v>
      </c>
      <c r="F2568" s="1">
        <v>2.37</v>
      </c>
      <c r="G2568" s="1"/>
      <c r="H2568" s="126">
        <f t="shared" si="40"/>
        <v>0.75265154972421666</v>
      </c>
      <c r="I2568" s="89">
        <v>323.90999999999997</v>
      </c>
      <c r="J2568" s="1">
        <v>79.465625000000003</v>
      </c>
    </row>
    <row r="2569" spans="1:10" x14ac:dyDescent="0.3">
      <c r="A2569" s="88" t="s">
        <v>484</v>
      </c>
      <c r="B2569" s="24">
        <v>39456</v>
      </c>
      <c r="C2569" s="1">
        <v>2.0889133690455619</v>
      </c>
      <c r="D2569" s="1">
        <v>6.8</v>
      </c>
      <c r="E2569" s="1">
        <v>1.5</v>
      </c>
      <c r="F2569" s="1">
        <v>0.245</v>
      </c>
      <c r="G2569" s="1"/>
      <c r="H2569" s="126">
        <f t="shared" si="40"/>
        <v>0.68100991033793745</v>
      </c>
      <c r="I2569" s="89">
        <v>204.20999999999992</v>
      </c>
      <c r="J2569" s="1">
        <v>79.347916666666663</v>
      </c>
    </row>
    <row r="2570" spans="1:10" x14ac:dyDescent="0.3">
      <c r="A2570" s="88" t="s">
        <v>484</v>
      </c>
      <c r="B2570" s="24">
        <v>39457</v>
      </c>
      <c r="C2570" s="1">
        <v>2.4471156615402339</v>
      </c>
      <c r="D2570" s="1">
        <v>8.6</v>
      </c>
      <c r="E2570" s="1">
        <v>2.7</v>
      </c>
      <c r="F2570" s="1">
        <v>0</v>
      </c>
      <c r="G2570" s="1"/>
      <c r="H2570" s="126">
        <f t="shared" si="40"/>
        <v>0.74202613073523482</v>
      </c>
      <c r="I2570" s="89">
        <v>297.27</v>
      </c>
      <c r="J2570" s="1">
        <v>74.86770833333334</v>
      </c>
    </row>
    <row r="2571" spans="1:10" x14ac:dyDescent="0.3">
      <c r="A2571" s="88" t="s">
        <v>484</v>
      </c>
      <c r="B2571" s="24">
        <v>39458</v>
      </c>
      <c r="C2571" s="1">
        <v>2.9574189274811356</v>
      </c>
      <c r="D2571" s="1">
        <v>12.3</v>
      </c>
      <c r="E2571" s="1">
        <v>8.3000000000000007</v>
      </c>
      <c r="F2571" s="1">
        <v>0</v>
      </c>
      <c r="G2571" s="1"/>
      <c r="H2571" s="126">
        <f t="shared" si="40"/>
        <v>1.0952445521994474</v>
      </c>
      <c r="I2571" s="89">
        <v>263.70000000000005</v>
      </c>
      <c r="J2571" s="1">
        <v>67.873958333333363</v>
      </c>
    </row>
    <row r="2572" spans="1:10" x14ac:dyDescent="0.3">
      <c r="A2572" s="88" t="s">
        <v>484</v>
      </c>
      <c r="B2572" s="24">
        <v>39459</v>
      </c>
      <c r="C2572" s="1">
        <v>1.8639119290363459</v>
      </c>
      <c r="D2572" s="1">
        <v>11.5</v>
      </c>
      <c r="E2572" s="1">
        <v>4</v>
      </c>
      <c r="F2572" s="1">
        <v>0</v>
      </c>
      <c r="G2572" s="1"/>
      <c r="H2572" s="126">
        <f t="shared" si="40"/>
        <v>0.81352738957079329</v>
      </c>
      <c r="I2572" s="89">
        <v>349.74000000000018</v>
      </c>
      <c r="J2572" s="1">
        <v>64.84375</v>
      </c>
    </row>
    <row r="2573" spans="1:10" x14ac:dyDescent="0.3">
      <c r="A2573" s="88" t="s">
        <v>484</v>
      </c>
      <c r="B2573" s="24">
        <v>39460</v>
      </c>
      <c r="C2573" s="1">
        <v>3.783624215194977</v>
      </c>
      <c r="D2573" s="1">
        <v>6.8</v>
      </c>
      <c r="E2573" s="1">
        <v>0.5</v>
      </c>
      <c r="F2573" s="1">
        <v>0</v>
      </c>
      <c r="G2573" s="1"/>
      <c r="H2573" s="126">
        <f t="shared" si="40"/>
        <v>0.63359438986733596</v>
      </c>
      <c r="I2573" s="89">
        <v>158.49</v>
      </c>
      <c r="J2573" s="1">
        <v>73.597916666666677</v>
      </c>
    </row>
    <row r="2574" spans="1:10" x14ac:dyDescent="0.3">
      <c r="A2574" s="88" t="s">
        <v>484</v>
      </c>
      <c r="B2574" s="24">
        <v>39461</v>
      </c>
      <c r="C2574" s="1">
        <v>1.8954121306376361</v>
      </c>
      <c r="D2574" s="1">
        <v>7.1</v>
      </c>
      <c r="E2574" s="1">
        <v>-1.1000000000000001</v>
      </c>
      <c r="F2574" s="1">
        <v>0</v>
      </c>
      <c r="G2574" s="1"/>
      <c r="H2574" s="126">
        <f t="shared" si="40"/>
        <v>0.56378296039812681</v>
      </c>
      <c r="I2574" s="89">
        <v>220.05</v>
      </c>
      <c r="J2574" s="1">
        <v>72.89895833333334</v>
      </c>
    </row>
    <row r="2575" spans="1:10" x14ac:dyDescent="0.3">
      <c r="A2575" s="88" t="s">
        <v>484</v>
      </c>
      <c r="B2575" s="24">
        <v>39462</v>
      </c>
      <c r="C2575" s="1">
        <v>1.7658113011923278</v>
      </c>
      <c r="D2575" s="1">
        <v>10.1</v>
      </c>
      <c r="E2575" s="1">
        <v>6</v>
      </c>
      <c r="F2575" s="1">
        <v>1.4999999999999999E-2</v>
      </c>
      <c r="G2575" s="1"/>
      <c r="H2575" s="126">
        <f t="shared" si="40"/>
        <v>0.93541559507788385</v>
      </c>
      <c r="I2575" s="89">
        <v>301.68000000000006</v>
      </c>
      <c r="J2575" s="1">
        <v>65.488541666666663</v>
      </c>
    </row>
    <row r="2576" spans="1:10" x14ac:dyDescent="0.3">
      <c r="A2576" s="88" t="s">
        <v>484</v>
      </c>
      <c r="B2576" s="24">
        <v>39463</v>
      </c>
      <c r="C2576" s="1">
        <v>0.86490553539542647</v>
      </c>
      <c r="D2576" s="1">
        <v>10.4</v>
      </c>
      <c r="E2576" s="1">
        <v>3.7</v>
      </c>
      <c r="F2576" s="1">
        <v>0.25</v>
      </c>
      <c r="G2576" s="1"/>
      <c r="H2576" s="126">
        <f t="shared" si="40"/>
        <v>0.79650868879481573</v>
      </c>
      <c r="I2576" s="89">
        <v>244.80000000000013</v>
      </c>
      <c r="J2576" s="1">
        <v>71.362499999999997</v>
      </c>
    </row>
    <row r="2577" spans="1:10" x14ac:dyDescent="0.3">
      <c r="A2577" s="88" t="s">
        <v>484</v>
      </c>
      <c r="B2577" s="24">
        <v>39464</v>
      </c>
      <c r="C2577" s="1">
        <v>2.6496169575485284</v>
      </c>
      <c r="D2577" s="1">
        <v>8.8000000000000007</v>
      </c>
      <c r="E2577" s="1">
        <v>3.5</v>
      </c>
      <c r="F2577" s="1">
        <v>2.63</v>
      </c>
      <c r="G2577" s="1"/>
      <c r="H2577" s="126">
        <f t="shared" si="40"/>
        <v>0.78533815916549388</v>
      </c>
      <c r="I2577" s="89">
        <v>175.76999999999998</v>
      </c>
      <c r="J2577" s="1">
        <v>78.018749999999997</v>
      </c>
    </row>
    <row r="2578" spans="1:10" x14ac:dyDescent="0.3">
      <c r="A2578" s="88" t="s">
        <v>484</v>
      </c>
      <c r="B2578" s="24">
        <v>39465</v>
      </c>
      <c r="C2578" s="1">
        <v>2.1159135418466679</v>
      </c>
      <c r="D2578" s="1">
        <v>9.8000000000000007</v>
      </c>
      <c r="E2578" s="1">
        <v>5.3</v>
      </c>
      <c r="F2578" s="1">
        <v>7</v>
      </c>
      <c r="G2578" s="1"/>
      <c r="H2578" s="126">
        <f t="shared" si="40"/>
        <v>0.89103953465215091</v>
      </c>
      <c r="I2578" s="89">
        <v>327.78000000000003</v>
      </c>
      <c r="J2578" s="1">
        <v>82.441666666666677</v>
      </c>
    </row>
    <row r="2579" spans="1:10" x14ac:dyDescent="0.3">
      <c r="A2579" s="88" t="s">
        <v>484</v>
      </c>
      <c r="B2579" s="24">
        <v>39466</v>
      </c>
      <c r="C2579" s="1">
        <v>0.49140314498012788</v>
      </c>
      <c r="D2579" s="1">
        <v>12.6</v>
      </c>
      <c r="E2579" s="1">
        <v>8.1999999999999993</v>
      </c>
      <c r="F2579" s="1">
        <v>12.14</v>
      </c>
      <c r="G2579" s="1"/>
      <c r="H2579" s="126">
        <f t="shared" si="40"/>
        <v>1.0878255375495476</v>
      </c>
      <c r="I2579" s="89">
        <v>424.25999999999988</v>
      </c>
      <c r="J2579" s="1">
        <v>92.212500000000006</v>
      </c>
    </row>
    <row r="2580" spans="1:10" x14ac:dyDescent="0.3">
      <c r="A2580" s="88" t="s">
        <v>484</v>
      </c>
      <c r="B2580" s="24">
        <v>39467</v>
      </c>
      <c r="C2580" s="1">
        <v>0.43830280513795289</v>
      </c>
      <c r="D2580" s="1">
        <v>11.8</v>
      </c>
      <c r="E2580" s="1">
        <v>7.9</v>
      </c>
      <c r="F2580" s="1">
        <v>19.074999999999999</v>
      </c>
      <c r="G2580" s="1"/>
      <c r="H2580" s="126">
        <f t="shared" si="40"/>
        <v>1.0658332114824252</v>
      </c>
      <c r="I2580" s="89">
        <v>377.73</v>
      </c>
      <c r="J2580" s="1">
        <v>94.283333333333317</v>
      </c>
    </row>
    <row r="2581" spans="1:10" x14ac:dyDescent="0.3">
      <c r="A2581" s="88" t="s">
        <v>484</v>
      </c>
      <c r="B2581" s="24">
        <v>39468</v>
      </c>
      <c r="C2581" s="1">
        <v>0.19440124416796267</v>
      </c>
      <c r="D2581" s="1">
        <v>10.7</v>
      </c>
      <c r="E2581" s="1">
        <v>7.2</v>
      </c>
      <c r="F2581" s="1">
        <v>6.7549999999999999</v>
      </c>
      <c r="G2581" s="1"/>
      <c r="H2581" s="126">
        <f t="shared" si="40"/>
        <v>1.0160332727272676</v>
      </c>
      <c r="I2581" s="89">
        <v>556.01999999999987</v>
      </c>
      <c r="J2581" s="1">
        <v>90.035416666666706</v>
      </c>
    </row>
    <row r="2582" spans="1:10" x14ac:dyDescent="0.3">
      <c r="A2582" s="88" t="s">
        <v>484</v>
      </c>
      <c r="B2582" s="24">
        <v>39469</v>
      </c>
      <c r="C2582" s="1">
        <v>4.007725649444156</v>
      </c>
      <c r="D2582" s="1">
        <v>8.8000000000000007</v>
      </c>
      <c r="E2582" s="1">
        <v>2.4</v>
      </c>
      <c r="F2582" s="1">
        <v>2.7949999999999999</v>
      </c>
      <c r="G2582" s="1"/>
      <c r="H2582" s="126">
        <f t="shared" si="40"/>
        <v>0.7263362808555901</v>
      </c>
      <c r="I2582" s="89">
        <v>461.79</v>
      </c>
      <c r="J2582" s="1">
        <v>79.666666666666657</v>
      </c>
    </row>
    <row r="2583" spans="1:10" x14ac:dyDescent="0.3">
      <c r="A2583" s="88" t="s">
        <v>484</v>
      </c>
      <c r="B2583" s="24">
        <v>39470</v>
      </c>
      <c r="C2583" s="1">
        <v>2.7594176602730256</v>
      </c>
      <c r="D2583" s="1">
        <v>6.1</v>
      </c>
      <c r="E2583" s="1">
        <v>0.3</v>
      </c>
      <c r="F2583" s="1">
        <v>0</v>
      </c>
      <c r="G2583" s="1"/>
      <c r="H2583" s="126">
        <f t="shared" si="40"/>
        <v>0.62446951587741306</v>
      </c>
      <c r="I2583" s="89">
        <v>282.06000000000006</v>
      </c>
      <c r="J2583" s="1">
        <v>78.181250000000006</v>
      </c>
    </row>
    <row r="2584" spans="1:10" x14ac:dyDescent="0.3">
      <c r="A2584" s="88" t="s">
        <v>484</v>
      </c>
      <c r="B2584" s="24">
        <v>39471</v>
      </c>
      <c r="C2584" s="1">
        <v>0.49500316802027539</v>
      </c>
      <c r="D2584" s="1">
        <v>8.1</v>
      </c>
      <c r="E2584" s="1">
        <v>5.2</v>
      </c>
      <c r="F2584" s="1">
        <v>3.5449999999999999</v>
      </c>
      <c r="G2584" s="1"/>
      <c r="H2584" s="126">
        <f t="shared" si="40"/>
        <v>0.88485406434684233</v>
      </c>
      <c r="I2584" s="89">
        <v>310.95000000000005</v>
      </c>
      <c r="J2584" s="1">
        <v>80.417708333333337</v>
      </c>
    </row>
    <row r="2585" spans="1:10" x14ac:dyDescent="0.3">
      <c r="A2585" s="88" t="s">
        <v>484</v>
      </c>
      <c r="B2585" s="24">
        <v>39472</v>
      </c>
      <c r="C2585" s="1">
        <v>4.6188295605091874</v>
      </c>
      <c r="D2585" s="1">
        <v>7.9</v>
      </c>
      <c r="E2585" s="1">
        <v>2.1</v>
      </c>
      <c r="F2585" s="1">
        <v>0</v>
      </c>
      <c r="G2585" s="1"/>
      <c r="H2585" s="126">
        <f t="shared" si="40"/>
        <v>0.7109401060616396</v>
      </c>
      <c r="I2585" s="89">
        <v>504.80999999999983</v>
      </c>
      <c r="J2585" s="1">
        <v>69.198958333333323</v>
      </c>
    </row>
    <row r="2586" spans="1:10" x14ac:dyDescent="0.3">
      <c r="A2586" s="88" t="s">
        <v>484</v>
      </c>
      <c r="B2586" s="24">
        <v>39473</v>
      </c>
      <c r="C2586" s="1">
        <v>3.2805209953343701</v>
      </c>
      <c r="D2586" s="1">
        <v>9.6</v>
      </c>
      <c r="E2586" s="1">
        <v>6.9</v>
      </c>
      <c r="F2586" s="1">
        <v>0.17</v>
      </c>
      <c r="G2586" s="1"/>
      <c r="H2586" s="126">
        <f t="shared" si="40"/>
        <v>0.99532561227749294</v>
      </c>
      <c r="I2586" s="89">
        <v>671.13000000000011</v>
      </c>
      <c r="J2586" s="1">
        <v>75.230208333333337</v>
      </c>
    </row>
    <row r="2587" spans="1:10" x14ac:dyDescent="0.3">
      <c r="A2587" s="88" t="s">
        <v>484</v>
      </c>
      <c r="B2587" s="24">
        <v>39474</v>
      </c>
      <c r="C2587" s="1">
        <v>0.49050313922009098</v>
      </c>
      <c r="D2587" s="1">
        <v>8.1</v>
      </c>
      <c r="E2587" s="1">
        <v>6.4</v>
      </c>
      <c r="F2587" s="1">
        <v>12.925000000000001</v>
      </c>
      <c r="G2587" s="1"/>
      <c r="H2587" s="126">
        <f t="shared" si="40"/>
        <v>0.96163811340513428</v>
      </c>
      <c r="I2587" s="89">
        <v>577.79999999999995</v>
      </c>
      <c r="J2587" s="1">
        <v>95.278125000000003</v>
      </c>
    </row>
    <row r="2588" spans="1:10" x14ac:dyDescent="0.3">
      <c r="A2588" s="88" t="s">
        <v>484</v>
      </c>
      <c r="B2588" s="24">
        <v>39475</v>
      </c>
      <c r="C2588" s="1">
        <v>0.91620586371752777</v>
      </c>
      <c r="D2588" s="1">
        <v>8</v>
      </c>
      <c r="E2588" s="1">
        <v>6.7</v>
      </c>
      <c r="F2588" s="1">
        <v>0.16</v>
      </c>
      <c r="G2588" s="1"/>
      <c r="H2588" s="126">
        <f t="shared" si="40"/>
        <v>0.98172789008858663</v>
      </c>
      <c r="I2588" s="89">
        <v>256.85999999999996</v>
      </c>
      <c r="J2588" s="1">
        <v>92.686458333333306</v>
      </c>
    </row>
    <row r="2589" spans="1:10" x14ac:dyDescent="0.3">
      <c r="A2589" s="88" t="s">
        <v>484</v>
      </c>
      <c r="B2589" s="24">
        <v>39476</v>
      </c>
      <c r="C2589" s="1">
        <v>1.3005083232532688</v>
      </c>
      <c r="D2589" s="1">
        <v>7.1</v>
      </c>
      <c r="E2589" s="1">
        <v>4.9000000000000004</v>
      </c>
      <c r="F2589" s="1">
        <v>0</v>
      </c>
      <c r="G2589" s="1"/>
      <c r="H2589" s="126">
        <f t="shared" si="40"/>
        <v>0.86652418747176108</v>
      </c>
      <c r="I2589" s="89">
        <v>147.69</v>
      </c>
      <c r="J2589" s="1">
        <v>74.192708333333357</v>
      </c>
    </row>
    <row r="2590" spans="1:10" x14ac:dyDescent="0.3">
      <c r="A2590" s="88" t="s">
        <v>484</v>
      </c>
      <c r="B2590" s="24">
        <v>39477</v>
      </c>
      <c r="C2590" s="1">
        <v>0.7389047289902656</v>
      </c>
      <c r="D2590" s="1">
        <v>5</v>
      </c>
      <c r="E2590" s="1">
        <v>2.2000000000000002</v>
      </c>
      <c r="F2590" s="1">
        <v>2.1549999999999998</v>
      </c>
      <c r="G2590" s="1"/>
      <c r="H2590" s="126">
        <f t="shared" si="40"/>
        <v>0.71603982725344328</v>
      </c>
      <c r="I2590" s="89">
        <v>256.04999999999995</v>
      </c>
      <c r="J2590" s="1">
        <v>83.066666666666649</v>
      </c>
    </row>
    <row r="2591" spans="1:10" x14ac:dyDescent="0.3">
      <c r="A2591" s="88" t="s">
        <v>484</v>
      </c>
      <c r="B2591" s="24">
        <v>39478</v>
      </c>
      <c r="C2591" s="1">
        <v>2.0043128276020967</v>
      </c>
      <c r="D2591" s="1">
        <v>3.8</v>
      </c>
      <c r="E2591" s="1">
        <v>1</v>
      </c>
      <c r="F2591" s="1">
        <v>0</v>
      </c>
      <c r="G2591" s="1"/>
      <c r="H2591" s="126">
        <f t="shared" si="40"/>
        <v>0.65692419645928013</v>
      </c>
      <c r="I2591" s="89">
        <v>366.84000000000003</v>
      </c>
      <c r="J2591" s="1">
        <v>73.9375</v>
      </c>
    </row>
    <row r="2592" spans="1:10" x14ac:dyDescent="0.3">
      <c r="A2592" s="88" t="s">
        <v>484</v>
      </c>
      <c r="B2592" s="24">
        <v>39479</v>
      </c>
      <c r="C2592" s="1">
        <v>2.9358187892402512</v>
      </c>
      <c r="D2592" s="1">
        <v>6.9</v>
      </c>
      <c r="E2592" s="1">
        <v>3.3</v>
      </c>
      <c r="F2592" s="1">
        <v>0.76</v>
      </c>
      <c r="G2592" s="1"/>
      <c r="H2592" s="126">
        <f t="shared" si="40"/>
        <v>0.77430610767805441</v>
      </c>
      <c r="I2592" s="89">
        <v>490.9500000000001</v>
      </c>
      <c r="J2592" s="1">
        <v>71.586458333333383</v>
      </c>
    </row>
    <row r="2593" spans="1:10" x14ac:dyDescent="0.3">
      <c r="A2593" s="88" t="s">
        <v>484</v>
      </c>
      <c r="B2593" s="24">
        <v>39480</v>
      </c>
      <c r="C2593" s="1">
        <v>5.0526323368469557</v>
      </c>
      <c r="D2593" s="1">
        <v>6.2</v>
      </c>
      <c r="E2593" s="1">
        <v>0.3</v>
      </c>
      <c r="F2593" s="1">
        <v>1.2749999999999999</v>
      </c>
      <c r="G2593" s="1"/>
      <c r="H2593" s="126">
        <f t="shared" si="40"/>
        <v>0.62446951587741306</v>
      </c>
      <c r="I2593" s="89">
        <v>392.31000000000006</v>
      </c>
      <c r="J2593" s="1">
        <v>76.467708333333348</v>
      </c>
    </row>
    <row r="2594" spans="1:10" x14ac:dyDescent="0.3">
      <c r="A2594" s="88" t="s">
        <v>484</v>
      </c>
      <c r="B2594" s="24">
        <v>39481</v>
      </c>
      <c r="C2594" s="1">
        <v>5.4531349000633611</v>
      </c>
      <c r="D2594" s="1">
        <v>4.8</v>
      </c>
      <c r="E2594" s="1">
        <v>0.4</v>
      </c>
      <c r="F2594" s="1">
        <v>5.0000000000000001E-3</v>
      </c>
      <c r="G2594" s="1"/>
      <c r="H2594" s="126">
        <f t="shared" si="40"/>
        <v>0.62901732612537431</v>
      </c>
      <c r="I2594" s="89">
        <v>221.39999999999998</v>
      </c>
      <c r="J2594" s="1">
        <v>66.2083333333333</v>
      </c>
    </row>
    <row r="2595" spans="1:10" x14ac:dyDescent="0.3">
      <c r="A2595" s="88" t="s">
        <v>484</v>
      </c>
      <c r="B2595" s="24">
        <v>39482</v>
      </c>
      <c r="C2595" s="1">
        <v>2.3787152237774323</v>
      </c>
      <c r="D2595" s="1">
        <v>7.8</v>
      </c>
      <c r="E2595" s="1">
        <v>0.1</v>
      </c>
      <c r="F2595" s="1">
        <v>2.5000000000000001E-2</v>
      </c>
      <c r="G2595" s="1"/>
      <c r="H2595" s="126">
        <f t="shared" si="40"/>
        <v>0.61546101269605991</v>
      </c>
      <c r="I2595" s="89">
        <v>195.83999999999997</v>
      </c>
      <c r="J2595" s="1">
        <v>67.93020833333334</v>
      </c>
    </row>
    <row r="2596" spans="1:10" x14ac:dyDescent="0.3">
      <c r="A2596" s="88" t="s">
        <v>484</v>
      </c>
      <c r="B2596" s="24">
        <v>39483</v>
      </c>
      <c r="C2596" s="1">
        <v>1.1673074707678128</v>
      </c>
      <c r="D2596" s="1">
        <v>7.6</v>
      </c>
      <c r="E2596" s="1">
        <v>2.5</v>
      </c>
      <c r="F2596" s="1">
        <v>5.5E-2</v>
      </c>
      <c r="G2596" s="1"/>
      <c r="H2596" s="126">
        <f t="shared" si="40"/>
        <v>0.73153336467415264</v>
      </c>
      <c r="I2596" s="89">
        <v>275.22000000000008</v>
      </c>
      <c r="J2596" s="1">
        <v>75.441666666666663</v>
      </c>
    </row>
    <row r="2597" spans="1:10" x14ac:dyDescent="0.3">
      <c r="A2597" s="88" t="s">
        <v>484</v>
      </c>
      <c r="B2597" s="24">
        <v>39484</v>
      </c>
      <c r="C2597" s="1">
        <v>1.8891120903173779</v>
      </c>
      <c r="D2597" s="1">
        <v>9.5</v>
      </c>
      <c r="E2597" s="1">
        <v>4.5</v>
      </c>
      <c r="F2597" s="1">
        <v>10.029999999999999</v>
      </c>
      <c r="G2597" s="1"/>
      <c r="H2597" s="126">
        <f t="shared" si="40"/>
        <v>0.84260555674484927</v>
      </c>
      <c r="I2597" s="89">
        <v>396.36</v>
      </c>
      <c r="J2597" s="1">
        <v>86.836458333333326</v>
      </c>
    </row>
    <row r="2598" spans="1:10" x14ac:dyDescent="0.3">
      <c r="A2598" s="88" t="s">
        <v>484</v>
      </c>
      <c r="B2598" s="24">
        <v>39485</v>
      </c>
      <c r="C2598" s="1">
        <v>5.9409380220033414</v>
      </c>
      <c r="D2598" s="1">
        <v>7.2</v>
      </c>
      <c r="E2598" s="1">
        <v>3.3</v>
      </c>
      <c r="F2598" s="1">
        <v>0</v>
      </c>
      <c r="G2598" s="1"/>
      <c r="H2598" s="126">
        <f t="shared" si="40"/>
        <v>0.77430610767805441</v>
      </c>
      <c r="I2598" s="89">
        <v>342.18000000000006</v>
      </c>
      <c r="J2598" s="1">
        <v>79.191666666666691</v>
      </c>
    </row>
    <row r="2599" spans="1:10" x14ac:dyDescent="0.3">
      <c r="A2599" s="88" t="s">
        <v>484</v>
      </c>
      <c r="B2599" s="24">
        <v>39486</v>
      </c>
      <c r="C2599" s="1">
        <v>6.5340418178676343</v>
      </c>
      <c r="D2599" s="1">
        <v>11.1</v>
      </c>
      <c r="E2599" s="1">
        <v>3.3</v>
      </c>
      <c r="F2599" s="1">
        <v>0</v>
      </c>
      <c r="G2599" s="1"/>
      <c r="H2599" s="126">
        <f t="shared" si="40"/>
        <v>0.77430610767805441</v>
      </c>
      <c r="I2599" s="89">
        <v>149.67000000000002</v>
      </c>
      <c r="J2599" s="1">
        <v>65.585416666666688</v>
      </c>
    </row>
    <row r="2600" spans="1:10" x14ac:dyDescent="0.3">
      <c r="A2600" s="88" t="s">
        <v>484</v>
      </c>
      <c r="B2600" s="24">
        <v>39487</v>
      </c>
      <c r="C2600" s="1">
        <v>7.1730459074938073</v>
      </c>
      <c r="D2600" s="1">
        <v>11.1</v>
      </c>
      <c r="E2600" s="1">
        <v>0.9</v>
      </c>
      <c r="F2600" s="1">
        <v>2.5000000000000001E-2</v>
      </c>
      <c r="G2600" s="1"/>
      <c r="H2600" s="126">
        <f t="shared" si="40"/>
        <v>0.65219842492921176</v>
      </c>
      <c r="I2600" s="89">
        <v>71.910000000000011</v>
      </c>
      <c r="J2600" s="1">
        <v>76.946875000000006</v>
      </c>
    </row>
    <row r="2601" spans="1:10" x14ac:dyDescent="0.3">
      <c r="A2601" s="88" t="s">
        <v>484</v>
      </c>
      <c r="B2601" s="24">
        <v>39488</v>
      </c>
      <c r="C2601" s="1">
        <v>6.9399444156442609</v>
      </c>
      <c r="D2601" s="1">
        <v>12.1</v>
      </c>
      <c r="E2601" s="1">
        <v>1.4</v>
      </c>
      <c r="F2601" s="1">
        <v>0</v>
      </c>
      <c r="G2601" s="1"/>
      <c r="H2601" s="126">
        <f t="shared" si="40"/>
        <v>0.67613129580825593</v>
      </c>
      <c r="I2601" s="89">
        <v>82.08</v>
      </c>
      <c r="J2601" s="1">
        <v>80.159374999999997</v>
      </c>
    </row>
    <row r="2602" spans="1:10" x14ac:dyDescent="0.3">
      <c r="A2602" s="88" t="s">
        <v>484</v>
      </c>
      <c r="B2602" s="24">
        <v>39489</v>
      </c>
      <c r="C2602" s="1">
        <v>7.4511476873451983</v>
      </c>
      <c r="D2602" s="1">
        <v>11.6</v>
      </c>
      <c r="E2602" s="1">
        <v>0.1</v>
      </c>
      <c r="F2602" s="1">
        <v>0</v>
      </c>
      <c r="G2602" s="1"/>
      <c r="H2602" s="126">
        <f t="shared" si="40"/>
        <v>0.61546101269605991</v>
      </c>
      <c r="I2602" s="89">
        <v>75.87</v>
      </c>
      <c r="J2602" s="1">
        <v>82</v>
      </c>
    </row>
    <row r="2603" spans="1:10" x14ac:dyDescent="0.3">
      <c r="A2603" s="88" t="s">
        <v>484</v>
      </c>
      <c r="B2603" s="24">
        <v>39490</v>
      </c>
      <c r="C2603" s="1">
        <v>1.1745075168481078</v>
      </c>
      <c r="D2603" s="1">
        <v>5.5</v>
      </c>
      <c r="E2603" s="1">
        <v>1.7</v>
      </c>
      <c r="F2603" s="1">
        <v>9.5000000000000001E-2</v>
      </c>
      <c r="G2603" s="1"/>
      <c r="H2603" s="126">
        <f t="shared" si="40"/>
        <v>0.69086052853268343</v>
      </c>
      <c r="I2603" s="89">
        <v>132.12</v>
      </c>
      <c r="J2603" s="1">
        <v>91.746875000000003</v>
      </c>
    </row>
    <row r="2604" spans="1:10" x14ac:dyDescent="0.3">
      <c r="A2604" s="88" t="s">
        <v>484</v>
      </c>
      <c r="B2604" s="24">
        <v>39491</v>
      </c>
      <c r="C2604" s="1">
        <v>5.6763363285525035</v>
      </c>
      <c r="D2604" s="1">
        <v>5.3</v>
      </c>
      <c r="E2604" s="1">
        <v>0.3</v>
      </c>
      <c r="F2604" s="1">
        <v>0</v>
      </c>
      <c r="G2604" s="1"/>
      <c r="H2604" s="126">
        <f t="shared" si="40"/>
        <v>0.62446951587741306</v>
      </c>
      <c r="I2604" s="89">
        <v>106.10999999999999</v>
      </c>
      <c r="J2604" s="1">
        <v>75.506249999999994</v>
      </c>
    </row>
    <row r="2605" spans="1:10" x14ac:dyDescent="0.3">
      <c r="A2605" s="88" t="s">
        <v>484</v>
      </c>
      <c r="B2605" s="24">
        <v>39492</v>
      </c>
      <c r="C2605" s="1">
        <v>0.7470047808305974</v>
      </c>
      <c r="D2605" s="1">
        <v>2.7</v>
      </c>
      <c r="E2605" s="1">
        <v>1.1000000000000001</v>
      </c>
      <c r="F2605" s="1">
        <v>0</v>
      </c>
      <c r="G2605" s="1"/>
      <c r="H2605" s="126">
        <f t="shared" si="40"/>
        <v>0.66168020278676021</v>
      </c>
      <c r="I2605" s="89">
        <v>91.170000000000016</v>
      </c>
      <c r="J2605" s="1">
        <v>91.102083333333326</v>
      </c>
    </row>
    <row r="2606" spans="1:10" x14ac:dyDescent="0.3">
      <c r="A2606" s="88" t="s">
        <v>484</v>
      </c>
      <c r="B2606" s="24">
        <v>39493</v>
      </c>
      <c r="C2606" s="1">
        <v>9.6201615690340425</v>
      </c>
      <c r="D2606" s="1">
        <v>4</v>
      </c>
      <c r="E2606" s="1">
        <v>0</v>
      </c>
      <c r="F2606" s="1">
        <v>0</v>
      </c>
      <c r="G2606" s="1"/>
      <c r="H2606" s="126">
        <f t="shared" si="40"/>
        <v>0.61099999999999999</v>
      </c>
      <c r="I2606" s="89">
        <v>188.73000000000002</v>
      </c>
      <c r="J2606" s="1">
        <v>78.13333333333334</v>
      </c>
    </row>
    <row r="2607" spans="1:10" x14ac:dyDescent="0.3">
      <c r="A2607" s="88" t="s">
        <v>484</v>
      </c>
      <c r="B2607" s="24">
        <v>39494</v>
      </c>
      <c r="C2607" s="1">
        <v>9.7650624963999775</v>
      </c>
      <c r="D2607" s="1">
        <v>6.2</v>
      </c>
      <c r="E2607" s="1">
        <v>0</v>
      </c>
      <c r="F2607" s="1">
        <v>0</v>
      </c>
      <c r="G2607" s="1"/>
      <c r="H2607" s="126">
        <f t="shared" si="40"/>
        <v>0.61099999999999999</v>
      </c>
      <c r="I2607" s="89">
        <v>75.149999999999977</v>
      </c>
      <c r="J2607" s="1">
        <v>90.405208333333334</v>
      </c>
    </row>
    <row r="2608" spans="1:10" x14ac:dyDescent="0.3">
      <c r="A2608" s="88" t="s">
        <v>484</v>
      </c>
      <c r="B2608" s="24">
        <v>39495</v>
      </c>
      <c r="C2608" s="1">
        <v>8.0235513507286438</v>
      </c>
      <c r="D2608" s="1">
        <v>5.0999999999999996</v>
      </c>
      <c r="E2608" s="1">
        <v>0.1</v>
      </c>
      <c r="F2608" s="1">
        <v>0</v>
      </c>
      <c r="G2608" s="1"/>
      <c r="H2608" s="126">
        <f t="shared" si="40"/>
        <v>0.61546101269605991</v>
      </c>
      <c r="I2608" s="89">
        <v>272.79000000000008</v>
      </c>
      <c r="J2608" s="1">
        <v>71.652083333333351</v>
      </c>
    </row>
    <row r="2609" spans="1:10" x14ac:dyDescent="0.3">
      <c r="A2609" s="88" t="s">
        <v>484</v>
      </c>
      <c r="B2609" s="24">
        <v>39496</v>
      </c>
      <c r="C2609" s="1">
        <v>0.80550515523299349</v>
      </c>
      <c r="D2609" s="1">
        <v>3.9</v>
      </c>
      <c r="E2609" s="1">
        <v>0.8</v>
      </c>
      <c r="F2609" s="1">
        <v>0</v>
      </c>
      <c r="G2609" s="1"/>
      <c r="H2609" s="126">
        <f t="shared" si="40"/>
        <v>0.64750272279315535</v>
      </c>
      <c r="I2609" s="89">
        <v>415.71000000000004</v>
      </c>
      <c r="J2609" s="1">
        <v>88.866666666666674</v>
      </c>
    </row>
    <row r="2610" spans="1:10" x14ac:dyDescent="0.3">
      <c r="A2610" s="88" t="s">
        <v>484</v>
      </c>
      <c r="B2610" s="24">
        <v>39497</v>
      </c>
      <c r="C2610" s="1">
        <v>3.4047217902194573</v>
      </c>
      <c r="D2610" s="1">
        <v>6.2</v>
      </c>
      <c r="E2610" s="1">
        <v>0.4</v>
      </c>
      <c r="F2610" s="1">
        <v>0</v>
      </c>
      <c r="G2610" s="1"/>
      <c r="H2610" s="126">
        <f t="shared" si="40"/>
        <v>0.62901732612537431</v>
      </c>
      <c r="I2610" s="89">
        <v>211.41</v>
      </c>
      <c r="J2610" s="1">
        <v>85.503124999999997</v>
      </c>
    </row>
    <row r="2611" spans="1:10" x14ac:dyDescent="0.3">
      <c r="A2611" s="88" t="s">
        <v>484</v>
      </c>
      <c r="B2611" s="24">
        <v>39498</v>
      </c>
      <c r="C2611" s="1">
        <v>4.2939274811358787</v>
      </c>
      <c r="D2611" s="1">
        <v>6.7</v>
      </c>
      <c r="E2611" s="1">
        <v>0.1</v>
      </c>
      <c r="F2611" s="1">
        <v>0</v>
      </c>
      <c r="G2611" s="1"/>
      <c r="H2611" s="126">
        <f t="shared" si="40"/>
        <v>0.61546101269605991</v>
      </c>
      <c r="I2611" s="89">
        <v>138.95999999999992</v>
      </c>
      <c r="J2611" s="1">
        <v>81.130208333333357</v>
      </c>
    </row>
    <row r="2612" spans="1:10" x14ac:dyDescent="0.3">
      <c r="A2612" s="88" t="s">
        <v>484</v>
      </c>
      <c r="B2612" s="24">
        <v>39499</v>
      </c>
      <c r="C2612" s="1">
        <v>4.420828293301077</v>
      </c>
      <c r="D2612" s="1">
        <v>9.1</v>
      </c>
      <c r="E2612" s="1">
        <v>2.1</v>
      </c>
      <c r="F2612" s="1">
        <v>0</v>
      </c>
      <c r="G2612" s="1"/>
      <c r="H2612" s="126">
        <f t="shared" si="40"/>
        <v>0.7109401060616396</v>
      </c>
      <c r="I2612" s="89">
        <v>304.10999999999996</v>
      </c>
      <c r="J2612" s="1">
        <v>80.115624999999994</v>
      </c>
    </row>
    <row r="2613" spans="1:10" x14ac:dyDescent="0.3">
      <c r="A2613" s="88" t="s">
        <v>484</v>
      </c>
      <c r="B2613" s="24">
        <v>39500</v>
      </c>
      <c r="C2613" s="1">
        <v>0.7236046310696389</v>
      </c>
      <c r="D2613" s="1">
        <v>10.4</v>
      </c>
      <c r="E2613" s="1">
        <v>8.9</v>
      </c>
      <c r="F2613" s="1">
        <v>0.36</v>
      </c>
      <c r="G2613" s="1"/>
      <c r="H2613" s="126">
        <f t="shared" si="40"/>
        <v>1.1407010860938473</v>
      </c>
      <c r="I2613" s="89">
        <v>628.29</v>
      </c>
      <c r="J2613" s="1">
        <v>80.77395833333334</v>
      </c>
    </row>
    <row r="2614" spans="1:10" x14ac:dyDescent="0.3">
      <c r="A2614" s="88" t="s">
        <v>484</v>
      </c>
      <c r="B2614" s="24">
        <v>39501</v>
      </c>
      <c r="C2614" s="1">
        <v>7.3593470998214388</v>
      </c>
      <c r="D2614" s="1">
        <v>10.5</v>
      </c>
      <c r="E2614" s="1">
        <v>5.8</v>
      </c>
      <c r="F2614" s="1">
        <v>0.7</v>
      </c>
      <c r="G2614" s="1"/>
      <c r="H2614" s="126">
        <f t="shared" si="40"/>
        <v>0.92254223518646628</v>
      </c>
      <c r="I2614" s="89">
        <v>459.89999999999986</v>
      </c>
      <c r="J2614" s="1">
        <v>66.754166666666663</v>
      </c>
    </row>
    <row r="2615" spans="1:10" x14ac:dyDescent="0.3">
      <c r="A2615" s="88" t="s">
        <v>484</v>
      </c>
      <c r="B2615" s="24">
        <v>39502</v>
      </c>
      <c r="C2615" s="1">
        <v>2.651416969068602</v>
      </c>
      <c r="D2615" s="1">
        <v>9.5</v>
      </c>
      <c r="E2615" s="1">
        <v>7</v>
      </c>
      <c r="F2615" s="1">
        <v>0</v>
      </c>
      <c r="G2615" s="1"/>
      <c r="H2615" s="126">
        <f t="shared" si="40"/>
        <v>1.0021864739217894</v>
      </c>
      <c r="I2615" s="89">
        <v>265.50000000000011</v>
      </c>
      <c r="J2615" s="1">
        <v>76.366666666666703</v>
      </c>
    </row>
    <row r="2616" spans="1:10" x14ac:dyDescent="0.3">
      <c r="A2616" s="88" t="s">
        <v>484</v>
      </c>
      <c r="B2616" s="24">
        <v>39503</v>
      </c>
      <c r="C2616" s="1">
        <v>8.8236564714014172</v>
      </c>
      <c r="D2616" s="1">
        <v>9.6</v>
      </c>
      <c r="E2616" s="1">
        <v>3.8</v>
      </c>
      <c r="F2616" s="1">
        <v>2.2749999999999999</v>
      </c>
      <c r="G2616" s="1"/>
      <c r="H2616" s="126">
        <f t="shared" si="40"/>
        <v>0.80214634758046521</v>
      </c>
      <c r="I2616" s="89">
        <v>276.48</v>
      </c>
      <c r="J2616" s="1">
        <v>73.801041666666706</v>
      </c>
    </row>
    <row r="2617" spans="1:10" x14ac:dyDescent="0.3">
      <c r="A2617" s="88" t="s">
        <v>484</v>
      </c>
      <c r="B2617" s="24">
        <v>39504</v>
      </c>
      <c r="C2617" s="1">
        <v>2.3976153447382065</v>
      </c>
      <c r="D2617" s="1">
        <v>13.1</v>
      </c>
      <c r="E2617" s="1">
        <v>2.9</v>
      </c>
      <c r="F2617" s="1">
        <v>1.675</v>
      </c>
      <c r="G2617" s="1"/>
      <c r="H2617" s="126">
        <f t="shared" si="40"/>
        <v>0.75265154972421666</v>
      </c>
      <c r="I2617" s="89">
        <v>350.6400000000001</v>
      </c>
      <c r="J2617" s="1">
        <v>76.696875000000006</v>
      </c>
    </row>
    <row r="2618" spans="1:10" x14ac:dyDescent="0.3">
      <c r="A2618" s="88" t="s">
        <v>484</v>
      </c>
      <c r="B2618" s="24">
        <v>39505</v>
      </c>
      <c r="C2618" s="1">
        <v>5.4153346581418127</v>
      </c>
      <c r="D2618" s="1">
        <v>9.5</v>
      </c>
      <c r="E2618" s="1">
        <v>4.2</v>
      </c>
      <c r="F2618" s="1">
        <v>0</v>
      </c>
      <c r="G2618" s="1"/>
      <c r="H2618" s="126">
        <f t="shared" si="40"/>
        <v>0.82505065566727931</v>
      </c>
      <c r="I2618" s="89">
        <v>536.39999999999964</v>
      </c>
      <c r="J2618" s="1">
        <v>67.446875000000006</v>
      </c>
    </row>
    <row r="2619" spans="1:10" x14ac:dyDescent="0.3">
      <c r="A2619" s="88" t="s">
        <v>484</v>
      </c>
      <c r="B2619" s="24">
        <v>39506</v>
      </c>
      <c r="C2619" s="1">
        <v>6.3324405276193776</v>
      </c>
      <c r="D2619" s="1">
        <v>9.3000000000000007</v>
      </c>
      <c r="E2619" s="1">
        <v>3.4</v>
      </c>
      <c r="F2619" s="1">
        <v>0</v>
      </c>
      <c r="G2619" s="1"/>
      <c r="H2619" s="126">
        <f t="shared" si="40"/>
        <v>0.77980491618110859</v>
      </c>
      <c r="I2619" s="89">
        <v>247.41000000000008</v>
      </c>
      <c r="J2619" s="1">
        <v>71.170833333333363</v>
      </c>
    </row>
    <row r="2620" spans="1:10" x14ac:dyDescent="0.3">
      <c r="A2620" s="88" t="s">
        <v>484</v>
      </c>
      <c r="B2620" s="24">
        <v>39507</v>
      </c>
      <c r="C2620" s="1">
        <v>5.5728356661482632</v>
      </c>
      <c r="D2620" s="1">
        <v>9.8000000000000007</v>
      </c>
      <c r="E2620" s="1">
        <v>3.3</v>
      </c>
      <c r="F2620" s="1">
        <v>3.57</v>
      </c>
      <c r="G2620" s="1"/>
      <c r="H2620" s="126">
        <f t="shared" si="40"/>
        <v>0.77430610767805441</v>
      </c>
      <c r="I2620" s="89">
        <v>215.91000000000003</v>
      </c>
      <c r="J2620" s="1">
        <v>74.789583333333326</v>
      </c>
    </row>
    <row r="2621" spans="1:10" x14ac:dyDescent="0.3">
      <c r="A2621" s="88" t="s">
        <v>484</v>
      </c>
      <c r="B2621" s="24">
        <v>39508</v>
      </c>
      <c r="C2621" s="1">
        <v>2.7009172858706298</v>
      </c>
      <c r="D2621" s="1">
        <v>9.1</v>
      </c>
      <c r="E2621" s="1">
        <v>2.1</v>
      </c>
      <c r="F2621" s="1">
        <v>12.815</v>
      </c>
      <c r="G2621" s="1"/>
      <c r="H2621" s="126">
        <f t="shared" si="40"/>
        <v>0.7109401060616396</v>
      </c>
      <c r="I2621" s="89">
        <v>776.16000000000031</v>
      </c>
      <c r="J2621" s="1">
        <v>83.407291666666694</v>
      </c>
    </row>
    <row r="2622" spans="1:10" x14ac:dyDescent="0.3">
      <c r="A2622" s="88" t="s">
        <v>484</v>
      </c>
      <c r="B2622" s="24">
        <v>39509</v>
      </c>
      <c r="C2622" s="1">
        <v>5.0922325902885781</v>
      </c>
      <c r="D2622" s="1">
        <v>10</v>
      </c>
      <c r="E2622" s="1">
        <v>3.9</v>
      </c>
      <c r="F2622" s="1">
        <v>4.16</v>
      </c>
      <c r="G2622" s="1"/>
      <c r="H2622" s="126">
        <f t="shared" si="40"/>
        <v>0.80781918513419737</v>
      </c>
      <c r="I2622" s="89">
        <v>700.74000000000035</v>
      </c>
      <c r="J2622" s="1">
        <v>75.793750000000003</v>
      </c>
    </row>
    <row r="2623" spans="1:10" x14ac:dyDescent="0.3">
      <c r="A2623" s="88" t="s">
        <v>484</v>
      </c>
      <c r="B2623" s="24">
        <v>39510</v>
      </c>
      <c r="C2623" s="1">
        <v>6.3486406313000412</v>
      </c>
      <c r="D2623" s="1">
        <v>8.6999999999999993</v>
      </c>
      <c r="E2623" s="1">
        <v>1.1000000000000001</v>
      </c>
      <c r="F2623" s="1">
        <v>0.57499999999999996</v>
      </c>
      <c r="G2623" s="1"/>
      <c r="H2623" s="126">
        <f t="shared" si="40"/>
        <v>0.66168020278676021</v>
      </c>
      <c r="I2623" s="89">
        <v>459.44999999999982</v>
      </c>
      <c r="J2623" s="1">
        <v>72.411458333333329</v>
      </c>
    </row>
    <row r="2624" spans="1:10" x14ac:dyDescent="0.3">
      <c r="A2624" s="88" t="s">
        <v>484</v>
      </c>
      <c r="B2624" s="24">
        <v>39511</v>
      </c>
      <c r="C2624" s="1">
        <v>8.381753643223318</v>
      </c>
      <c r="D2624" s="1">
        <v>6.7</v>
      </c>
      <c r="E2624" s="1">
        <v>0.1</v>
      </c>
      <c r="F2624" s="1">
        <v>0</v>
      </c>
      <c r="G2624" s="1"/>
      <c r="H2624" s="126">
        <f t="shared" si="40"/>
        <v>0.61546101269605991</v>
      </c>
      <c r="I2624" s="89">
        <v>429.93000000000018</v>
      </c>
      <c r="J2624" s="1">
        <v>70.205208333333331</v>
      </c>
    </row>
    <row r="2625" spans="1:10" x14ac:dyDescent="0.3">
      <c r="A2625" s="88" t="s">
        <v>484</v>
      </c>
      <c r="B2625" s="24">
        <v>39512</v>
      </c>
      <c r="C2625" s="1">
        <v>12.923182708369334</v>
      </c>
      <c r="D2625" s="1">
        <v>4.8</v>
      </c>
      <c r="E2625" s="1">
        <v>0.1</v>
      </c>
      <c r="F2625" s="1">
        <v>0</v>
      </c>
      <c r="G2625" s="1"/>
      <c r="H2625" s="126">
        <f t="shared" si="40"/>
        <v>0.61546101269605991</v>
      </c>
      <c r="I2625" s="89">
        <v>324.4500000000001</v>
      </c>
      <c r="J2625" s="1">
        <v>63.315624999999997</v>
      </c>
    </row>
    <row r="2626" spans="1:10" x14ac:dyDescent="0.3">
      <c r="A2626" s="88" t="s">
        <v>484</v>
      </c>
      <c r="B2626" s="24">
        <v>39513</v>
      </c>
      <c r="C2626" s="1">
        <v>2.5011160071424459</v>
      </c>
      <c r="D2626" s="1">
        <v>6.2</v>
      </c>
      <c r="E2626" s="1">
        <v>0.8</v>
      </c>
      <c r="F2626" s="1">
        <v>0.42</v>
      </c>
      <c r="G2626" s="1"/>
      <c r="H2626" s="126">
        <f t="shared" si="40"/>
        <v>0.64750272279315535</v>
      </c>
      <c r="I2626" s="89">
        <v>407.43</v>
      </c>
      <c r="J2626" s="1">
        <v>73.8489583333333</v>
      </c>
    </row>
    <row r="2627" spans="1:10" x14ac:dyDescent="0.3">
      <c r="A2627" s="88" t="s">
        <v>484</v>
      </c>
      <c r="B2627" s="24">
        <v>39514</v>
      </c>
      <c r="C2627" s="1">
        <v>2.7639176890732098</v>
      </c>
      <c r="D2627" s="1">
        <v>8.6</v>
      </c>
      <c r="E2627" s="1">
        <v>5.8</v>
      </c>
      <c r="F2627" s="1">
        <v>1.45</v>
      </c>
      <c r="G2627" s="1"/>
      <c r="H2627" s="126">
        <f t="shared" si="40"/>
        <v>0.92254223518646628</v>
      </c>
      <c r="I2627" s="89">
        <v>190.70999999999992</v>
      </c>
      <c r="J2627" s="1">
        <v>87.746875000000003</v>
      </c>
    </row>
    <row r="2628" spans="1:10" x14ac:dyDescent="0.3">
      <c r="A2628" s="88" t="s">
        <v>484</v>
      </c>
      <c r="B2628" s="24">
        <v>39515</v>
      </c>
      <c r="C2628" s="1">
        <v>9.7992627152813778</v>
      </c>
      <c r="D2628" s="1">
        <v>10.6</v>
      </c>
      <c r="E2628" s="1">
        <v>5.4</v>
      </c>
      <c r="F2628" s="1">
        <v>0.12</v>
      </c>
      <c r="G2628" s="1"/>
      <c r="H2628" s="126">
        <f t="shared" ref="H2628:H2691" si="41">0.611*EXP((17.27*E2628)/(E2628+237.3))</f>
        <v>0.8972630930441321</v>
      </c>
      <c r="I2628" s="89">
        <v>155.79000000000002</v>
      </c>
      <c r="J2628" s="1">
        <v>74.701041666666669</v>
      </c>
    </row>
    <row r="2629" spans="1:10" x14ac:dyDescent="0.3">
      <c r="A2629" s="88" t="s">
        <v>484</v>
      </c>
      <c r="B2629" s="24">
        <v>39516</v>
      </c>
      <c r="C2629" s="1">
        <v>6.781543401877772</v>
      </c>
      <c r="D2629" s="1">
        <v>12</v>
      </c>
      <c r="E2629" s="1">
        <v>4.8</v>
      </c>
      <c r="F2629" s="1">
        <v>0</v>
      </c>
      <c r="G2629" s="1"/>
      <c r="H2629" s="126">
        <f t="shared" si="41"/>
        <v>0.86048907931200158</v>
      </c>
      <c r="I2629" s="89">
        <v>247.68</v>
      </c>
      <c r="J2629" s="1">
        <v>62.44166666666667</v>
      </c>
    </row>
    <row r="2630" spans="1:10" x14ac:dyDescent="0.3">
      <c r="A2630" s="88" t="s">
        <v>484</v>
      </c>
      <c r="B2630" s="24">
        <v>39517</v>
      </c>
      <c r="C2630" s="1">
        <v>10.206965324578078</v>
      </c>
      <c r="D2630" s="1">
        <v>13.4</v>
      </c>
      <c r="E2630" s="1">
        <v>6</v>
      </c>
      <c r="F2630" s="1">
        <v>4.4999999999999998E-2</v>
      </c>
      <c r="G2630" s="1"/>
      <c r="H2630" s="126">
        <f t="shared" si="41"/>
        <v>0.93541559507788385</v>
      </c>
      <c r="I2630" s="89">
        <v>250.46999999999994</v>
      </c>
      <c r="J2630" s="1">
        <v>57.521875000000001</v>
      </c>
    </row>
    <row r="2631" spans="1:10" x14ac:dyDescent="0.3">
      <c r="A2631" s="88" t="s">
        <v>484</v>
      </c>
      <c r="B2631" s="24">
        <v>39518</v>
      </c>
      <c r="C2631" s="1">
        <v>7.088445366050343</v>
      </c>
      <c r="D2631" s="1">
        <v>11</v>
      </c>
      <c r="E2631" s="1">
        <v>6.4</v>
      </c>
      <c r="F2631" s="1">
        <v>1.615</v>
      </c>
      <c r="G2631" s="1"/>
      <c r="H2631" s="126">
        <f t="shared" si="41"/>
        <v>0.96163811340513428</v>
      </c>
      <c r="I2631" s="89">
        <v>343.53000000000009</v>
      </c>
      <c r="J2631" s="1">
        <v>63.59375</v>
      </c>
    </row>
    <row r="2632" spans="1:10" x14ac:dyDescent="0.3">
      <c r="A2632" s="88" t="s">
        <v>484</v>
      </c>
      <c r="B2632" s="24">
        <v>39519</v>
      </c>
      <c r="C2632" s="1">
        <v>7.3386469673405914</v>
      </c>
      <c r="D2632" s="1">
        <v>9.9</v>
      </c>
      <c r="E2632" s="1">
        <v>1.1000000000000001</v>
      </c>
      <c r="F2632" s="1">
        <v>7.31</v>
      </c>
      <c r="G2632" s="1"/>
      <c r="H2632" s="126">
        <f t="shared" si="41"/>
        <v>0.66168020278676021</v>
      </c>
      <c r="I2632" s="89">
        <v>665.99999999999966</v>
      </c>
      <c r="J2632" s="1">
        <v>74.915625000000006</v>
      </c>
    </row>
    <row r="2633" spans="1:10" x14ac:dyDescent="0.3">
      <c r="A2633" s="88" t="s">
        <v>484</v>
      </c>
      <c r="B2633" s="24">
        <v>39520</v>
      </c>
      <c r="C2633" s="1">
        <v>7.4430476355048674</v>
      </c>
      <c r="D2633" s="1">
        <v>9.6</v>
      </c>
      <c r="E2633" s="1">
        <v>2.4</v>
      </c>
      <c r="F2633" s="1">
        <v>2.0750000000000002</v>
      </c>
      <c r="G2633" s="1"/>
      <c r="H2633" s="126">
        <f t="shared" si="41"/>
        <v>0.7263362808555901</v>
      </c>
      <c r="I2633" s="89">
        <v>619.73999999999967</v>
      </c>
      <c r="J2633" s="1">
        <v>69.563541666666666</v>
      </c>
    </row>
    <row r="2634" spans="1:10" x14ac:dyDescent="0.3">
      <c r="A2634" s="88" t="s">
        <v>484</v>
      </c>
      <c r="B2634" s="24">
        <v>39521</v>
      </c>
      <c r="C2634" s="1">
        <v>6.4440412418639479</v>
      </c>
      <c r="D2634" s="1">
        <v>10</v>
      </c>
      <c r="E2634" s="1">
        <v>2.4</v>
      </c>
      <c r="F2634" s="1">
        <v>2.0249999999999999</v>
      </c>
      <c r="G2634" s="1"/>
      <c r="H2634" s="126">
        <f t="shared" si="41"/>
        <v>0.7263362808555901</v>
      </c>
      <c r="I2634" s="89">
        <v>314.63999999999993</v>
      </c>
      <c r="J2634" s="1">
        <v>75.316666666666663</v>
      </c>
    </row>
    <row r="2635" spans="1:10" x14ac:dyDescent="0.3">
      <c r="A2635" s="88" t="s">
        <v>484</v>
      </c>
      <c r="B2635" s="24">
        <v>39522</v>
      </c>
      <c r="C2635" s="1">
        <v>11.989876735211107</v>
      </c>
      <c r="D2635" s="1">
        <v>12.3</v>
      </c>
      <c r="E2635" s="1">
        <v>0.8</v>
      </c>
      <c r="F2635" s="1">
        <v>0</v>
      </c>
      <c r="G2635" s="1"/>
      <c r="H2635" s="126">
        <f t="shared" si="41"/>
        <v>0.64750272279315535</v>
      </c>
      <c r="I2635" s="89">
        <v>156.51</v>
      </c>
      <c r="J2635" s="1">
        <v>67.84270833333332</v>
      </c>
    </row>
    <row r="2636" spans="1:10" x14ac:dyDescent="0.3">
      <c r="A2636" s="88" t="s">
        <v>484</v>
      </c>
      <c r="B2636" s="24">
        <v>39523</v>
      </c>
      <c r="C2636" s="1">
        <v>2.2518144116122345</v>
      </c>
      <c r="D2636" s="1">
        <v>6.5</v>
      </c>
      <c r="E2636" s="1">
        <v>3.5</v>
      </c>
      <c r="F2636" s="1">
        <v>11.975</v>
      </c>
      <c r="G2636" s="1"/>
      <c r="H2636" s="126">
        <f t="shared" si="41"/>
        <v>0.78533815916549388</v>
      </c>
      <c r="I2636" s="89">
        <v>181.89000000000007</v>
      </c>
      <c r="J2636" s="1">
        <v>90.364583333333329</v>
      </c>
    </row>
    <row r="2637" spans="1:10" x14ac:dyDescent="0.3">
      <c r="A2637" s="88" t="s">
        <v>484</v>
      </c>
      <c r="B2637" s="24">
        <v>39524</v>
      </c>
      <c r="C2637" s="1">
        <v>9.4509604861471121</v>
      </c>
      <c r="D2637" s="1">
        <v>6.3</v>
      </c>
      <c r="E2637" s="1">
        <v>0.5</v>
      </c>
      <c r="F2637" s="1">
        <v>0.39</v>
      </c>
      <c r="G2637" s="1"/>
      <c r="H2637" s="126">
        <f t="shared" si="41"/>
        <v>0.63359438986733596</v>
      </c>
      <c r="I2637" s="89">
        <v>489.5999999999998</v>
      </c>
      <c r="J2637" s="1">
        <v>74.732291666666683</v>
      </c>
    </row>
    <row r="2638" spans="1:10" x14ac:dyDescent="0.3">
      <c r="A2638" s="88" t="s">
        <v>484</v>
      </c>
      <c r="B2638" s="24">
        <v>39525</v>
      </c>
      <c r="C2638" s="1">
        <v>7.0065448418869885</v>
      </c>
      <c r="D2638" s="1">
        <v>5.4</v>
      </c>
      <c r="E2638" s="1">
        <v>0</v>
      </c>
      <c r="F2638" s="1">
        <v>3.0950000000000002</v>
      </c>
      <c r="G2638" s="1"/>
      <c r="H2638" s="126">
        <f t="shared" si="41"/>
        <v>0.61099999999999999</v>
      </c>
      <c r="I2638" s="89">
        <v>410.93999999999994</v>
      </c>
      <c r="J2638" s="1">
        <v>79.091666666666669</v>
      </c>
    </row>
    <row r="2639" spans="1:10" x14ac:dyDescent="0.3">
      <c r="A2639" s="88" t="s">
        <v>484</v>
      </c>
      <c r="B2639" s="24">
        <v>39526</v>
      </c>
      <c r="C2639" s="1">
        <v>11.292372271182535</v>
      </c>
      <c r="D2639" s="1">
        <v>6.9</v>
      </c>
      <c r="E2639" s="1">
        <v>0.7</v>
      </c>
      <c r="F2639" s="1">
        <v>1.375</v>
      </c>
      <c r="G2639" s="1"/>
      <c r="H2639" s="126">
        <f t="shared" si="41"/>
        <v>0.64283692539220627</v>
      </c>
      <c r="I2639" s="89">
        <v>351</v>
      </c>
      <c r="J2639" s="1">
        <v>76.373958333333348</v>
      </c>
    </row>
    <row r="2640" spans="1:10" x14ac:dyDescent="0.3">
      <c r="A2640" s="88" t="s">
        <v>484</v>
      </c>
      <c r="B2640" s="24">
        <v>39527</v>
      </c>
      <c r="C2640" s="1">
        <v>6.9444444444444446</v>
      </c>
      <c r="D2640" s="1">
        <v>5.8</v>
      </c>
      <c r="E2640" s="1">
        <v>0</v>
      </c>
      <c r="F2640" s="1">
        <v>0.52</v>
      </c>
      <c r="G2640" s="1"/>
      <c r="H2640" s="126">
        <f t="shared" si="41"/>
        <v>0.61099999999999999</v>
      </c>
      <c r="I2640" s="89">
        <v>351.45000000000016</v>
      </c>
      <c r="J2640" s="1">
        <v>82.566666666666677</v>
      </c>
    </row>
    <row r="2641" spans="1:10" x14ac:dyDescent="0.3">
      <c r="A2641" s="88" t="s">
        <v>484</v>
      </c>
      <c r="B2641" s="24">
        <v>39528</v>
      </c>
      <c r="C2641" s="1">
        <v>6.619542365071136</v>
      </c>
      <c r="D2641" s="1">
        <v>6.4</v>
      </c>
      <c r="E2641" s="1">
        <v>1.3</v>
      </c>
      <c r="F2641" s="1">
        <v>10.1</v>
      </c>
      <c r="G2641" s="1"/>
      <c r="H2641" s="126">
        <f t="shared" si="41"/>
        <v>0.67128358518521281</v>
      </c>
      <c r="I2641" s="89">
        <v>349.56000000000006</v>
      </c>
      <c r="J2641" s="1">
        <v>88.1822916666667</v>
      </c>
    </row>
    <row r="2642" spans="1:10" x14ac:dyDescent="0.3">
      <c r="A2642" s="88" t="s">
        <v>484</v>
      </c>
      <c r="B2642" s="24">
        <v>39529</v>
      </c>
      <c r="C2642" s="1">
        <v>2.718917401071367</v>
      </c>
      <c r="D2642" s="1">
        <v>3.7</v>
      </c>
      <c r="E2642" s="1">
        <v>0</v>
      </c>
      <c r="F2642" s="1">
        <v>6.779999999999994</v>
      </c>
      <c r="G2642" s="1"/>
      <c r="H2642" s="126">
        <f t="shared" si="41"/>
        <v>0.61099999999999999</v>
      </c>
      <c r="I2642" s="89">
        <v>401.03999999999974</v>
      </c>
      <c r="J2642" s="1">
        <v>94.978125000000006</v>
      </c>
    </row>
    <row r="2643" spans="1:10" x14ac:dyDescent="0.3">
      <c r="A2643" s="88" t="s">
        <v>484</v>
      </c>
      <c r="B2643" s="24">
        <v>39530</v>
      </c>
      <c r="C2643" s="1">
        <v>13.740387938482806</v>
      </c>
      <c r="D2643" s="1">
        <v>3.7</v>
      </c>
      <c r="E2643" s="1">
        <v>0.1</v>
      </c>
      <c r="F2643" s="1">
        <v>6.5000000000000002E-2</v>
      </c>
      <c r="G2643" s="1"/>
      <c r="H2643" s="126">
        <f t="shared" si="41"/>
        <v>0.61546101269605991</v>
      </c>
      <c r="I2643" s="89">
        <v>194.76</v>
      </c>
      <c r="J2643" s="1">
        <v>82.745833333333323</v>
      </c>
    </row>
    <row r="2644" spans="1:10" x14ac:dyDescent="0.3">
      <c r="A2644" s="88" t="s">
        <v>484</v>
      </c>
      <c r="B2644" s="24">
        <v>39531</v>
      </c>
      <c r="C2644" s="1">
        <v>10.543567478831864</v>
      </c>
      <c r="D2644" s="1">
        <v>4.5999999999999996</v>
      </c>
      <c r="E2644" s="1">
        <v>0</v>
      </c>
      <c r="F2644" s="1">
        <v>0.15</v>
      </c>
      <c r="G2644" s="1"/>
      <c r="H2644" s="126">
        <f t="shared" si="41"/>
        <v>0.61099999999999999</v>
      </c>
      <c r="I2644" s="89">
        <v>210.60000000000002</v>
      </c>
      <c r="J2644" s="1">
        <v>82.084374999999994</v>
      </c>
    </row>
    <row r="2645" spans="1:10" x14ac:dyDescent="0.3">
      <c r="A2645" s="88" t="s">
        <v>484</v>
      </c>
      <c r="B2645" s="24">
        <v>39532</v>
      </c>
      <c r="C2645" s="1">
        <v>8.5626548009907264</v>
      </c>
      <c r="D2645" s="1">
        <v>4.4000000000000004</v>
      </c>
      <c r="E2645" s="1">
        <v>0</v>
      </c>
      <c r="F2645" s="1">
        <v>0.38</v>
      </c>
      <c r="G2645" s="1"/>
      <c r="H2645" s="126">
        <f t="shared" si="41"/>
        <v>0.61099999999999999</v>
      </c>
      <c r="I2645" s="89">
        <v>423.27</v>
      </c>
      <c r="J2645" s="1">
        <v>80.86041666666668</v>
      </c>
    </row>
    <row r="2646" spans="1:10" x14ac:dyDescent="0.3">
      <c r="A2646" s="88" t="s">
        <v>484</v>
      </c>
      <c r="B2646" s="24">
        <v>39533</v>
      </c>
      <c r="C2646" s="1">
        <v>7.5051480329474103</v>
      </c>
      <c r="D2646" s="1">
        <v>5.5</v>
      </c>
      <c r="E2646" s="1">
        <v>0</v>
      </c>
      <c r="F2646" s="1">
        <v>2.6</v>
      </c>
      <c r="G2646" s="1"/>
      <c r="H2646" s="126">
        <f t="shared" si="41"/>
        <v>0.61099999999999999</v>
      </c>
      <c r="I2646" s="89">
        <v>343.44</v>
      </c>
      <c r="J2646" s="1">
        <v>84.707291666666663</v>
      </c>
    </row>
    <row r="2647" spans="1:10" x14ac:dyDescent="0.3">
      <c r="A2647" s="88" t="s">
        <v>484</v>
      </c>
      <c r="B2647" s="24">
        <v>39534</v>
      </c>
      <c r="C2647" s="1">
        <v>12.325578883704855</v>
      </c>
      <c r="D2647" s="1">
        <v>7.7</v>
      </c>
      <c r="E2647" s="1">
        <v>0.1</v>
      </c>
      <c r="F2647" s="1">
        <v>0</v>
      </c>
      <c r="G2647" s="1"/>
      <c r="H2647" s="126">
        <f t="shared" si="41"/>
        <v>0.61546101269605991</v>
      </c>
      <c r="I2647" s="89">
        <v>189.63000000000008</v>
      </c>
      <c r="J2647" s="1">
        <v>74.95416666666668</v>
      </c>
    </row>
    <row r="2648" spans="1:10" x14ac:dyDescent="0.3">
      <c r="A2648" s="88" t="s">
        <v>484</v>
      </c>
      <c r="B2648" s="24">
        <v>39535</v>
      </c>
      <c r="C2648" s="1">
        <v>10.841469385404068</v>
      </c>
      <c r="D2648" s="1">
        <v>10.7</v>
      </c>
      <c r="E2648" s="1">
        <v>0</v>
      </c>
      <c r="F2648" s="1">
        <v>0.105</v>
      </c>
      <c r="G2648" s="1"/>
      <c r="H2648" s="126">
        <f t="shared" si="41"/>
        <v>0.61099999999999999</v>
      </c>
      <c r="I2648" s="89">
        <v>197.82</v>
      </c>
      <c r="J2648" s="1">
        <v>66.851041666666646</v>
      </c>
    </row>
    <row r="2649" spans="1:10" x14ac:dyDescent="0.3">
      <c r="A2649" s="88" t="s">
        <v>484</v>
      </c>
      <c r="B2649" s="24">
        <v>39536</v>
      </c>
      <c r="C2649" s="1">
        <v>11.40942038871154</v>
      </c>
      <c r="D2649" s="1">
        <v>11.9</v>
      </c>
      <c r="E2649" s="1">
        <v>5.5</v>
      </c>
      <c r="F2649" s="1">
        <v>1.1299999999999999</v>
      </c>
      <c r="G2649" s="1"/>
      <c r="H2649" s="126">
        <f t="shared" si="41"/>
        <v>0.90352494025987484</v>
      </c>
      <c r="I2649" s="89">
        <v>410.71831578947365</v>
      </c>
      <c r="J2649" s="1">
        <v>62.613684210526287</v>
      </c>
    </row>
    <row r="2650" spans="1:10" x14ac:dyDescent="0.3">
      <c r="A2650" s="88" t="s">
        <v>484</v>
      </c>
      <c r="B2650" s="24">
        <v>39537</v>
      </c>
      <c r="C2650" s="1">
        <v>16.138003283221014</v>
      </c>
      <c r="D2650" s="1">
        <v>19.8</v>
      </c>
      <c r="E2650" s="1">
        <v>4.5999999999999996</v>
      </c>
      <c r="F2650" s="1">
        <v>5.0000000000000001E-3</v>
      </c>
      <c r="G2650" s="1"/>
      <c r="H2650" s="126">
        <f t="shared" si="41"/>
        <v>0.84852995914135099</v>
      </c>
      <c r="I2650" s="89">
        <v>272.25</v>
      </c>
      <c r="J2650" s="1">
        <v>43.648958333333347</v>
      </c>
    </row>
    <row r="2651" spans="1:10" x14ac:dyDescent="0.3">
      <c r="A2651" s="88" t="s">
        <v>484</v>
      </c>
      <c r="B2651" s="24">
        <v>39538</v>
      </c>
      <c r="C2651" s="1">
        <v>9.6237615920741906</v>
      </c>
      <c r="D2651" s="1">
        <v>14.1</v>
      </c>
      <c r="E2651" s="1">
        <v>6.6</v>
      </c>
      <c r="F2651" s="1">
        <v>0</v>
      </c>
      <c r="G2651" s="1"/>
      <c r="H2651" s="126">
        <f t="shared" si="41"/>
        <v>0.97499060249070812</v>
      </c>
      <c r="I2651" s="89">
        <v>178.82999999999998</v>
      </c>
      <c r="J2651" s="1">
        <v>66.91354166666666</v>
      </c>
    </row>
    <row r="2652" spans="1:10" x14ac:dyDescent="0.3">
      <c r="A2652" s="88" t="s">
        <v>484</v>
      </c>
      <c r="B2652" s="24">
        <v>39539</v>
      </c>
      <c r="C2652" s="1">
        <v>15.342398191348424</v>
      </c>
      <c r="D2652" s="1">
        <v>16.600000000000001</v>
      </c>
      <c r="E2652" s="1">
        <v>3.1</v>
      </c>
      <c r="F2652" s="1">
        <v>0.85</v>
      </c>
      <c r="G2652" s="1"/>
      <c r="H2652" s="126">
        <f t="shared" si="41"/>
        <v>0.76341105875491733</v>
      </c>
      <c r="I2652" s="89">
        <v>215.90999999999997</v>
      </c>
      <c r="J2652" s="1">
        <v>73.177083333333329</v>
      </c>
    </row>
    <row r="2653" spans="1:10" x14ac:dyDescent="0.3">
      <c r="A2653" s="88" t="s">
        <v>484</v>
      </c>
      <c r="B2653" s="24">
        <v>39540</v>
      </c>
      <c r="C2653" s="1">
        <v>5.3055339554173147</v>
      </c>
      <c r="D2653" s="1">
        <v>10.1</v>
      </c>
      <c r="E2653" s="1">
        <v>6.1</v>
      </c>
      <c r="F2653" s="1">
        <v>4.24</v>
      </c>
      <c r="G2653" s="1"/>
      <c r="H2653" s="126">
        <f t="shared" si="41"/>
        <v>0.94191143925241705</v>
      </c>
      <c r="I2653" s="89">
        <v>389.07</v>
      </c>
      <c r="J2653" s="1">
        <v>80.914583333333312</v>
      </c>
    </row>
    <row r="2654" spans="1:10" x14ac:dyDescent="0.3">
      <c r="A2654" s="88" t="s">
        <v>484</v>
      </c>
      <c r="B2654" s="24">
        <v>39541</v>
      </c>
      <c r="C2654" s="1">
        <v>8.0334514140890505</v>
      </c>
      <c r="D2654" s="1">
        <v>9.9</v>
      </c>
      <c r="E2654" s="1">
        <v>5.3</v>
      </c>
      <c r="F2654" s="1">
        <v>2.0150000000000001</v>
      </c>
      <c r="G2654" s="1"/>
      <c r="H2654" s="126">
        <f t="shared" si="41"/>
        <v>0.89103953465215091</v>
      </c>
      <c r="I2654" s="89">
        <v>389.1600000000002</v>
      </c>
      <c r="J2654" s="1">
        <v>86.461458333333383</v>
      </c>
    </row>
    <row r="2655" spans="1:10" x14ac:dyDescent="0.3">
      <c r="A2655" s="88" t="s">
        <v>484</v>
      </c>
      <c r="B2655" s="24">
        <v>39542</v>
      </c>
      <c r="C2655" s="1">
        <v>7.0542451471689418</v>
      </c>
      <c r="D2655" s="1">
        <v>9.6</v>
      </c>
      <c r="E2655" s="1">
        <v>5</v>
      </c>
      <c r="F2655" s="1">
        <v>7.4999999999999997E-2</v>
      </c>
      <c r="G2655" s="1"/>
      <c r="H2655" s="126">
        <f t="shared" si="41"/>
        <v>0.87259658934786222</v>
      </c>
      <c r="I2655" s="89">
        <v>219.69</v>
      </c>
      <c r="J2655" s="1">
        <v>82.756249999999994</v>
      </c>
    </row>
    <row r="2656" spans="1:10" x14ac:dyDescent="0.3">
      <c r="A2656" s="88" t="s">
        <v>484</v>
      </c>
      <c r="B2656" s="24">
        <v>39543</v>
      </c>
      <c r="C2656" s="1">
        <v>2.7162173837912564</v>
      </c>
      <c r="D2656" s="1">
        <v>7.8</v>
      </c>
      <c r="E2656" s="1">
        <v>3.3</v>
      </c>
      <c r="F2656" s="1">
        <v>14.62</v>
      </c>
      <c r="G2656" s="1"/>
      <c r="H2656" s="126">
        <f t="shared" si="41"/>
        <v>0.77430610767805441</v>
      </c>
      <c r="I2656" s="89">
        <v>207.89999999999998</v>
      </c>
      <c r="J2656" s="1">
        <v>90.783333333333317</v>
      </c>
    </row>
    <row r="2657" spans="1:10" x14ac:dyDescent="0.3">
      <c r="A2657" s="88" t="s">
        <v>484</v>
      </c>
      <c r="B2657" s="24">
        <v>39544</v>
      </c>
      <c r="C2657" s="1">
        <v>12.614480732676689</v>
      </c>
      <c r="D2657" s="1">
        <v>8.1999999999999993</v>
      </c>
      <c r="E2657" s="1">
        <v>2.2999999999999998</v>
      </c>
      <c r="F2657" s="1">
        <v>3.5000000000000003E-2</v>
      </c>
      <c r="G2657" s="1"/>
      <c r="H2657" s="126">
        <f t="shared" si="41"/>
        <v>0.72117182708011951</v>
      </c>
      <c r="I2657" s="89">
        <v>221.39999999999998</v>
      </c>
      <c r="J2657" s="1">
        <v>78.713541666666686</v>
      </c>
    </row>
    <row r="2658" spans="1:10" x14ac:dyDescent="0.3">
      <c r="A2658" s="88" t="s">
        <v>484</v>
      </c>
      <c r="B2658" s="24">
        <v>39545</v>
      </c>
      <c r="C2658" s="1">
        <v>5.6295360290305858</v>
      </c>
      <c r="D2658" s="1">
        <v>6.6</v>
      </c>
      <c r="E2658" s="1">
        <v>0.2</v>
      </c>
      <c r="F2658" s="1">
        <v>12.205</v>
      </c>
      <c r="G2658" s="1"/>
      <c r="H2658" s="126">
        <f t="shared" si="41"/>
        <v>0.61995079814923992</v>
      </c>
      <c r="I2658" s="89">
        <v>181.17</v>
      </c>
      <c r="J2658" s="1">
        <v>91.962500000000006</v>
      </c>
    </row>
    <row r="2659" spans="1:10" x14ac:dyDescent="0.3">
      <c r="A2659" s="88" t="s">
        <v>484</v>
      </c>
      <c r="B2659" s="24">
        <v>39546</v>
      </c>
      <c r="C2659" s="1">
        <v>13.524386556073958</v>
      </c>
      <c r="D2659" s="1">
        <v>8.9</v>
      </c>
      <c r="E2659" s="1">
        <v>1.1000000000000001</v>
      </c>
      <c r="F2659" s="1">
        <v>2.125</v>
      </c>
      <c r="G2659" s="1"/>
      <c r="H2659" s="126">
        <f t="shared" si="41"/>
        <v>0.66168020278676021</v>
      </c>
      <c r="I2659" s="89">
        <v>150.03000000000003</v>
      </c>
      <c r="J2659" s="1">
        <v>72.061458333333363</v>
      </c>
    </row>
    <row r="2660" spans="1:10" x14ac:dyDescent="0.3">
      <c r="A2660" s="88" t="s">
        <v>484</v>
      </c>
      <c r="B2660" s="24">
        <v>39547</v>
      </c>
      <c r="C2660" s="1">
        <v>7.5393482518288124</v>
      </c>
      <c r="D2660" s="1">
        <v>7.1</v>
      </c>
      <c r="E2660" s="1">
        <v>2.5</v>
      </c>
      <c r="F2660" s="1">
        <v>1.07</v>
      </c>
      <c r="G2660" s="1"/>
      <c r="H2660" s="126">
        <f t="shared" si="41"/>
        <v>0.73153336467415264</v>
      </c>
      <c r="I2660" s="89">
        <v>205.74</v>
      </c>
      <c r="J2660" s="1">
        <v>78.334374999999994</v>
      </c>
    </row>
    <row r="2661" spans="1:10" x14ac:dyDescent="0.3">
      <c r="A2661" s="88" t="s">
        <v>484</v>
      </c>
      <c r="B2661" s="24">
        <v>39548</v>
      </c>
      <c r="C2661" s="1">
        <v>2.6469169402684178</v>
      </c>
      <c r="D2661" s="1">
        <v>5</v>
      </c>
      <c r="E2661" s="1">
        <v>3.3</v>
      </c>
      <c r="F2661" s="1">
        <v>1.44</v>
      </c>
      <c r="G2661" s="1"/>
      <c r="H2661" s="126">
        <f t="shared" si="41"/>
        <v>0.77430610767805441</v>
      </c>
      <c r="I2661" s="89">
        <v>236.52</v>
      </c>
      <c r="J2661" s="1">
        <v>92.423958333333346</v>
      </c>
    </row>
    <row r="2662" spans="1:10" x14ac:dyDescent="0.3">
      <c r="A2662" s="88" t="s">
        <v>484</v>
      </c>
      <c r="B2662" s="24">
        <v>39549</v>
      </c>
      <c r="C2662" s="1">
        <v>2.94481884684062</v>
      </c>
      <c r="D2662" s="1">
        <v>7</v>
      </c>
      <c r="E2662" s="1">
        <v>3.3</v>
      </c>
      <c r="F2662" s="1">
        <v>0.83</v>
      </c>
      <c r="G2662" s="1"/>
      <c r="H2662" s="126">
        <f t="shared" si="41"/>
        <v>0.77430610767805441</v>
      </c>
      <c r="I2662" s="89">
        <v>257.31</v>
      </c>
      <c r="J2662" s="1">
        <v>92.947916666666643</v>
      </c>
    </row>
    <row r="2663" spans="1:10" x14ac:dyDescent="0.3">
      <c r="A2663" s="88" t="s">
        <v>484</v>
      </c>
      <c r="B2663" s="24">
        <v>39550</v>
      </c>
      <c r="C2663" s="1">
        <v>18.466318184436378</v>
      </c>
      <c r="D2663" s="1">
        <v>14.4</v>
      </c>
      <c r="E2663" s="1">
        <v>3.8</v>
      </c>
      <c r="F2663" s="1">
        <v>0.19</v>
      </c>
      <c r="G2663" s="1"/>
      <c r="H2663" s="126">
        <f t="shared" si="41"/>
        <v>0.80214634758046521</v>
      </c>
      <c r="I2663" s="89">
        <v>240.03000000000003</v>
      </c>
      <c r="J2663" s="1">
        <v>67.744791666666657</v>
      </c>
    </row>
    <row r="2664" spans="1:10" x14ac:dyDescent="0.3">
      <c r="A2664" s="88" t="s">
        <v>484</v>
      </c>
      <c r="B2664" s="24">
        <v>39551</v>
      </c>
      <c r="C2664" s="1">
        <v>11.171771499337597</v>
      </c>
      <c r="D2664" s="1">
        <v>13.5</v>
      </c>
      <c r="E2664" s="1">
        <v>5.4</v>
      </c>
      <c r="F2664" s="1">
        <v>5.4850000000000003</v>
      </c>
      <c r="G2664" s="1"/>
      <c r="H2664" s="126">
        <f t="shared" si="41"/>
        <v>0.8972630930441321</v>
      </c>
      <c r="I2664" s="89">
        <v>168.48</v>
      </c>
      <c r="J2664" s="1">
        <v>76.794791666666669</v>
      </c>
    </row>
    <row r="2665" spans="1:10" x14ac:dyDescent="0.3">
      <c r="A2665" s="88" t="s">
        <v>484</v>
      </c>
      <c r="B2665" s="24">
        <v>39552</v>
      </c>
      <c r="C2665" s="1">
        <v>4.9887319278843387</v>
      </c>
      <c r="D2665" s="1">
        <v>9.1</v>
      </c>
      <c r="E2665" s="1">
        <v>5.7</v>
      </c>
      <c r="F2665" s="1">
        <v>11.895</v>
      </c>
      <c r="G2665" s="1"/>
      <c r="H2665" s="126">
        <f t="shared" si="41"/>
        <v>0.91616430843021424</v>
      </c>
      <c r="I2665" s="89">
        <v>173.78999999999996</v>
      </c>
      <c r="J2665" s="1">
        <v>92.35208333333334</v>
      </c>
    </row>
    <row r="2666" spans="1:10" x14ac:dyDescent="0.3">
      <c r="A2666" s="88" t="s">
        <v>484</v>
      </c>
      <c r="B2666" s="24">
        <v>39553</v>
      </c>
      <c r="C2666" s="1">
        <v>9.1260584067738026</v>
      </c>
      <c r="D2666" s="1">
        <v>10.199999999999999</v>
      </c>
      <c r="E2666" s="1">
        <v>4.5999999999999996</v>
      </c>
      <c r="F2666" s="1">
        <v>0.89</v>
      </c>
      <c r="G2666" s="1"/>
      <c r="H2666" s="126">
        <f t="shared" si="41"/>
        <v>0.84852995914135099</v>
      </c>
      <c r="I2666" s="89">
        <v>272.43</v>
      </c>
      <c r="J2666" s="1">
        <v>79.563541666666623</v>
      </c>
    </row>
    <row r="2667" spans="1:10" x14ac:dyDescent="0.3">
      <c r="A2667" s="88" t="s">
        <v>484</v>
      </c>
      <c r="B2667" s="24">
        <v>39554</v>
      </c>
      <c r="C2667" s="1">
        <v>16.341404584989345</v>
      </c>
      <c r="D2667" s="1">
        <v>9.1</v>
      </c>
      <c r="E2667" s="1">
        <v>1.8</v>
      </c>
      <c r="F2667" s="1">
        <v>0.89</v>
      </c>
      <c r="G2667" s="1"/>
      <c r="H2667" s="126">
        <f t="shared" si="41"/>
        <v>0.69583287280742301</v>
      </c>
      <c r="I2667" s="89">
        <v>218.33999999999992</v>
      </c>
      <c r="J2667" s="1">
        <v>75.394791666666649</v>
      </c>
    </row>
    <row r="2668" spans="1:10" x14ac:dyDescent="0.3">
      <c r="A2668" s="88" t="s">
        <v>484</v>
      </c>
      <c r="B2668" s="24">
        <v>39555</v>
      </c>
      <c r="C2668" s="1">
        <v>13.496486377512817</v>
      </c>
      <c r="D2668" s="1">
        <v>8.8000000000000007</v>
      </c>
      <c r="E2668" s="1">
        <v>0.1</v>
      </c>
      <c r="F2668" s="1">
        <v>0.06</v>
      </c>
      <c r="G2668" s="1"/>
      <c r="H2668" s="126">
        <f t="shared" si="41"/>
        <v>0.61546101269605991</v>
      </c>
      <c r="I2668" s="89">
        <v>228.33000000000004</v>
      </c>
      <c r="J2668" s="1">
        <v>83.351041666666674</v>
      </c>
    </row>
    <row r="2669" spans="1:10" x14ac:dyDescent="0.3">
      <c r="A2669" s="88" t="s">
        <v>484</v>
      </c>
      <c r="B2669" s="24">
        <v>39556</v>
      </c>
      <c r="C2669" s="1">
        <v>4.4604285467426994</v>
      </c>
      <c r="D2669" s="1">
        <v>7.9</v>
      </c>
      <c r="E2669" s="1">
        <v>4.5999999999999996</v>
      </c>
      <c r="F2669" s="1">
        <v>2.5000000000000001E-2</v>
      </c>
      <c r="G2669" s="1"/>
      <c r="H2669" s="126">
        <f t="shared" si="41"/>
        <v>0.84852995914135099</v>
      </c>
      <c r="I2669" s="89">
        <v>370.53</v>
      </c>
      <c r="J2669" s="1">
        <v>85.385416666666671</v>
      </c>
    </row>
    <row r="2670" spans="1:10" x14ac:dyDescent="0.3">
      <c r="A2670" s="88" t="s">
        <v>484</v>
      </c>
      <c r="B2670" s="24">
        <v>39557</v>
      </c>
      <c r="C2670" s="1">
        <v>9.7128621623178386</v>
      </c>
      <c r="D2670" s="1">
        <v>8.6</v>
      </c>
      <c r="E2670" s="1">
        <v>3.6</v>
      </c>
      <c r="F2670" s="1">
        <v>0</v>
      </c>
      <c r="G2670" s="1"/>
      <c r="H2670" s="126">
        <f t="shared" si="41"/>
        <v>0.79090602148237243</v>
      </c>
      <c r="I2670" s="89">
        <v>476.18999999999994</v>
      </c>
      <c r="J2670" s="1">
        <v>76.173958333333331</v>
      </c>
    </row>
    <row r="2671" spans="1:10" x14ac:dyDescent="0.3">
      <c r="A2671" s="88" t="s">
        <v>484</v>
      </c>
      <c r="B2671" s="24">
        <v>39558</v>
      </c>
      <c r="C2671" s="1">
        <v>19.054921951500489</v>
      </c>
      <c r="D2671" s="1">
        <v>13.1</v>
      </c>
      <c r="E2671" s="1">
        <v>5.2</v>
      </c>
      <c r="F2671" s="1">
        <v>0</v>
      </c>
      <c r="G2671" s="1"/>
      <c r="H2671" s="126">
        <f t="shared" si="41"/>
        <v>0.88485406434684233</v>
      </c>
      <c r="I2671" s="89">
        <v>316.17</v>
      </c>
      <c r="J2671" s="1">
        <v>63.832291666666698</v>
      </c>
    </row>
    <row r="2672" spans="1:10" x14ac:dyDescent="0.3">
      <c r="A2672" s="88" t="s">
        <v>484</v>
      </c>
      <c r="B2672" s="24">
        <v>39559</v>
      </c>
      <c r="C2672" s="1">
        <v>22.040241057542769</v>
      </c>
      <c r="D2672" s="1">
        <v>16.100000000000001</v>
      </c>
      <c r="E2672" s="1">
        <v>4.5999999999999996</v>
      </c>
      <c r="F2672" s="1">
        <v>0</v>
      </c>
      <c r="G2672" s="1"/>
      <c r="H2672" s="126">
        <f t="shared" si="41"/>
        <v>0.84852995914135099</v>
      </c>
      <c r="I2672" s="89">
        <v>500.39999999999986</v>
      </c>
      <c r="J2672" s="1">
        <v>64.115624999999994</v>
      </c>
    </row>
    <row r="2673" spans="1:10" x14ac:dyDescent="0.3">
      <c r="A2673" s="88" t="s">
        <v>484</v>
      </c>
      <c r="B2673" s="24">
        <v>39560</v>
      </c>
      <c r="C2673" s="1">
        <v>19.20702292494672</v>
      </c>
      <c r="D2673" s="1">
        <v>16.100000000000001</v>
      </c>
      <c r="E2673" s="1">
        <v>7.1</v>
      </c>
      <c r="F2673" s="1">
        <v>0</v>
      </c>
      <c r="G2673" s="1"/>
      <c r="H2673" s="126">
        <f t="shared" si="41"/>
        <v>1.0090889554747804</v>
      </c>
      <c r="I2673" s="89">
        <v>512.81999999999971</v>
      </c>
      <c r="J2673" s="1">
        <v>58.255208333333307</v>
      </c>
    </row>
    <row r="2674" spans="1:10" x14ac:dyDescent="0.3">
      <c r="A2674" s="88" t="s">
        <v>484</v>
      </c>
      <c r="B2674" s="24">
        <v>39561</v>
      </c>
      <c r="C2674" s="1">
        <v>18.337617360751111</v>
      </c>
      <c r="D2674" s="1">
        <v>16.8</v>
      </c>
      <c r="E2674" s="1">
        <v>3.1</v>
      </c>
      <c r="F2674" s="1">
        <v>5.0000000000000001E-3</v>
      </c>
      <c r="G2674" s="1"/>
      <c r="H2674" s="126">
        <f t="shared" si="41"/>
        <v>0.76341105875491733</v>
      </c>
      <c r="I2674" s="89">
        <v>170.28000000000009</v>
      </c>
      <c r="J2674" s="1">
        <v>61.542708333333316</v>
      </c>
    </row>
    <row r="2675" spans="1:10" x14ac:dyDescent="0.3">
      <c r="A2675" s="88" t="s">
        <v>484</v>
      </c>
      <c r="B2675" s="24">
        <v>39562</v>
      </c>
      <c r="C2675" s="1">
        <v>16.626706410921031</v>
      </c>
      <c r="D2675" s="1">
        <v>18.600000000000001</v>
      </c>
      <c r="E2675" s="1">
        <v>7.8</v>
      </c>
      <c r="F2675" s="1">
        <v>0.39500000000000002</v>
      </c>
      <c r="G2675" s="1"/>
      <c r="H2675" s="126">
        <f t="shared" si="41"/>
        <v>1.0585899253295545</v>
      </c>
      <c r="I2675" s="89">
        <v>151.02000000000004</v>
      </c>
      <c r="J2675" s="1">
        <v>56.293750000000003</v>
      </c>
    </row>
    <row r="2676" spans="1:10" x14ac:dyDescent="0.3">
      <c r="A2676" s="88" t="s">
        <v>484</v>
      </c>
      <c r="B2676" s="24">
        <v>39563</v>
      </c>
      <c r="C2676" s="1">
        <v>15.55929957951731</v>
      </c>
      <c r="D2676" s="1">
        <v>15.6</v>
      </c>
      <c r="E2676" s="1">
        <v>7.8</v>
      </c>
      <c r="F2676" s="1">
        <v>2.895</v>
      </c>
      <c r="G2676" s="1"/>
      <c r="H2676" s="126">
        <f t="shared" si="41"/>
        <v>1.0585899253295545</v>
      </c>
      <c r="I2676" s="89">
        <v>307.62</v>
      </c>
      <c r="J2676" s="1">
        <v>74.840625000000003</v>
      </c>
    </row>
    <row r="2677" spans="1:10" x14ac:dyDescent="0.3">
      <c r="A2677" s="88" t="s">
        <v>484</v>
      </c>
      <c r="B2677" s="24">
        <v>39564</v>
      </c>
      <c r="C2677" s="1">
        <v>21.458837336558954</v>
      </c>
      <c r="D2677" s="1">
        <v>17.399999999999999</v>
      </c>
      <c r="E2677" s="1">
        <v>5.5</v>
      </c>
      <c r="F2677" s="1">
        <v>0</v>
      </c>
      <c r="G2677" s="1"/>
      <c r="H2677" s="126">
        <f t="shared" si="41"/>
        <v>0.90352494025987484</v>
      </c>
      <c r="I2677" s="89">
        <v>147.77999999999994</v>
      </c>
      <c r="J2677" s="1">
        <v>65.645833333333343</v>
      </c>
    </row>
    <row r="2678" spans="1:10" x14ac:dyDescent="0.3">
      <c r="A2678" s="88" t="s">
        <v>484</v>
      </c>
      <c r="B2678" s="24">
        <v>39565</v>
      </c>
      <c r="C2678" s="1">
        <v>20.681232359887105</v>
      </c>
      <c r="D2678" s="1">
        <v>19.899999999999999</v>
      </c>
      <c r="E2678" s="1">
        <v>8.8000000000000007</v>
      </c>
      <c r="F2678" s="1">
        <v>0</v>
      </c>
      <c r="G2678" s="1"/>
      <c r="H2678" s="126">
        <f t="shared" si="41"/>
        <v>1.1330116523877718</v>
      </c>
      <c r="I2678" s="89">
        <v>197.91</v>
      </c>
      <c r="J2678" s="1">
        <v>55.501041666666644</v>
      </c>
    </row>
    <row r="2679" spans="1:10" x14ac:dyDescent="0.3">
      <c r="A2679" s="88" t="s">
        <v>484</v>
      </c>
      <c r="B2679" s="24">
        <v>39566</v>
      </c>
      <c r="C2679" s="1">
        <v>18.227816658026612</v>
      </c>
      <c r="D2679" s="1">
        <v>19.899999999999999</v>
      </c>
      <c r="E2679" s="1">
        <v>10</v>
      </c>
      <c r="F2679" s="1">
        <v>14.805</v>
      </c>
      <c r="G2679" s="1"/>
      <c r="H2679" s="126">
        <f t="shared" si="41"/>
        <v>1.2283647027117881</v>
      </c>
      <c r="I2679" s="89">
        <v>231.66</v>
      </c>
      <c r="J2679" s="1">
        <v>65.622916666666683</v>
      </c>
    </row>
    <row r="2680" spans="1:10" x14ac:dyDescent="0.3">
      <c r="A2680" s="88" t="s">
        <v>484</v>
      </c>
      <c r="B2680" s="24">
        <v>39567</v>
      </c>
      <c r="C2680" s="1">
        <v>9.2331590922181892</v>
      </c>
      <c r="D2680" s="1">
        <v>13.7</v>
      </c>
      <c r="E2680" s="1">
        <v>9.4</v>
      </c>
      <c r="F2680" s="1">
        <v>7.7249999999999996</v>
      </c>
      <c r="G2680" s="1"/>
      <c r="H2680" s="126">
        <f t="shared" si="41"/>
        <v>1.1798411174091483</v>
      </c>
      <c r="I2680" s="89">
        <v>147.42000000000002</v>
      </c>
      <c r="J2680" s="1">
        <v>88.661458333333357</v>
      </c>
    </row>
    <row r="2681" spans="1:10" x14ac:dyDescent="0.3">
      <c r="A2681" s="88" t="s">
        <v>484</v>
      </c>
      <c r="B2681" s="24">
        <v>39568</v>
      </c>
      <c r="C2681" s="1">
        <v>19.719126202407693</v>
      </c>
      <c r="D2681" s="1">
        <v>18</v>
      </c>
      <c r="E2681" s="1">
        <v>7.6</v>
      </c>
      <c r="F2681" s="1">
        <v>1.88</v>
      </c>
      <c r="G2681" s="1"/>
      <c r="H2681" s="126">
        <f t="shared" si="41"/>
        <v>1.0442332464842816</v>
      </c>
      <c r="I2681" s="89">
        <v>296.28000000000014</v>
      </c>
      <c r="J2681" s="1">
        <v>67.460416666666646</v>
      </c>
    </row>
    <row r="2682" spans="1:10" x14ac:dyDescent="0.3">
      <c r="A2682" s="88" t="s">
        <v>484</v>
      </c>
      <c r="B2682" s="24">
        <v>39569</v>
      </c>
      <c r="C2682" s="1">
        <v>19.215122976787054</v>
      </c>
      <c r="D2682" s="1">
        <v>16.600000000000001</v>
      </c>
      <c r="E2682" s="1">
        <v>7.3</v>
      </c>
      <c r="F2682" s="1">
        <v>1.65</v>
      </c>
      <c r="G2682" s="1"/>
      <c r="H2682" s="126">
        <f t="shared" si="41"/>
        <v>1.0230196423808093</v>
      </c>
      <c r="I2682" s="89">
        <v>179.01</v>
      </c>
      <c r="J2682" s="1">
        <v>71.747916666666697</v>
      </c>
    </row>
    <row r="2683" spans="1:10" x14ac:dyDescent="0.3">
      <c r="A2683" s="88" t="s">
        <v>484</v>
      </c>
      <c r="B2683" s="24">
        <v>39570</v>
      </c>
      <c r="C2683" s="1">
        <v>15.719500604803871</v>
      </c>
      <c r="D2683" s="1">
        <v>15.3</v>
      </c>
      <c r="E2683" s="1">
        <v>5.9</v>
      </c>
      <c r="F2683" s="1">
        <v>6.0549999999999997</v>
      </c>
      <c r="G2683" s="1"/>
      <c r="H2683" s="126">
        <f t="shared" si="41"/>
        <v>0.92895926237531279</v>
      </c>
      <c r="I2683" s="89">
        <v>162.62999999999997</v>
      </c>
      <c r="J2683" s="1">
        <v>80.548958333333289</v>
      </c>
    </row>
    <row r="2684" spans="1:10" x14ac:dyDescent="0.3">
      <c r="A2684" s="88" t="s">
        <v>484</v>
      </c>
      <c r="B2684" s="24">
        <v>39571</v>
      </c>
      <c r="C2684" s="1">
        <v>23.988753528022578</v>
      </c>
      <c r="D2684" s="1">
        <v>16.8</v>
      </c>
      <c r="E2684" s="1">
        <v>4.8</v>
      </c>
      <c r="F2684" s="1">
        <v>0</v>
      </c>
      <c r="G2684" s="1"/>
      <c r="H2684" s="126">
        <f t="shared" si="41"/>
        <v>0.86048907931200158</v>
      </c>
      <c r="I2684" s="89">
        <v>89.28</v>
      </c>
      <c r="J2684" s="1">
        <v>71.247916666666669</v>
      </c>
    </row>
    <row r="2685" spans="1:10" x14ac:dyDescent="0.3">
      <c r="A2685" s="88" t="s">
        <v>484</v>
      </c>
      <c r="B2685" s="24">
        <v>39572</v>
      </c>
      <c r="C2685" s="1">
        <v>22.204942111629514</v>
      </c>
      <c r="D2685" s="1">
        <v>17.399999999999999</v>
      </c>
      <c r="E2685" s="1">
        <v>5.0999999999999996</v>
      </c>
      <c r="F2685" s="1">
        <v>0</v>
      </c>
      <c r="G2685" s="1"/>
      <c r="H2685" s="126">
        <f t="shared" si="41"/>
        <v>0.87870648225166126</v>
      </c>
      <c r="I2685" s="89">
        <v>144.26999999999995</v>
      </c>
      <c r="J2685" s="1">
        <v>63.55</v>
      </c>
    </row>
    <row r="2686" spans="1:10" x14ac:dyDescent="0.3">
      <c r="A2686" s="88" t="s">
        <v>484</v>
      </c>
      <c r="B2686" s="24">
        <v>39573</v>
      </c>
      <c r="C2686" s="1">
        <v>24.234455100512641</v>
      </c>
      <c r="D2686" s="1">
        <v>19.8</v>
      </c>
      <c r="E2686" s="1">
        <v>5.4</v>
      </c>
      <c r="F2686" s="1">
        <v>0</v>
      </c>
      <c r="G2686" s="1"/>
      <c r="H2686" s="126">
        <f t="shared" si="41"/>
        <v>0.8972630930441321</v>
      </c>
      <c r="I2686" s="89">
        <v>163.26000000000002</v>
      </c>
      <c r="J2686" s="1">
        <v>71.880208333333357</v>
      </c>
    </row>
    <row r="2687" spans="1:10" x14ac:dyDescent="0.3">
      <c r="A2687" s="88" t="s">
        <v>484</v>
      </c>
      <c r="B2687" s="24">
        <v>39574</v>
      </c>
      <c r="C2687" s="1">
        <v>26.134367259950466</v>
      </c>
      <c r="D2687" s="1">
        <v>20.100000000000001</v>
      </c>
      <c r="E2687" s="1">
        <v>8.5</v>
      </c>
      <c r="F2687" s="1">
        <v>0</v>
      </c>
      <c r="G2687" s="1"/>
      <c r="H2687" s="126">
        <f t="shared" si="41"/>
        <v>1.110216300480029</v>
      </c>
      <c r="I2687" s="89">
        <v>177.20999999999992</v>
      </c>
      <c r="J2687" s="1">
        <v>62.746875000000003</v>
      </c>
    </row>
    <row r="2688" spans="1:10" x14ac:dyDescent="0.3">
      <c r="A2688" s="88" t="s">
        <v>484</v>
      </c>
      <c r="B2688" s="24">
        <v>39575</v>
      </c>
      <c r="C2688" s="1">
        <v>24.695258049651521</v>
      </c>
      <c r="D2688" s="1">
        <v>21.5</v>
      </c>
      <c r="E2688" s="1">
        <v>7.3</v>
      </c>
      <c r="F2688" s="1">
        <v>0</v>
      </c>
      <c r="G2688" s="1"/>
      <c r="H2688" s="126">
        <f t="shared" si="41"/>
        <v>1.0230196423808093</v>
      </c>
      <c r="I2688" s="89">
        <v>82.710000000000008</v>
      </c>
      <c r="J2688" s="1">
        <v>62.941666666666684</v>
      </c>
    </row>
    <row r="2689" spans="1:10" x14ac:dyDescent="0.3">
      <c r="A2689" s="88" t="s">
        <v>484</v>
      </c>
      <c r="B2689" s="24">
        <v>39576</v>
      </c>
      <c r="C2689" s="1">
        <v>26.457469327803697</v>
      </c>
      <c r="D2689" s="1">
        <v>22.2</v>
      </c>
      <c r="E2689" s="1">
        <v>7.7</v>
      </c>
      <c r="F2689" s="1">
        <v>0</v>
      </c>
      <c r="G2689" s="1"/>
      <c r="H2689" s="126">
        <f t="shared" si="41"/>
        <v>1.0513900110721115</v>
      </c>
      <c r="I2689" s="89">
        <v>115.19999999999999</v>
      </c>
      <c r="J2689" s="1">
        <v>57.229166666666664</v>
      </c>
    </row>
    <row r="2690" spans="1:10" x14ac:dyDescent="0.3">
      <c r="A2690" s="88" t="s">
        <v>484</v>
      </c>
      <c r="B2690" s="24">
        <v>39577</v>
      </c>
      <c r="C2690" s="1">
        <v>26.619470364610333</v>
      </c>
      <c r="D2690" s="1">
        <v>22.9</v>
      </c>
      <c r="E2690" s="1">
        <v>7.9</v>
      </c>
      <c r="F2690" s="1">
        <v>0</v>
      </c>
      <c r="G2690" s="1"/>
      <c r="H2690" s="126">
        <f t="shared" si="41"/>
        <v>1.0658332114824252</v>
      </c>
      <c r="I2690" s="89">
        <v>220.5</v>
      </c>
      <c r="J2690" s="1">
        <v>52.765625</v>
      </c>
    </row>
    <row r="2691" spans="1:10" x14ac:dyDescent="0.3">
      <c r="A2691" s="88" t="s">
        <v>484</v>
      </c>
      <c r="B2691" s="24">
        <v>39578</v>
      </c>
      <c r="C2691" s="1">
        <v>26.994772766545708</v>
      </c>
      <c r="D2691" s="1">
        <v>22.8</v>
      </c>
      <c r="E2691" s="1">
        <v>8.5</v>
      </c>
      <c r="F2691" s="1">
        <v>0</v>
      </c>
      <c r="G2691" s="1"/>
      <c r="H2691" s="126">
        <f t="shared" si="41"/>
        <v>1.110216300480029</v>
      </c>
      <c r="I2691" s="89">
        <v>197.19</v>
      </c>
      <c r="J2691" s="1">
        <v>55.270833333333336</v>
      </c>
    </row>
    <row r="2692" spans="1:10" x14ac:dyDescent="0.3">
      <c r="A2692" s="88" t="s">
        <v>484</v>
      </c>
      <c r="B2692" s="24">
        <v>39579</v>
      </c>
      <c r="C2692" s="1">
        <v>25.933665975462244</v>
      </c>
      <c r="D2692" s="1">
        <v>23.4</v>
      </c>
      <c r="E2692" s="1">
        <v>9</v>
      </c>
      <c r="F2692" s="1">
        <v>0</v>
      </c>
      <c r="G2692" s="1"/>
      <c r="H2692" s="126">
        <f t="shared" ref="H2692:H2755" si="42">0.611*EXP((17.27*E2692)/(E2692+237.3))</f>
        <v>1.148436398239401</v>
      </c>
      <c r="I2692" s="89">
        <v>175.1399999999999</v>
      </c>
      <c r="J2692" s="1">
        <v>89.152083333333337</v>
      </c>
    </row>
    <row r="2693" spans="1:10" x14ac:dyDescent="0.3">
      <c r="A2693" s="88" t="s">
        <v>484</v>
      </c>
      <c r="B2693" s="24">
        <v>39580</v>
      </c>
      <c r="C2693" s="1">
        <v>26.830971718218997</v>
      </c>
      <c r="D2693" s="1">
        <v>23.6</v>
      </c>
      <c r="E2693" s="1">
        <v>9.6</v>
      </c>
      <c r="F2693" s="1">
        <v>0</v>
      </c>
      <c r="G2693" s="1"/>
      <c r="H2693" s="126">
        <f t="shared" si="42"/>
        <v>1.1958248668287446</v>
      </c>
      <c r="I2693" s="89">
        <v>135.27000000000001</v>
      </c>
      <c r="J2693" s="1">
        <v>99.178124999999994</v>
      </c>
    </row>
    <row r="2694" spans="1:10" x14ac:dyDescent="0.3">
      <c r="A2694" s="88" t="s">
        <v>484</v>
      </c>
      <c r="B2694" s="24">
        <v>39581</v>
      </c>
      <c r="C2694" s="1">
        <v>24.78165860261506</v>
      </c>
      <c r="D2694" s="1">
        <v>20</v>
      </c>
      <c r="E2694" s="1">
        <v>9.6999999999999993</v>
      </c>
      <c r="F2694" s="1">
        <v>0</v>
      </c>
      <c r="G2694" s="1"/>
      <c r="H2694" s="126">
        <f t="shared" si="42"/>
        <v>1.2038879226915637</v>
      </c>
      <c r="I2694" s="89">
        <v>282.32999999999981</v>
      </c>
      <c r="J2694" s="1">
        <v>76.097916666666677</v>
      </c>
    </row>
    <row r="2695" spans="1:10" x14ac:dyDescent="0.3">
      <c r="A2695" s="88" t="s">
        <v>484</v>
      </c>
      <c r="B2695" s="24">
        <v>39582</v>
      </c>
      <c r="C2695" s="1">
        <v>26.539369851967056</v>
      </c>
      <c r="D2695" s="1">
        <v>21.1</v>
      </c>
      <c r="E2695" s="1">
        <v>6.9</v>
      </c>
      <c r="F2695" s="1">
        <v>0</v>
      </c>
      <c r="G2695" s="1"/>
      <c r="H2695" s="126">
        <f t="shared" si="42"/>
        <v>0.99532561227749294</v>
      </c>
      <c r="I2695" s="89">
        <v>193.86</v>
      </c>
      <c r="J2695" s="1">
        <v>60.623958333333348</v>
      </c>
    </row>
    <row r="2696" spans="1:10" x14ac:dyDescent="0.3">
      <c r="A2696" s="88" t="s">
        <v>484</v>
      </c>
      <c r="B2696" s="24">
        <v>39583</v>
      </c>
      <c r="C2696" s="1">
        <v>13.579286907436208</v>
      </c>
      <c r="D2696" s="1">
        <v>19.8</v>
      </c>
      <c r="E2696" s="1">
        <v>8.9</v>
      </c>
      <c r="F2696" s="1">
        <v>0.93</v>
      </c>
      <c r="G2696" s="1"/>
      <c r="H2696" s="126">
        <f t="shared" si="42"/>
        <v>1.1407010860938473</v>
      </c>
      <c r="I2696" s="89">
        <v>91.980000000000018</v>
      </c>
      <c r="J2696" s="1">
        <v>73.508333333333354</v>
      </c>
    </row>
    <row r="2697" spans="1:10" x14ac:dyDescent="0.3">
      <c r="A2697" s="88" t="s">
        <v>484</v>
      </c>
      <c r="B2697" s="24">
        <v>39584</v>
      </c>
      <c r="C2697" s="1">
        <v>6.9525444962847764</v>
      </c>
      <c r="D2697" s="1">
        <v>17</v>
      </c>
      <c r="E2697" s="1">
        <v>11.2</v>
      </c>
      <c r="F2697" s="1">
        <v>3.4249999999999998</v>
      </c>
      <c r="G2697" s="1"/>
      <c r="H2697" s="126">
        <f t="shared" si="42"/>
        <v>1.3307036698161701</v>
      </c>
      <c r="I2697" s="89">
        <v>110.69999999999999</v>
      </c>
      <c r="J2697" s="1">
        <v>91.146874999999994</v>
      </c>
    </row>
    <row r="2698" spans="1:10" x14ac:dyDescent="0.3">
      <c r="A2698" s="88" t="s">
        <v>484</v>
      </c>
      <c r="B2698" s="24">
        <v>39585</v>
      </c>
      <c r="C2698" s="1">
        <v>4.490128736823916</v>
      </c>
      <c r="D2698" s="1">
        <v>15.5</v>
      </c>
      <c r="E2698" s="1">
        <v>9.1</v>
      </c>
      <c r="F2698" s="1">
        <v>10.195</v>
      </c>
      <c r="G2698" s="1"/>
      <c r="H2698" s="126">
        <f t="shared" si="42"/>
        <v>1.156217822409108</v>
      </c>
      <c r="I2698" s="89">
        <v>199.8</v>
      </c>
      <c r="J2698" s="1">
        <v>95.363541666666677</v>
      </c>
    </row>
    <row r="2699" spans="1:10" x14ac:dyDescent="0.3">
      <c r="A2699" s="88" t="s">
        <v>484</v>
      </c>
      <c r="B2699" s="24">
        <v>39586</v>
      </c>
      <c r="C2699" s="1">
        <v>18.505918437878002</v>
      </c>
      <c r="D2699" s="1">
        <v>15</v>
      </c>
      <c r="E2699" s="1">
        <v>8</v>
      </c>
      <c r="F2699" s="1">
        <v>0.02</v>
      </c>
      <c r="G2699" s="1"/>
      <c r="H2699" s="126">
        <f t="shared" si="42"/>
        <v>1.0731200926872433</v>
      </c>
      <c r="I2699" s="89">
        <v>194.13000000000002</v>
      </c>
      <c r="J2699" s="1">
        <v>72.006249999999994</v>
      </c>
    </row>
    <row r="2700" spans="1:10" x14ac:dyDescent="0.3">
      <c r="A2700" s="88" t="s">
        <v>484</v>
      </c>
      <c r="B2700" s="24">
        <v>39587</v>
      </c>
      <c r="C2700" s="1">
        <v>21.929540349058236</v>
      </c>
      <c r="D2700" s="1">
        <v>15.7</v>
      </c>
      <c r="E2700" s="1">
        <v>5.3</v>
      </c>
      <c r="F2700" s="1">
        <v>0</v>
      </c>
      <c r="G2700" s="1"/>
      <c r="H2700" s="126">
        <f t="shared" si="42"/>
        <v>0.89103953465215091</v>
      </c>
      <c r="I2700" s="89">
        <v>198.54000000000002</v>
      </c>
      <c r="J2700" s="1">
        <v>68.755208333333329</v>
      </c>
    </row>
    <row r="2701" spans="1:10" x14ac:dyDescent="0.3">
      <c r="A2701" s="88" t="s">
        <v>484</v>
      </c>
      <c r="B2701" s="24">
        <v>39588</v>
      </c>
      <c r="C2701" s="1">
        <v>21.606438281204998</v>
      </c>
      <c r="D2701" s="1">
        <v>15.8</v>
      </c>
      <c r="E2701" s="1">
        <v>5.7</v>
      </c>
      <c r="F2701" s="1">
        <v>0</v>
      </c>
      <c r="G2701" s="1"/>
      <c r="H2701" s="126">
        <f t="shared" si="42"/>
        <v>0.91616430843021424</v>
      </c>
      <c r="I2701" s="89">
        <v>157.05000000000007</v>
      </c>
      <c r="J2701" s="1">
        <v>60.460416666666653</v>
      </c>
    </row>
    <row r="2702" spans="1:10" x14ac:dyDescent="0.3">
      <c r="A2702" s="88" t="s">
        <v>484</v>
      </c>
      <c r="B2702" s="24">
        <v>39589</v>
      </c>
      <c r="C2702" s="1">
        <v>26.922772305742757</v>
      </c>
      <c r="D2702" s="1">
        <v>17.2</v>
      </c>
      <c r="E2702" s="1">
        <v>4.5</v>
      </c>
      <c r="F2702" s="1">
        <v>5.0000000000000001E-3</v>
      </c>
      <c r="G2702" s="1"/>
      <c r="H2702" s="126">
        <f t="shared" si="42"/>
        <v>0.84260555674484927</v>
      </c>
      <c r="I2702" s="89">
        <v>189.72000000000008</v>
      </c>
      <c r="J2702" s="1">
        <v>56.63020833333335</v>
      </c>
    </row>
    <row r="2703" spans="1:10" x14ac:dyDescent="0.3">
      <c r="A2703" s="88" t="s">
        <v>484</v>
      </c>
      <c r="B2703" s="24">
        <v>39590</v>
      </c>
      <c r="C2703" s="1">
        <v>28.984685501987212</v>
      </c>
      <c r="D2703" s="1">
        <v>18.8</v>
      </c>
      <c r="E2703" s="1">
        <v>6.6</v>
      </c>
      <c r="F2703" s="1">
        <v>5.0000000000000001E-3</v>
      </c>
      <c r="G2703" s="1"/>
      <c r="H2703" s="126">
        <f t="shared" si="42"/>
        <v>0.97499060249070812</v>
      </c>
      <c r="I2703" s="89">
        <v>162.98999999999998</v>
      </c>
      <c r="J2703" s="1">
        <v>57.242708333333326</v>
      </c>
    </row>
    <row r="2704" spans="1:10" x14ac:dyDescent="0.3">
      <c r="A2704" s="88" t="s">
        <v>484</v>
      </c>
      <c r="B2704" s="24">
        <v>39591</v>
      </c>
      <c r="C2704" s="1">
        <v>20.350930245953574</v>
      </c>
      <c r="D2704" s="1">
        <v>19</v>
      </c>
      <c r="E2704" s="1">
        <v>8.8000000000000007</v>
      </c>
      <c r="F2704" s="1">
        <v>0</v>
      </c>
      <c r="G2704" s="1"/>
      <c r="H2704" s="126">
        <f t="shared" si="42"/>
        <v>1.1330116523877718</v>
      </c>
      <c r="I2704" s="89">
        <v>186.66000000000011</v>
      </c>
      <c r="J2704" s="1">
        <v>61.58020833333331</v>
      </c>
    </row>
    <row r="2705" spans="1:10" x14ac:dyDescent="0.3">
      <c r="A2705" s="88" t="s">
        <v>484</v>
      </c>
      <c r="B2705" s="24">
        <v>39592</v>
      </c>
      <c r="C2705" s="1">
        <v>28.802884338459766</v>
      </c>
      <c r="D2705" s="1">
        <v>20.100000000000001</v>
      </c>
      <c r="E2705" s="1">
        <v>7</v>
      </c>
      <c r="F2705" s="1">
        <v>0</v>
      </c>
      <c r="G2705" s="1"/>
      <c r="H2705" s="126">
        <f t="shared" si="42"/>
        <v>1.0021864739217894</v>
      </c>
      <c r="I2705" s="89">
        <v>278.82000000000011</v>
      </c>
      <c r="J2705" s="1">
        <v>54.418750000000003</v>
      </c>
    </row>
    <row r="2706" spans="1:10" x14ac:dyDescent="0.3">
      <c r="A2706" s="88" t="s">
        <v>484</v>
      </c>
      <c r="B2706" s="24">
        <v>39593</v>
      </c>
      <c r="C2706" s="1">
        <v>16.337804561949195</v>
      </c>
      <c r="D2706" s="1">
        <v>19.5</v>
      </c>
      <c r="E2706" s="1">
        <v>8.3000000000000007</v>
      </c>
      <c r="F2706" s="1">
        <v>7.4999999999999997E-2</v>
      </c>
      <c r="G2706" s="1"/>
      <c r="H2706" s="126">
        <f t="shared" si="42"/>
        <v>1.0952445521994474</v>
      </c>
      <c r="I2706" s="89">
        <v>323.45999999999998</v>
      </c>
      <c r="J2706" s="1">
        <v>68.063541666666666</v>
      </c>
    </row>
    <row r="2707" spans="1:10" x14ac:dyDescent="0.3">
      <c r="A2707" s="88" t="s">
        <v>484</v>
      </c>
      <c r="B2707" s="24">
        <v>39594</v>
      </c>
      <c r="C2707" s="1">
        <v>9.9063634007257644</v>
      </c>
      <c r="D2707" s="1">
        <v>18.600000000000001</v>
      </c>
      <c r="E2707" s="1">
        <v>13.5</v>
      </c>
      <c r="F2707" s="1">
        <v>0.42499999999999999</v>
      </c>
      <c r="G2707" s="1"/>
      <c r="H2707" s="126">
        <f t="shared" si="42"/>
        <v>1.5479739445616383</v>
      </c>
      <c r="I2707" s="89">
        <v>213.3</v>
      </c>
      <c r="J2707" s="1">
        <v>73.763541666666654</v>
      </c>
    </row>
    <row r="2708" spans="1:10" x14ac:dyDescent="0.3">
      <c r="A2708" s="88" t="s">
        <v>484</v>
      </c>
      <c r="B2708" s="24">
        <v>39595</v>
      </c>
      <c r="C2708" s="1">
        <v>15.129096826219687</v>
      </c>
      <c r="D2708" s="1">
        <v>19.100000000000001</v>
      </c>
      <c r="E2708" s="1">
        <v>11.4</v>
      </c>
      <c r="F2708" s="1">
        <v>0</v>
      </c>
      <c r="G2708" s="1"/>
      <c r="H2708" s="126">
        <f t="shared" si="42"/>
        <v>1.3484693686655054</v>
      </c>
      <c r="I2708" s="89">
        <v>432.09000000000003</v>
      </c>
      <c r="J2708" s="1">
        <v>74.391666666666666</v>
      </c>
    </row>
    <row r="2709" spans="1:10" x14ac:dyDescent="0.3">
      <c r="A2709" s="88" t="s">
        <v>484</v>
      </c>
      <c r="B2709" s="24">
        <v>39596</v>
      </c>
      <c r="C2709" s="1">
        <v>22.818746039974659</v>
      </c>
      <c r="D2709" s="1">
        <v>24.6</v>
      </c>
      <c r="E2709" s="1">
        <v>13.1</v>
      </c>
      <c r="F2709" s="1">
        <v>0</v>
      </c>
      <c r="G2709" s="1"/>
      <c r="H2709" s="126">
        <f t="shared" si="42"/>
        <v>1.5080901913058991</v>
      </c>
      <c r="I2709" s="89">
        <v>461.70000000000005</v>
      </c>
      <c r="J2709" s="1">
        <v>61.951041666666676</v>
      </c>
    </row>
    <row r="2710" spans="1:10" x14ac:dyDescent="0.3">
      <c r="A2710" s="88" t="s">
        <v>484</v>
      </c>
      <c r="B2710" s="24">
        <v>39597</v>
      </c>
      <c r="C2710" s="1">
        <v>24.452256494441567</v>
      </c>
      <c r="D2710" s="1">
        <v>26.1</v>
      </c>
      <c r="E2710" s="1">
        <v>13</v>
      </c>
      <c r="F2710" s="1">
        <v>0</v>
      </c>
      <c r="G2710" s="1"/>
      <c r="H2710" s="126">
        <f t="shared" si="42"/>
        <v>1.498261331998219</v>
      </c>
      <c r="I2710" s="89">
        <v>346.31999999999994</v>
      </c>
      <c r="J2710" s="1">
        <v>51.638541666666661</v>
      </c>
    </row>
    <row r="2711" spans="1:10" x14ac:dyDescent="0.3">
      <c r="A2711" s="88" t="s">
        <v>484</v>
      </c>
      <c r="B2711" s="24">
        <v>39598</v>
      </c>
      <c r="C2711" s="1">
        <v>26.179367547952307</v>
      </c>
      <c r="D2711" s="1">
        <v>28.5</v>
      </c>
      <c r="E2711" s="1">
        <v>14.4</v>
      </c>
      <c r="F2711" s="1">
        <v>0</v>
      </c>
      <c r="G2711" s="1"/>
      <c r="H2711" s="126">
        <f t="shared" si="42"/>
        <v>1.6411136286522547</v>
      </c>
      <c r="I2711" s="89">
        <v>272.61000000000007</v>
      </c>
      <c r="J2711" s="1">
        <v>57.543750000000003</v>
      </c>
    </row>
    <row r="2712" spans="1:10" x14ac:dyDescent="0.3">
      <c r="A2712" s="88" t="s">
        <v>484</v>
      </c>
      <c r="B2712" s="24">
        <v>39599</v>
      </c>
      <c r="C2712" s="1">
        <v>24.423456310120383</v>
      </c>
      <c r="D2712" s="1">
        <v>29</v>
      </c>
      <c r="E2712" s="1">
        <v>15.7</v>
      </c>
      <c r="F2712" s="1">
        <v>6.0449999999999999</v>
      </c>
      <c r="G2712" s="1"/>
      <c r="H2712" s="126">
        <f t="shared" si="42"/>
        <v>1.7843198966763008</v>
      </c>
      <c r="I2712" s="89">
        <v>170.37</v>
      </c>
      <c r="J2712" s="1">
        <v>71.728125000000006</v>
      </c>
    </row>
    <row r="2713" spans="1:10" x14ac:dyDescent="0.3">
      <c r="A2713" s="88" t="s">
        <v>484</v>
      </c>
      <c r="B2713" s="24">
        <v>39600</v>
      </c>
      <c r="C2713" s="1">
        <v>20.713632567248432</v>
      </c>
      <c r="D2713" s="1">
        <v>25.6</v>
      </c>
      <c r="E2713" s="1">
        <v>16.3</v>
      </c>
      <c r="F2713" s="1">
        <v>0.02</v>
      </c>
      <c r="G2713" s="1"/>
      <c r="H2713" s="126">
        <f t="shared" si="42"/>
        <v>1.8540295328498797</v>
      </c>
      <c r="I2713" s="89">
        <v>98.730000000000018</v>
      </c>
      <c r="J2713" s="1">
        <v>81.195833333333354</v>
      </c>
    </row>
    <row r="2714" spans="1:10" x14ac:dyDescent="0.3">
      <c r="A2714" s="88" t="s">
        <v>484</v>
      </c>
      <c r="B2714" s="24">
        <v>39601</v>
      </c>
      <c r="C2714" s="1">
        <v>23.294849087034155</v>
      </c>
      <c r="D2714" s="1">
        <v>28.6</v>
      </c>
      <c r="E2714" s="1">
        <v>16.2</v>
      </c>
      <c r="F2714" s="1">
        <v>0</v>
      </c>
      <c r="G2714" s="1"/>
      <c r="H2714" s="126">
        <f t="shared" si="42"/>
        <v>1.842248157637969</v>
      </c>
      <c r="I2714" s="89">
        <v>140.13</v>
      </c>
      <c r="J2714" s="1">
        <v>68.555208333333354</v>
      </c>
    </row>
    <row r="2715" spans="1:10" x14ac:dyDescent="0.3">
      <c r="A2715" s="88" t="s">
        <v>484</v>
      </c>
      <c r="B2715" s="24">
        <v>39602</v>
      </c>
      <c r="C2715" s="1">
        <v>21.419237083117331</v>
      </c>
      <c r="D2715" s="1">
        <v>25.7</v>
      </c>
      <c r="E2715" s="1">
        <v>15.1</v>
      </c>
      <c r="F2715" s="1">
        <v>1.6950000000000001</v>
      </c>
      <c r="G2715" s="1"/>
      <c r="H2715" s="126">
        <f t="shared" si="42"/>
        <v>1.7169184104549529</v>
      </c>
      <c r="I2715" s="89">
        <v>184.50000000000006</v>
      </c>
      <c r="J2715" s="1">
        <v>67.572916666666657</v>
      </c>
    </row>
    <row r="2716" spans="1:10" x14ac:dyDescent="0.3">
      <c r="A2716" s="88" t="s">
        <v>484</v>
      </c>
      <c r="B2716" s="24">
        <v>39603</v>
      </c>
      <c r="C2716" s="1">
        <v>20.960234145498532</v>
      </c>
      <c r="D2716" s="1">
        <v>24.6</v>
      </c>
      <c r="E2716" s="1">
        <v>13.9</v>
      </c>
      <c r="F2716" s="1">
        <v>0.92500000000000004</v>
      </c>
      <c r="G2716" s="1"/>
      <c r="H2716" s="126">
        <f t="shared" si="42"/>
        <v>1.5887804036720876</v>
      </c>
      <c r="I2716" s="89">
        <v>147.60000000000002</v>
      </c>
      <c r="J2716" s="1">
        <v>74.59375</v>
      </c>
    </row>
    <row r="2717" spans="1:10" x14ac:dyDescent="0.3">
      <c r="A2717" s="88" t="s">
        <v>484</v>
      </c>
      <c r="B2717" s="24">
        <v>39604</v>
      </c>
      <c r="C2717" s="1">
        <v>27.132473647831347</v>
      </c>
      <c r="D2717" s="1">
        <v>24.4</v>
      </c>
      <c r="E2717" s="1">
        <v>12.6</v>
      </c>
      <c r="F2717" s="1">
        <v>0</v>
      </c>
      <c r="G2717" s="1"/>
      <c r="H2717" s="126">
        <f t="shared" si="42"/>
        <v>1.4595059422181114</v>
      </c>
      <c r="I2717" s="89">
        <v>296.28000000000003</v>
      </c>
      <c r="J2717" s="1">
        <v>55.057291666666664</v>
      </c>
    </row>
    <row r="2718" spans="1:10" x14ac:dyDescent="0.3">
      <c r="A2718" s="88" t="s">
        <v>484</v>
      </c>
      <c r="B2718" s="24">
        <v>39605</v>
      </c>
      <c r="C2718" s="1">
        <v>26.216267784113818</v>
      </c>
      <c r="D2718" s="1">
        <v>23.8</v>
      </c>
      <c r="E2718" s="1">
        <v>11.6</v>
      </c>
      <c r="F2718" s="1">
        <v>0</v>
      </c>
      <c r="G2718" s="1"/>
      <c r="H2718" s="126">
        <f t="shared" si="42"/>
        <v>1.3664431264636057</v>
      </c>
      <c r="I2718" s="89">
        <v>265.05000000000013</v>
      </c>
      <c r="J2718" s="1">
        <v>53.798958333333353</v>
      </c>
    </row>
    <row r="2719" spans="1:10" x14ac:dyDescent="0.3">
      <c r="A2719" s="88" t="s">
        <v>484</v>
      </c>
      <c r="B2719" s="24">
        <v>39606</v>
      </c>
      <c r="C2719" s="1">
        <v>23.887952882898453</v>
      </c>
      <c r="D2719" s="1">
        <v>26.1</v>
      </c>
      <c r="E2719" s="1">
        <v>12.3</v>
      </c>
      <c r="F2719" s="1">
        <v>0</v>
      </c>
      <c r="G2719" s="1"/>
      <c r="H2719" s="126">
        <f t="shared" si="42"/>
        <v>1.4310198233396516</v>
      </c>
      <c r="I2719" s="89">
        <v>170.81999999999996</v>
      </c>
      <c r="J2719" s="1">
        <v>57.490625000000001</v>
      </c>
    </row>
    <row r="2720" spans="1:10" x14ac:dyDescent="0.3">
      <c r="A2720" s="88" t="s">
        <v>484</v>
      </c>
      <c r="B2720" s="24">
        <v>39607</v>
      </c>
      <c r="C2720" s="1">
        <v>28.069379644029723</v>
      </c>
      <c r="D2720" s="1">
        <v>26.7</v>
      </c>
      <c r="E2720" s="1">
        <v>12.1</v>
      </c>
      <c r="F2720" s="1">
        <v>5.0000000000000001E-3</v>
      </c>
      <c r="G2720" s="1"/>
      <c r="H2720" s="126">
        <f t="shared" si="42"/>
        <v>1.4123014242757443</v>
      </c>
      <c r="I2720" s="89">
        <v>151.29</v>
      </c>
      <c r="J2720" s="1">
        <v>47.86354166666667</v>
      </c>
    </row>
    <row r="2721" spans="1:11" x14ac:dyDescent="0.3">
      <c r="A2721" s="88" t="s">
        <v>484</v>
      </c>
      <c r="B2721" s="24">
        <v>39608</v>
      </c>
      <c r="C2721" s="1">
        <v>29.433788376245609</v>
      </c>
      <c r="D2721" s="1">
        <v>28</v>
      </c>
      <c r="E2721" s="1">
        <v>11.8</v>
      </c>
      <c r="F2721" s="1">
        <v>0</v>
      </c>
      <c r="G2721" s="1"/>
      <c r="H2721" s="126">
        <f t="shared" si="42"/>
        <v>1.3846270162501679</v>
      </c>
      <c r="I2721" s="89">
        <v>131.58000000000004</v>
      </c>
      <c r="J2721" s="1">
        <v>44.078125</v>
      </c>
      <c r="K2721" s="230">
        <v>549.17766843300467</v>
      </c>
    </row>
    <row r="2722" spans="1:11" x14ac:dyDescent="0.3">
      <c r="A2722" s="88" t="s">
        <v>484</v>
      </c>
      <c r="B2722" s="24">
        <v>39609</v>
      </c>
      <c r="C2722" s="1">
        <v>27.403375381602444</v>
      </c>
      <c r="D2722" s="1">
        <v>26.6</v>
      </c>
      <c r="E2722" s="1">
        <v>12.9</v>
      </c>
      <c r="F2722" s="1">
        <v>0</v>
      </c>
      <c r="G2722" s="1"/>
      <c r="H2722" s="126">
        <f t="shared" si="42"/>
        <v>1.4884887514247067</v>
      </c>
      <c r="I2722" s="89">
        <v>287.99999999999994</v>
      </c>
      <c r="J2722" s="1">
        <v>58.782291666666644</v>
      </c>
      <c r="K2722" s="230">
        <v>548.85984790874545</v>
      </c>
    </row>
    <row r="2723" spans="1:11" x14ac:dyDescent="0.3">
      <c r="A2723" s="88" t="s">
        <v>484</v>
      </c>
      <c r="B2723" s="24">
        <v>39610</v>
      </c>
      <c r="C2723" s="1">
        <v>13.987889522492946</v>
      </c>
      <c r="D2723" s="1">
        <v>18.600000000000001</v>
      </c>
      <c r="E2723" s="1">
        <v>12.2</v>
      </c>
      <c r="F2723" s="1">
        <v>3.5000000000000003E-2</v>
      </c>
      <c r="G2723" s="1"/>
      <c r="H2723" s="126">
        <f t="shared" si="42"/>
        <v>1.4216335674868446</v>
      </c>
      <c r="I2723" s="89">
        <v>333.09000000000015</v>
      </c>
      <c r="J2723" s="1">
        <v>60.5</v>
      </c>
      <c r="K2723" s="230">
        <v>550.0668573471587</v>
      </c>
    </row>
    <row r="2724" spans="1:11" x14ac:dyDescent="0.3">
      <c r="A2724" s="88" t="s">
        <v>484</v>
      </c>
      <c r="B2724" s="24">
        <v>39611</v>
      </c>
      <c r="C2724" s="1">
        <v>13.473086227751859</v>
      </c>
      <c r="D2724" s="1">
        <v>15.9</v>
      </c>
      <c r="E2724" s="1">
        <v>9.1999999999999993</v>
      </c>
      <c r="F2724" s="1">
        <v>2.165</v>
      </c>
      <c r="G2724" s="1"/>
      <c r="H2724" s="126">
        <f t="shared" si="42"/>
        <v>1.16404559315309</v>
      </c>
      <c r="I2724" s="89">
        <v>246.14999999999995</v>
      </c>
      <c r="J2724" s="1">
        <v>68.547916666666694</v>
      </c>
      <c r="K2724" s="230">
        <v>549.8037830599269</v>
      </c>
    </row>
    <row r="2725" spans="1:11" x14ac:dyDescent="0.3">
      <c r="A2725" s="88" t="s">
        <v>484</v>
      </c>
      <c r="B2725" s="24">
        <v>39612</v>
      </c>
      <c r="C2725" s="1">
        <v>18.064915615459942</v>
      </c>
      <c r="D2725" s="1">
        <v>16.399999999999999</v>
      </c>
      <c r="E2725" s="1">
        <v>9.5</v>
      </c>
      <c r="F2725" s="1">
        <v>5.21</v>
      </c>
      <c r="G2725" s="1"/>
      <c r="H2725" s="126">
        <f t="shared" si="42"/>
        <v>1.1878093448750482</v>
      </c>
      <c r="I2725" s="89">
        <v>303.29999999999995</v>
      </c>
      <c r="J2725" s="1">
        <v>80.172916666666694</v>
      </c>
      <c r="K2725" s="230">
        <v>549.670086355786</v>
      </c>
    </row>
    <row r="2726" spans="1:11" x14ac:dyDescent="0.3">
      <c r="A2726" s="88" t="s">
        <v>484</v>
      </c>
      <c r="B2726" s="24">
        <v>39613</v>
      </c>
      <c r="C2726" s="1">
        <v>18.849720638212084</v>
      </c>
      <c r="D2726" s="1">
        <v>15.6</v>
      </c>
      <c r="E2726" s="1">
        <v>8.6999999999999993</v>
      </c>
      <c r="F2726" s="1">
        <v>2.085</v>
      </c>
      <c r="G2726" s="1"/>
      <c r="H2726" s="126">
        <f t="shared" si="42"/>
        <v>1.1253678644990226</v>
      </c>
      <c r="I2726" s="89">
        <v>200.34</v>
      </c>
      <c r="J2726" s="1">
        <v>79.81458333333336</v>
      </c>
      <c r="K2726" s="230">
        <v>549.94251497006042</v>
      </c>
    </row>
    <row r="2727" spans="1:11" x14ac:dyDescent="0.3">
      <c r="A2727" s="88" t="s">
        <v>484</v>
      </c>
      <c r="B2727" s="24">
        <v>39614</v>
      </c>
      <c r="C2727" s="1">
        <v>20.905333794136283</v>
      </c>
      <c r="D2727" s="1">
        <v>16.8</v>
      </c>
      <c r="E2727" s="1">
        <v>7.7</v>
      </c>
      <c r="F2727" s="1">
        <v>5.9</v>
      </c>
      <c r="G2727" s="1"/>
      <c r="H2727" s="126">
        <f t="shared" si="42"/>
        <v>1.0513900110721115</v>
      </c>
      <c r="I2727" s="89">
        <v>207.09</v>
      </c>
      <c r="J2727" s="1">
        <v>77.732291666666683</v>
      </c>
      <c r="K2727" s="230">
        <v>549.83589743589755</v>
      </c>
    </row>
    <row r="2728" spans="1:11" x14ac:dyDescent="0.3">
      <c r="A2728" s="88" t="s">
        <v>484</v>
      </c>
      <c r="B2728" s="24">
        <v>39615</v>
      </c>
      <c r="C2728" s="1">
        <v>26.290968262196881</v>
      </c>
      <c r="D2728" s="1">
        <v>18.100000000000001</v>
      </c>
      <c r="E2728" s="1">
        <v>9.1</v>
      </c>
      <c r="F2728" s="1">
        <v>0</v>
      </c>
      <c r="G2728" s="1"/>
      <c r="H2728" s="126">
        <f t="shared" si="42"/>
        <v>1.156217822409108</v>
      </c>
      <c r="I2728" s="89">
        <v>233.55</v>
      </c>
      <c r="J2728" s="1">
        <v>68.260416666666686</v>
      </c>
      <c r="K2728" s="230">
        <v>549.98173973075586</v>
      </c>
    </row>
    <row r="2729" spans="1:11" x14ac:dyDescent="0.3">
      <c r="A2729" s="88" t="s">
        <v>484</v>
      </c>
      <c r="B2729" s="24">
        <v>39616</v>
      </c>
      <c r="C2729" s="1">
        <v>24.51169876209568</v>
      </c>
      <c r="D2729" s="1">
        <v>20.3</v>
      </c>
      <c r="E2729" s="1">
        <v>6.6</v>
      </c>
      <c r="F2729" s="1">
        <v>0.01</v>
      </c>
      <c r="G2729" s="1"/>
      <c r="H2729" s="126">
        <f t="shared" si="42"/>
        <v>0.97499060249070812</v>
      </c>
      <c r="I2729" s="89">
        <v>102.05999999999999</v>
      </c>
      <c r="J2729" s="1">
        <v>64.326562499999994</v>
      </c>
      <c r="K2729" s="230">
        <v>549.24258517034093</v>
      </c>
    </row>
    <row r="2730" spans="1:11" x14ac:dyDescent="0.3">
      <c r="A2730" s="88" t="s">
        <v>484</v>
      </c>
      <c r="B2730" s="24">
        <v>39617</v>
      </c>
      <c r="C2730" s="1">
        <v>23.619312425092829</v>
      </c>
      <c r="D2730" s="1">
        <v>23.8</v>
      </c>
      <c r="E2730" s="1">
        <v>11.3</v>
      </c>
      <c r="F2730" s="1">
        <v>0</v>
      </c>
      <c r="G2730" s="1"/>
      <c r="H2730" s="126">
        <f t="shared" si="42"/>
        <v>1.3395606407879945</v>
      </c>
      <c r="I2730" s="89">
        <v>168.21</v>
      </c>
      <c r="J2730" s="1">
        <v>56.046875</v>
      </c>
      <c r="K2730" s="230">
        <v>550.12182182182221</v>
      </c>
    </row>
    <row r="2731" spans="1:11" x14ac:dyDescent="0.3">
      <c r="A2731" s="88" t="s">
        <v>484</v>
      </c>
      <c r="B2731" s="24">
        <v>39618</v>
      </c>
      <c r="C2731" s="1">
        <v>17.532396022353375</v>
      </c>
      <c r="D2731" s="1">
        <v>24.5</v>
      </c>
      <c r="E2731" s="1">
        <v>13.9</v>
      </c>
      <c r="F2731" s="1">
        <v>5.4</v>
      </c>
      <c r="G2731" s="1"/>
      <c r="H2731" s="126">
        <f t="shared" si="42"/>
        <v>1.5887804036720876</v>
      </c>
      <c r="I2731" s="89">
        <v>256.0499999999999</v>
      </c>
      <c r="J2731" s="1">
        <v>62.859375</v>
      </c>
      <c r="K2731" s="230">
        <v>549.53172851888951</v>
      </c>
    </row>
    <row r="2732" spans="1:11" x14ac:dyDescent="0.3">
      <c r="A2732" s="88" t="s">
        <v>484</v>
      </c>
      <c r="B2732" s="24">
        <v>39619</v>
      </c>
      <c r="C2732" s="1">
        <v>20.896842492437298</v>
      </c>
      <c r="D2732" s="1">
        <v>21.2</v>
      </c>
      <c r="E2732" s="1">
        <v>12.6</v>
      </c>
      <c r="F2732" s="1">
        <v>0.1</v>
      </c>
      <c r="G2732" s="1"/>
      <c r="H2732" s="126">
        <f t="shared" si="42"/>
        <v>1.4595059422181114</v>
      </c>
      <c r="I2732" s="89">
        <v>258.48</v>
      </c>
      <c r="J2732" s="1">
        <v>67.355208333333351</v>
      </c>
      <c r="K2732" s="230">
        <v>550.0490046449903</v>
      </c>
    </row>
    <row r="2733" spans="1:11" x14ac:dyDescent="0.3">
      <c r="A2733" s="88" t="s">
        <v>484</v>
      </c>
      <c r="B2733" s="24">
        <v>39620</v>
      </c>
      <c r="C2733" s="1">
        <v>18.530528516047269</v>
      </c>
      <c r="D2733" s="1">
        <v>21.7</v>
      </c>
      <c r="E2733" s="1">
        <v>13.1</v>
      </c>
      <c r="F2733" s="1">
        <v>5.5E-2</v>
      </c>
      <c r="G2733" s="1"/>
      <c r="H2733" s="126">
        <f t="shared" si="42"/>
        <v>1.5080901913058991</v>
      </c>
      <c r="I2733" s="89">
        <v>180.45</v>
      </c>
      <c r="J2733" s="1">
        <v>64.592708333333334</v>
      </c>
      <c r="K2733" s="230">
        <v>550.13228163400913</v>
      </c>
    </row>
    <row r="2734" spans="1:11" x14ac:dyDescent="0.3">
      <c r="A2734" s="88" t="s">
        <v>484</v>
      </c>
      <c r="B2734" s="24">
        <v>39621</v>
      </c>
      <c r="C2734" s="1">
        <v>20.152837772960495</v>
      </c>
      <c r="D2734" s="1">
        <v>29.5</v>
      </c>
      <c r="E2734" s="1">
        <v>15.1</v>
      </c>
      <c r="F2734" s="1">
        <v>15.195</v>
      </c>
      <c r="G2734" s="1"/>
      <c r="H2734" s="126">
        <f t="shared" si="42"/>
        <v>1.7169184104549529</v>
      </c>
      <c r="I2734" s="89">
        <v>230.39999999999992</v>
      </c>
      <c r="J2734" s="1">
        <v>70.307291666666671</v>
      </c>
      <c r="K2734" s="230">
        <v>548.38210776008123</v>
      </c>
    </row>
    <row r="2735" spans="1:11" x14ac:dyDescent="0.3">
      <c r="A2735" s="88" t="s">
        <v>484</v>
      </c>
      <c r="B2735" s="24">
        <v>39622</v>
      </c>
      <c r="C2735" s="1">
        <v>25.188950285977377</v>
      </c>
      <c r="D2735" s="1">
        <v>21.2</v>
      </c>
      <c r="E2735" s="1">
        <v>11.4</v>
      </c>
      <c r="F2735" s="1">
        <v>0.01</v>
      </c>
      <c r="G2735" s="1"/>
      <c r="H2735" s="126">
        <f t="shared" si="42"/>
        <v>1.3484693686655054</v>
      </c>
      <c r="I2735" s="89">
        <v>402.12</v>
      </c>
      <c r="J2735" s="1">
        <v>64.328125</v>
      </c>
      <c r="K2735" s="230">
        <v>550.63665644171772</v>
      </c>
    </row>
    <row r="2736" spans="1:11" x14ac:dyDescent="0.3">
      <c r="A2736" s="88" t="s">
        <v>484</v>
      </c>
      <c r="B2736" s="24">
        <v>39623</v>
      </c>
      <c r="C2736" s="1">
        <v>27.830527682355804</v>
      </c>
      <c r="D2736" s="1">
        <v>20.6</v>
      </c>
      <c r="E2736" s="1">
        <v>8.1</v>
      </c>
      <c r="F2736" s="1">
        <v>0</v>
      </c>
      <c r="G2736" s="1"/>
      <c r="H2736" s="126">
        <f t="shared" si="42"/>
        <v>1.080450793034103</v>
      </c>
      <c r="I2736" s="89">
        <v>120.86999999999998</v>
      </c>
      <c r="J2736" s="1">
        <v>61.112499999999997</v>
      </c>
      <c r="K2736" s="230">
        <v>551.15320374369958</v>
      </c>
    </row>
    <row r="2737" spans="1:11" x14ac:dyDescent="0.3">
      <c r="A2737" s="88" t="s">
        <v>484</v>
      </c>
      <c r="B2737" s="24">
        <v>39624</v>
      </c>
      <c r="C2737" s="1">
        <v>14.916580162692792</v>
      </c>
      <c r="D2737" s="1">
        <v>24.1</v>
      </c>
      <c r="E2737" s="1">
        <v>13.4</v>
      </c>
      <c r="F2737" s="1">
        <v>0</v>
      </c>
      <c r="G2737" s="1"/>
      <c r="H2737" s="126">
        <f t="shared" si="42"/>
        <v>1.5379172032464434</v>
      </c>
      <c r="I2737" s="89">
        <v>239.85000000000005</v>
      </c>
      <c r="J2737" s="1">
        <v>60.289583333333354</v>
      </c>
      <c r="K2737" s="230">
        <v>549.42159942877538</v>
      </c>
    </row>
    <row r="2738" spans="1:11" x14ac:dyDescent="0.3">
      <c r="A2738" s="88" t="s">
        <v>484</v>
      </c>
      <c r="B2738" s="24">
        <v>39625</v>
      </c>
      <c r="C2738" s="1">
        <v>24.788302649007601</v>
      </c>
      <c r="D2738" s="1">
        <v>23.4</v>
      </c>
      <c r="E2738" s="1">
        <v>14.2</v>
      </c>
      <c r="F2738" s="1">
        <v>0</v>
      </c>
      <c r="G2738" s="1"/>
      <c r="H2738" s="126">
        <f t="shared" si="42"/>
        <v>1.6200016491976139</v>
      </c>
      <c r="I2738" s="89">
        <v>249.48000000000002</v>
      </c>
      <c r="J2738" s="1">
        <v>58.434375000000003</v>
      </c>
      <c r="K2738" s="230">
        <v>550.07644326476486</v>
      </c>
    </row>
    <row r="2739" spans="1:11" x14ac:dyDescent="0.3">
      <c r="A2739" s="88" t="s">
        <v>484</v>
      </c>
      <c r="B2739" s="24">
        <v>39626</v>
      </c>
      <c r="C2739" s="1">
        <v>11.663432689807827</v>
      </c>
      <c r="D2739" s="1">
        <v>20.399999999999999</v>
      </c>
      <c r="E2739" s="1">
        <v>13.1</v>
      </c>
      <c r="F2739" s="1">
        <v>5.0000000000000001E-3</v>
      </c>
      <c r="G2739" s="1"/>
      <c r="H2739" s="126">
        <f t="shared" si="42"/>
        <v>1.5080901913058991</v>
      </c>
      <c r="I2739" s="89">
        <v>342.53999999999991</v>
      </c>
      <c r="J2739" s="1">
        <v>62.692708333333286</v>
      </c>
      <c r="K2739" s="230">
        <v>550.06920384952002</v>
      </c>
    </row>
    <row r="2740" spans="1:11" x14ac:dyDescent="0.3">
      <c r="A2740" s="88" t="s">
        <v>484</v>
      </c>
      <c r="B2740" s="24">
        <v>39627</v>
      </c>
      <c r="C2740" s="1">
        <v>10.76880315970892</v>
      </c>
      <c r="D2740" s="1">
        <v>21.6</v>
      </c>
      <c r="E2740" s="1">
        <v>12.4</v>
      </c>
      <c r="F2740" s="1">
        <v>0.44</v>
      </c>
      <c r="G2740" s="1"/>
      <c r="H2740" s="126">
        <f t="shared" si="42"/>
        <v>1.4404604588486194</v>
      </c>
      <c r="I2740" s="89">
        <v>295.11</v>
      </c>
      <c r="J2740" s="1">
        <v>78.209374999999994</v>
      </c>
      <c r="K2740" s="230">
        <v>549.44607154797791</v>
      </c>
    </row>
    <row r="2741" spans="1:11" x14ac:dyDescent="0.3">
      <c r="A2741" s="88" t="s">
        <v>484</v>
      </c>
      <c r="B2741" s="24">
        <v>39628</v>
      </c>
      <c r="C2741" s="1">
        <v>24.040057698523999</v>
      </c>
      <c r="D2741" s="1">
        <v>23.8</v>
      </c>
      <c r="E2741" s="1">
        <v>14.2</v>
      </c>
      <c r="F2741" s="1">
        <v>0</v>
      </c>
      <c r="G2741" s="1"/>
      <c r="H2741" s="126">
        <f t="shared" si="42"/>
        <v>1.6200016491976139</v>
      </c>
      <c r="I2741" s="89">
        <v>229.23000000000002</v>
      </c>
      <c r="J2741" s="1">
        <v>65.761458333333309</v>
      </c>
      <c r="K2741" s="230">
        <v>549.92517482517542</v>
      </c>
    </row>
    <row r="2742" spans="1:11" x14ac:dyDescent="0.3">
      <c r="A2742" s="88" t="s">
        <v>484</v>
      </c>
      <c r="B2742" s="24">
        <v>39629</v>
      </c>
      <c r="C2742" s="1">
        <v>22.81295589537444</v>
      </c>
      <c r="D2742" s="1">
        <v>23</v>
      </c>
      <c r="E2742" s="1">
        <v>12.4</v>
      </c>
      <c r="F2742" s="1">
        <v>0</v>
      </c>
      <c r="G2742" s="1"/>
      <c r="H2742" s="126">
        <f t="shared" si="42"/>
        <v>1.4404604588486194</v>
      </c>
      <c r="I2742" s="89">
        <v>237.51000000000005</v>
      </c>
      <c r="J2742" s="1">
        <v>58.21875</v>
      </c>
      <c r="K2742" s="230">
        <v>550.13702805680589</v>
      </c>
    </row>
    <row r="2743" spans="1:11" x14ac:dyDescent="0.3">
      <c r="A2743" s="88" t="s">
        <v>484</v>
      </c>
      <c r="B2743" s="24">
        <v>39630</v>
      </c>
      <c r="C2743" s="1">
        <v>26.538801904921982</v>
      </c>
      <c r="D2743" s="1">
        <v>27.3</v>
      </c>
      <c r="E2743" s="1">
        <v>10.1</v>
      </c>
      <c r="F2743" s="1">
        <v>2.5000000000000001E-2</v>
      </c>
      <c r="G2743" s="1"/>
      <c r="H2743" s="126">
        <f t="shared" si="42"/>
        <v>1.2366203081300822</v>
      </c>
      <c r="I2743" s="89">
        <v>106.28999999999998</v>
      </c>
      <c r="J2743" s="1">
        <v>57.172916666666701</v>
      </c>
      <c r="K2743" s="230">
        <v>549.69383259911797</v>
      </c>
    </row>
    <row r="2744" spans="1:11" x14ac:dyDescent="0.3">
      <c r="A2744" s="88" t="s">
        <v>484</v>
      </c>
      <c r="B2744" s="24">
        <v>39631</v>
      </c>
      <c r="C2744" s="1">
        <v>26.328934627834201</v>
      </c>
      <c r="D2744" s="1">
        <v>31.1</v>
      </c>
      <c r="E2744" s="1">
        <v>12.7</v>
      </c>
      <c r="F2744" s="1">
        <v>0.01</v>
      </c>
      <c r="G2744" s="1"/>
      <c r="H2744" s="126">
        <f t="shared" si="42"/>
        <v>1.4691113294420337</v>
      </c>
      <c r="I2744" s="89">
        <v>194.21999999999997</v>
      </c>
      <c r="J2744" s="1">
        <v>51.483333333333341</v>
      </c>
      <c r="K2744" s="230">
        <v>549.90285330647862</v>
      </c>
    </row>
    <row r="2745" spans="1:11" x14ac:dyDescent="0.3">
      <c r="A2745" s="88" t="s">
        <v>484</v>
      </c>
      <c r="B2745" s="24">
        <v>39632</v>
      </c>
      <c r="C2745" s="1">
        <v>18.629281879871531</v>
      </c>
      <c r="D2745" s="1">
        <v>29.1</v>
      </c>
      <c r="E2745" s="1">
        <v>17</v>
      </c>
      <c r="F2745" s="1">
        <v>0</v>
      </c>
      <c r="G2745" s="1"/>
      <c r="H2745" s="126">
        <f t="shared" si="42"/>
        <v>1.9383638408527206</v>
      </c>
      <c r="I2745" s="89">
        <v>164.34</v>
      </c>
      <c r="J2745" s="1">
        <v>71.178124999999994</v>
      </c>
      <c r="K2745" s="230">
        <v>548.27127071823111</v>
      </c>
    </row>
    <row r="2746" spans="1:11" x14ac:dyDescent="0.3">
      <c r="A2746" s="88" t="s">
        <v>484</v>
      </c>
      <c r="B2746" s="24">
        <v>39633</v>
      </c>
      <c r="C2746" s="1">
        <v>11.147099783352875</v>
      </c>
      <c r="D2746" s="1">
        <v>19.100000000000001</v>
      </c>
      <c r="E2746" s="1">
        <v>13.7</v>
      </c>
      <c r="F2746" s="1">
        <v>0</v>
      </c>
      <c r="G2746" s="1"/>
      <c r="H2746" s="126">
        <f t="shared" si="42"/>
        <v>1.568260711501982</v>
      </c>
      <c r="I2746" s="89">
        <v>375.92999999999995</v>
      </c>
      <c r="J2746" s="1">
        <v>85.494791666666643</v>
      </c>
      <c r="K2746" s="230">
        <v>549.90692124104953</v>
      </c>
    </row>
    <row r="2747" spans="1:11" x14ac:dyDescent="0.3">
      <c r="A2747" s="88" t="s">
        <v>484</v>
      </c>
      <c r="B2747" s="24">
        <v>39634</v>
      </c>
      <c r="C2747" s="1">
        <v>21.37549602090629</v>
      </c>
      <c r="D2747" s="1">
        <v>23.3</v>
      </c>
      <c r="E2747" s="1">
        <v>13.2</v>
      </c>
      <c r="F2747" s="1">
        <v>0.53</v>
      </c>
      <c r="G2747" s="1"/>
      <c r="H2747" s="126">
        <f t="shared" si="42"/>
        <v>1.5179756049640964</v>
      </c>
      <c r="I2747" s="89">
        <v>174.69</v>
      </c>
      <c r="J2747" s="1">
        <v>72.422916666666637</v>
      </c>
      <c r="K2747" s="230">
        <v>551.02992675270241</v>
      </c>
    </row>
    <row r="2748" spans="1:11" x14ac:dyDescent="0.3">
      <c r="A2748" s="88" t="s">
        <v>484</v>
      </c>
      <c r="B2748" s="24">
        <v>39635</v>
      </c>
      <c r="C2748" s="1">
        <v>15.359935489101305</v>
      </c>
      <c r="D2748" s="1">
        <v>25.1</v>
      </c>
      <c r="E2748" s="1">
        <v>14.8</v>
      </c>
      <c r="F2748" s="1">
        <v>7.35</v>
      </c>
      <c r="G2748" s="1"/>
      <c r="H2748" s="126">
        <f t="shared" si="42"/>
        <v>1.6840627760776321</v>
      </c>
      <c r="I2748" s="89">
        <v>118.80000000000001</v>
      </c>
      <c r="J2748" s="1">
        <v>73.061458333333348</v>
      </c>
      <c r="K2748" s="230">
        <v>553.13833160978788</v>
      </c>
    </row>
    <row r="2749" spans="1:11" x14ac:dyDescent="0.3">
      <c r="A2749" s="88" t="s">
        <v>484</v>
      </c>
      <c r="B2749" s="24">
        <v>39636</v>
      </c>
      <c r="C2749" s="1">
        <v>19.434000796725243</v>
      </c>
      <c r="D2749" s="1">
        <v>22.2</v>
      </c>
      <c r="E2749" s="1">
        <v>13.6</v>
      </c>
      <c r="F2749" s="1">
        <v>2.5550000000000002</v>
      </c>
      <c r="G2749" s="1"/>
      <c r="H2749" s="126">
        <f t="shared" si="42"/>
        <v>1.55808835361568</v>
      </c>
      <c r="I2749" s="89">
        <v>189.09000000000003</v>
      </c>
      <c r="J2749" s="1">
        <v>72.267708333333317</v>
      </c>
      <c r="K2749" s="230">
        <v>549.32199488491051</v>
      </c>
    </row>
    <row r="2750" spans="1:11" x14ac:dyDescent="0.3">
      <c r="A2750" s="88" t="s">
        <v>484</v>
      </c>
      <c r="B2750" s="24">
        <v>39637</v>
      </c>
      <c r="C2750" s="1">
        <v>17.533230324723206</v>
      </c>
      <c r="D2750" s="1">
        <v>21.3</v>
      </c>
      <c r="E2750" s="1">
        <v>12.9</v>
      </c>
      <c r="F2750" s="1">
        <v>2.98</v>
      </c>
      <c r="G2750" s="1"/>
      <c r="H2750" s="126">
        <f t="shared" si="42"/>
        <v>1.4884887514247067</v>
      </c>
      <c r="I2750" s="89">
        <v>324.27</v>
      </c>
      <c r="J2750" s="1">
        <v>73.707291666666691</v>
      </c>
      <c r="K2750" s="230">
        <v>547.3760755508913</v>
      </c>
    </row>
    <row r="2751" spans="1:11" x14ac:dyDescent="0.3">
      <c r="A2751" s="88" t="s">
        <v>484</v>
      </c>
      <c r="B2751" s="24">
        <v>39638</v>
      </c>
      <c r="C2751" s="1">
        <v>14.106848055934224</v>
      </c>
      <c r="D2751" s="1">
        <v>20</v>
      </c>
      <c r="E2751" s="1">
        <v>11.9</v>
      </c>
      <c r="F2751" s="1">
        <v>0</v>
      </c>
      <c r="G2751" s="1"/>
      <c r="H2751" s="126">
        <f t="shared" si="42"/>
        <v>1.3937984130245886</v>
      </c>
      <c r="I2751" s="89">
        <v>327.60000000000025</v>
      </c>
      <c r="J2751" s="1">
        <v>68.821875000000006</v>
      </c>
      <c r="K2751" s="230">
        <v>550.86469838572725</v>
      </c>
    </row>
    <row r="2752" spans="1:11" x14ac:dyDescent="0.3">
      <c r="A2752" s="88" t="s">
        <v>484</v>
      </c>
      <c r="B2752" s="24">
        <v>39639</v>
      </c>
      <c r="C2752" s="1">
        <v>7.5193875456748751</v>
      </c>
      <c r="D2752" s="1">
        <v>20</v>
      </c>
      <c r="E2752" s="1">
        <v>13.5</v>
      </c>
      <c r="F2752" s="1">
        <v>8.6449999999999996</v>
      </c>
      <c r="G2752" s="1"/>
      <c r="H2752" s="126">
        <f t="shared" si="42"/>
        <v>1.5479739445616383</v>
      </c>
      <c r="I2752" s="89">
        <v>137.79</v>
      </c>
      <c r="J2752" s="1">
        <v>89.838541666666671</v>
      </c>
      <c r="K2752" s="230">
        <v>549.40320855614948</v>
      </c>
    </row>
    <row r="2753" spans="1:11" x14ac:dyDescent="0.3">
      <c r="A2753" s="88" t="s">
        <v>484</v>
      </c>
      <c r="B2753" s="24">
        <v>39640</v>
      </c>
      <c r="C2753" s="1">
        <v>10.019677484468058</v>
      </c>
      <c r="D2753" s="1">
        <v>21.1</v>
      </c>
      <c r="E2753" s="1">
        <v>16.7</v>
      </c>
      <c r="F2753" s="1">
        <v>0.9</v>
      </c>
      <c r="G2753" s="1"/>
      <c r="H2753" s="126">
        <f t="shared" si="42"/>
        <v>1.9018178351702275</v>
      </c>
      <c r="I2753" s="89">
        <v>154.17000000000002</v>
      </c>
      <c r="J2753" s="1">
        <v>86.060416666666654</v>
      </c>
      <c r="K2753" s="230">
        <v>549.169484536082</v>
      </c>
    </row>
    <row r="2754" spans="1:11" x14ac:dyDescent="0.3">
      <c r="A2754" s="88" t="s">
        <v>484</v>
      </c>
      <c r="B2754" s="24">
        <v>39641</v>
      </c>
      <c r="C2754" s="1">
        <v>18.641222772005381</v>
      </c>
      <c r="D2754" s="1">
        <v>22.1</v>
      </c>
      <c r="E2754" s="1">
        <v>13.2</v>
      </c>
      <c r="F2754" s="1">
        <v>0.64</v>
      </c>
      <c r="G2754" s="1"/>
      <c r="H2754" s="126">
        <f t="shared" si="42"/>
        <v>1.5179756049640964</v>
      </c>
      <c r="I2754" s="89">
        <v>243.45000000000002</v>
      </c>
      <c r="J2754" s="1">
        <v>71.888541666666669</v>
      </c>
      <c r="K2754" s="230">
        <v>549.07682449270419</v>
      </c>
    </row>
    <row r="2755" spans="1:11" x14ac:dyDescent="0.3">
      <c r="A2755" s="88" t="s">
        <v>484</v>
      </c>
      <c r="B2755" s="24">
        <v>39642</v>
      </c>
      <c r="C2755" s="1">
        <v>16.045299640074461</v>
      </c>
      <c r="D2755" s="1">
        <v>21</v>
      </c>
      <c r="E2755" s="1">
        <v>11</v>
      </c>
      <c r="F2755" s="1">
        <v>0</v>
      </c>
      <c r="G2755" s="1"/>
      <c r="H2755" s="126">
        <f t="shared" si="42"/>
        <v>1.313143973467028</v>
      </c>
      <c r="I2755" s="89">
        <v>111.15000000000003</v>
      </c>
      <c r="J2755" s="1">
        <v>69.115624999999994</v>
      </c>
      <c r="K2755" s="230">
        <v>548.20397085610227</v>
      </c>
    </row>
    <row r="2756" spans="1:11" x14ac:dyDescent="0.3">
      <c r="A2756" s="88" t="s">
        <v>484</v>
      </c>
      <c r="B2756" s="24">
        <v>39643</v>
      </c>
      <c r="C2756" s="1">
        <v>21.079735511322085</v>
      </c>
      <c r="D2756" s="1">
        <v>21.4</v>
      </c>
      <c r="E2756" s="1">
        <v>10.8</v>
      </c>
      <c r="F2756" s="1">
        <v>0</v>
      </c>
      <c r="G2756" s="1"/>
      <c r="H2756" s="126">
        <f t="shared" ref="H2756:H2819" si="43">0.611*EXP((17.27*E2756)/(E2756+237.3))</f>
        <v>1.2957882396636844</v>
      </c>
      <c r="I2756" s="89">
        <v>290.60999999999996</v>
      </c>
      <c r="J2756" s="1">
        <v>68.545833333333334</v>
      </c>
      <c r="K2756" s="230">
        <v>550.40391945343458</v>
      </c>
    </row>
    <row r="2757" spans="1:11" x14ac:dyDescent="0.3">
      <c r="A2757" s="88" t="s">
        <v>484</v>
      </c>
      <c r="B2757" s="24">
        <v>39644</v>
      </c>
      <c r="C2757" s="1">
        <v>14.245261565766706</v>
      </c>
      <c r="D2757" s="1">
        <v>24.5</v>
      </c>
      <c r="E2757" s="1">
        <v>12.8</v>
      </c>
      <c r="F2757" s="1">
        <v>0</v>
      </c>
      <c r="G2757" s="1"/>
      <c r="H2757" s="126">
        <f t="shared" si="43"/>
        <v>1.4787721750550831</v>
      </c>
      <c r="I2757" s="89">
        <v>289.34999999999991</v>
      </c>
      <c r="J2757" s="1">
        <v>64.186458333333306</v>
      </c>
      <c r="K2757" s="230">
        <v>549.36319420489826</v>
      </c>
    </row>
    <row r="2758" spans="1:11" x14ac:dyDescent="0.3">
      <c r="A2758" s="88" t="s">
        <v>484</v>
      </c>
      <c r="B2758" s="24">
        <v>39645</v>
      </c>
      <c r="C2758" s="1">
        <v>5.3012915722415999</v>
      </c>
      <c r="D2758" s="1">
        <v>18.399999999999999</v>
      </c>
      <c r="E2758" s="1">
        <v>12.5</v>
      </c>
      <c r="F2758" s="1">
        <v>7.13</v>
      </c>
      <c r="G2758" s="1"/>
      <c r="H2758" s="126">
        <f t="shared" si="43"/>
        <v>1.4499557420926388</v>
      </c>
      <c r="I2758" s="89">
        <v>228.87</v>
      </c>
      <c r="J2758" s="1">
        <v>87.903125000000003</v>
      </c>
      <c r="K2758" s="230">
        <v>549.89811183732627</v>
      </c>
    </row>
    <row r="2759" spans="1:11" x14ac:dyDescent="0.3">
      <c r="A2759" s="88" t="s">
        <v>484</v>
      </c>
      <c r="B2759" s="24">
        <v>39646</v>
      </c>
      <c r="C2759" s="1">
        <v>13.187114637337302</v>
      </c>
      <c r="D2759" s="1">
        <v>19.2</v>
      </c>
      <c r="E2759" s="1">
        <v>9.6</v>
      </c>
      <c r="F2759" s="1">
        <v>0</v>
      </c>
      <c r="G2759" s="1"/>
      <c r="H2759" s="126">
        <f t="shared" si="43"/>
        <v>1.1958248668287446</v>
      </c>
      <c r="I2759" s="89">
        <v>223.20000000000005</v>
      </c>
      <c r="J2759" s="1">
        <v>72.533333333333317</v>
      </c>
      <c r="K2759" s="230">
        <v>548.0188172043006</v>
      </c>
    </row>
    <row r="2760" spans="1:11" x14ac:dyDescent="0.3">
      <c r="A2760" s="88" t="s">
        <v>484</v>
      </c>
      <c r="B2760" s="24">
        <v>39647</v>
      </c>
      <c r="C2760" s="1">
        <v>4.3026814747140767</v>
      </c>
      <c r="D2760" s="1">
        <v>17.7</v>
      </c>
      <c r="E2760" s="1">
        <v>12.8</v>
      </c>
      <c r="F2760" s="1">
        <v>0</v>
      </c>
      <c r="G2760" s="1"/>
      <c r="H2760" s="126">
        <f t="shared" si="43"/>
        <v>1.4787721750550831</v>
      </c>
      <c r="I2760" s="89">
        <v>182.97</v>
      </c>
      <c r="J2760" s="1">
        <v>83.985416666666652</v>
      </c>
      <c r="K2760" s="230">
        <v>546.66126629422831</v>
      </c>
    </row>
    <row r="2761" spans="1:11" x14ac:dyDescent="0.3">
      <c r="A2761" s="88" t="s">
        <v>484</v>
      </c>
      <c r="B2761" s="24">
        <v>39648</v>
      </c>
      <c r="C2761" s="1">
        <v>9.4893057745137881</v>
      </c>
      <c r="D2761" s="1">
        <v>23.4</v>
      </c>
      <c r="E2761" s="1">
        <v>12.7</v>
      </c>
      <c r="F2761" s="1">
        <v>0</v>
      </c>
      <c r="G2761" s="1"/>
      <c r="H2761" s="126">
        <f t="shared" si="43"/>
        <v>1.4691113294420337</v>
      </c>
      <c r="I2761" s="89">
        <v>212.93999999999994</v>
      </c>
      <c r="J2761" s="1">
        <v>80.488541666666706</v>
      </c>
      <c r="K2761" s="230">
        <v>546.98459394904614</v>
      </c>
    </row>
    <row r="2762" spans="1:11" x14ac:dyDescent="0.3">
      <c r="A2762" s="88" t="s">
        <v>484</v>
      </c>
      <c r="B2762" s="24">
        <v>39649</v>
      </c>
      <c r="C2762" s="1">
        <v>7.2360350788654717</v>
      </c>
      <c r="D2762" s="1">
        <v>17.600000000000001</v>
      </c>
      <c r="E2762" s="1">
        <v>10.5</v>
      </c>
      <c r="F2762" s="1">
        <v>0</v>
      </c>
      <c r="G2762" s="1"/>
      <c r="H2762" s="126">
        <f t="shared" si="43"/>
        <v>1.2701326466613394</v>
      </c>
      <c r="I2762" s="89">
        <v>265.85999999999996</v>
      </c>
      <c r="J2762" s="1">
        <v>82.940624999999997</v>
      </c>
      <c r="K2762" s="230">
        <v>545.67910271546702</v>
      </c>
    </row>
    <row r="2763" spans="1:11" x14ac:dyDescent="0.3">
      <c r="A2763" s="88" t="s">
        <v>484</v>
      </c>
      <c r="B2763" s="24">
        <v>39650</v>
      </c>
      <c r="C2763" s="1">
        <v>4.6459736655340613</v>
      </c>
      <c r="D2763" s="1">
        <v>14.5</v>
      </c>
      <c r="E2763" s="1">
        <v>10.3</v>
      </c>
      <c r="F2763" s="1">
        <v>0</v>
      </c>
      <c r="G2763" s="1"/>
      <c r="H2763" s="126">
        <f t="shared" si="43"/>
        <v>1.2532780017936267</v>
      </c>
      <c r="I2763" s="89">
        <v>375.57</v>
      </c>
      <c r="J2763" s="1">
        <v>85.412499999999994</v>
      </c>
      <c r="K2763" s="230">
        <v>525.56600000000003</v>
      </c>
    </row>
    <row r="2764" spans="1:11" x14ac:dyDescent="0.3">
      <c r="A2764" s="88" t="s">
        <v>484</v>
      </c>
      <c r="B2764" s="24">
        <v>39651</v>
      </c>
      <c r="C2764" s="1">
        <v>12.855820571798532</v>
      </c>
      <c r="D2764" s="1">
        <v>19.5</v>
      </c>
      <c r="E2764" s="1">
        <v>13.1</v>
      </c>
      <c r="F2764" s="1">
        <v>0</v>
      </c>
      <c r="G2764" s="1"/>
      <c r="H2764" s="126">
        <f t="shared" si="43"/>
        <v>1.5080901913058991</v>
      </c>
      <c r="I2764" s="89">
        <v>349.65</v>
      </c>
      <c r="J2764" s="1">
        <v>79.206249999999997</v>
      </c>
      <c r="K2764" s="230">
        <v>549.56713928273575</v>
      </c>
    </row>
    <row r="2765" spans="1:11" x14ac:dyDescent="0.3">
      <c r="A2765" s="88" t="s">
        <v>484</v>
      </c>
      <c r="B2765" s="24">
        <v>39652</v>
      </c>
      <c r="C2765" s="1">
        <v>25.156136038785952</v>
      </c>
      <c r="D2765" s="1">
        <v>22.7</v>
      </c>
      <c r="E2765" s="1">
        <v>10.6</v>
      </c>
      <c r="F2765" s="1">
        <v>0.02</v>
      </c>
      <c r="G2765" s="1"/>
      <c r="H2765" s="126">
        <f t="shared" si="43"/>
        <v>1.2786344448492586</v>
      </c>
      <c r="I2765" s="89">
        <v>142.02000000000001</v>
      </c>
      <c r="J2765" s="1">
        <v>70.19479166666666</v>
      </c>
      <c r="K2765" s="230">
        <v>549.35305886879587</v>
      </c>
    </row>
    <row r="2766" spans="1:11" x14ac:dyDescent="0.3">
      <c r="A2766" s="88" t="s">
        <v>484</v>
      </c>
      <c r="B2766" s="24">
        <v>39653</v>
      </c>
      <c r="C2766" s="1">
        <v>25.110212772440025</v>
      </c>
      <c r="D2766" s="1">
        <v>25.5</v>
      </c>
      <c r="E2766" s="1">
        <v>10.5</v>
      </c>
      <c r="F2766" s="1">
        <v>0</v>
      </c>
      <c r="G2766" s="1"/>
      <c r="H2766" s="126">
        <f t="shared" si="43"/>
        <v>1.2701326466613394</v>
      </c>
      <c r="I2766" s="89">
        <v>208.98000000000002</v>
      </c>
      <c r="J2766" s="1">
        <v>63.77083333333335</v>
      </c>
      <c r="K2766" s="230">
        <v>552.29985337243295</v>
      </c>
    </row>
    <row r="2767" spans="1:11" x14ac:dyDescent="0.3">
      <c r="A2767" s="88" t="s">
        <v>484</v>
      </c>
      <c r="B2767" s="24">
        <v>39654</v>
      </c>
      <c r="C2767" s="1">
        <v>17.786628379582442</v>
      </c>
      <c r="D2767" s="1">
        <v>28.4</v>
      </c>
      <c r="E2767" s="1">
        <v>16.399999999999999</v>
      </c>
      <c r="F2767" s="1">
        <v>0.97</v>
      </c>
      <c r="G2767" s="1"/>
      <c r="H2767" s="126">
        <f t="shared" si="43"/>
        <v>1.8658768743849428</v>
      </c>
      <c r="I2767" s="89">
        <v>194.30999999999995</v>
      </c>
      <c r="J2767" s="1">
        <v>68.314583333333346</v>
      </c>
      <c r="K2767" s="230">
        <v>549.60679806918654</v>
      </c>
    </row>
    <row r="2768" spans="1:11" x14ac:dyDescent="0.3">
      <c r="A2768" s="88" t="s">
        <v>484</v>
      </c>
      <c r="B2768" s="24">
        <v>39655</v>
      </c>
      <c r="C2768" s="1">
        <v>21.391873057524403</v>
      </c>
      <c r="D2768" s="1">
        <v>30.4</v>
      </c>
      <c r="E2768" s="1">
        <v>18</v>
      </c>
      <c r="F2768" s="1">
        <v>0.01</v>
      </c>
      <c r="G2768" s="1"/>
      <c r="H2768" s="126">
        <f t="shared" si="43"/>
        <v>2.0646650340955413</v>
      </c>
      <c r="I2768" s="89">
        <v>247.05</v>
      </c>
      <c r="J2768" s="1">
        <v>68.835416666666674</v>
      </c>
      <c r="K2768" s="230">
        <v>549.6</v>
      </c>
    </row>
    <row r="2769" spans="1:11" x14ac:dyDescent="0.3">
      <c r="A2769" s="88" t="s">
        <v>484</v>
      </c>
      <c r="B2769" s="24">
        <v>39656</v>
      </c>
      <c r="C2769" s="1">
        <v>23.378294303580702</v>
      </c>
      <c r="D2769" s="1">
        <v>30.9</v>
      </c>
      <c r="E2769" s="1">
        <v>17.7</v>
      </c>
      <c r="F2769" s="1">
        <v>0</v>
      </c>
      <c r="G2769" s="1"/>
      <c r="H2769" s="126">
        <f t="shared" si="43"/>
        <v>2.0260394077720378</v>
      </c>
      <c r="I2769" s="89">
        <v>194.22000000000008</v>
      </c>
      <c r="J2769" s="1">
        <v>59.547916666666659</v>
      </c>
      <c r="K2769" s="230">
        <v>549.12917628945536</v>
      </c>
    </row>
    <row r="2770" spans="1:11" x14ac:dyDescent="0.3">
      <c r="A2770" s="88" t="s">
        <v>484</v>
      </c>
      <c r="B2770" s="24">
        <v>39657</v>
      </c>
      <c r="C2770" s="1">
        <v>24.188166843760747</v>
      </c>
      <c r="D2770" s="1">
        <v>32.200000000000003</v>
      </c>
      <c r="E2770" s="1">
        <v>15.3</v>
      </c>
      <c r="F2770" s="1">
        <v>0</v>
      </c>
      <c r="G2770" s="1"/>
      <c r="H2770" s="126">
        <f t="shared" si="43"/>
        <v>1.739133169821284</v>
      </c>
      <c r="I2770" s="89">
        <v>229.58999999999997</v>
      </c>
      <c r="J2770" s="1">
        <v>51.27604166666665</v>
      </c>
      <c r="K2770" s="230">
        <v>549.81169660678665</v>
      </c>
    </row>
    <row r="2771" spans="1:11" x14ac:dyDescent="0.3">
      <c r="A2771" s="88" t="s">
        <v>484</v>
      </c>
      <c r="B2771" s="24">
        <v>39658</v>
      </c>
      <c r="C2771" s="1">
        <v>20.123581779907941</v>
      </c>
      <c r="D2771" s="1">
        <v>32.6</v>
      </c>
      <c r="E2771" s="1">
        <v>15.5</v>
      </c>
      <c r="F2771" s="1">
        <v>1.375</v>
      </c>
      <c r="G2771" s="1"/>
      <c r="H2771" s="126">
        <f t="shared" si="43"/>
        <v>1.7615995264429876</v>
      </c>
      <c r="I2771" s="89">
        <v>237.78000000000003</v>
      </c>
      <c r="J2771" s="1">
        <v>56.532291666666644</v>
      </c>
      <c r="K2771" s="230">
        <v>549.4215314632296</v>
      </c>
    </row>
    <row r="2772" spans="1:11" x14ac:dyDescent="0.3">
      <c r="A2772" s="88" t="s">
        <v>484</v>
      </c>
      <c r="B2772" s="24">
        <v>39659</v>
      </c>
      <c r="C2772" s="1">
        <v>20.89397890032037</v>
      </c>
      <c r="D2772" s="1">
        <v>27.5</v>
      </c>
      <c r="E2772" s="1">
        <v>18</v>
      </c>
      <c r="F2772" s="1">
        <v>3.5000000000000003E-2</v>
      </c>
      <c r="G2772" s="1"/>
      <c r="H2772" s="126">
        <f t="shared" si="43"/>
        <v>2.0646650340955413</v>
      </c>
      <c r="I2772" s="89">
        <v>162.18</v>
      </c>
      <c r="J2772" s="1">
        <v>72.798958333333346</v>
      </c>
      <c r="K2772" s="230">
        <v>549.36676806083517</v>
      </c>
    </row>
    <row r="2773" spans="1:11" x14ac:dyDescent="0.3">
      <c r="A2773" s="88" t="s">
        <v>484</v>
      </c>
      <c r="B2773" s="24">
        <v>39660</v>
      </c>
      <c r="C2773" s="1">
        <v>23.041623381099861</v>
      </c>
      <c r="D2773" s="1">
        <v>31.7</v>
      </c>
      <c r="E2773" s="1">
        <v>16.5</v>
      </c>
      <c r="F2773" s="1">
        <v>1.4999999999999999E-2</v>
      </c>
      <c r="G2773" s="1"/>
      <c r="H2773" s="126">
        <f t="shared" si="43"/>
        <v>1.8777904954698514</v>
      </c>
      <c r="I2773" s="89">
        <v>262.98</v>
      </c>
      <c r="J2773" s="1">
        <v>52.392708333333331</v>
      </c>
      <c r="K2773" s="230">
        <v>549.7121249999999</v>
      </c>
    </row>
    <row r="2774" spans="1:11" x14ac:dyDescent="0.3">
      <c r="A2774" s="88" t="s">
        <v>484</v>
      </c>
      <c r="B2774" s="24">
        <v>39661</v>
      </c>
      <c r="C2774" s="1">
        <v>14.361643501363805</v>
      </c>
      <c r="D2774" s="1">
        <v>29.1</v>
      </c>
      <c r="E2774" s="1">
        <v>18.2</v>
      </c>
      <c r="F2774" s="1">
        <v>14.574999999999999</v>
      </c>
      <c r="G2774" s="1"/>
      <c r="H2774" s="126">
        <f t="shared" si="43"/>
        <v>2.0907721782330535</v>
      </c>
      <c r="I2774" s="89">
        <v>204.93</v>
      </c>
      <c r="J2774" s="1">
        <v>65.442708333333343</v>
      </c>
      <c r="K2774" s="230">
        <v>549.62717107715139</v>
      </c>
    </row>
    <row r="2775" spans="1:11" x14ac:dyDescent="0.3">
      <c r="A2775" s="88" t="s">
        <v>484</v>
      </c>
      <c r="B2775" s="24">
        <v>39662</v>
      </c>
      <c r="C2775" s="1">
        <v>18.329014199335251</v>
      </c>
      <c r="D2775" s="1">
        <v>25.1</v>
      </c>
      <c r="E2775" s="1">
        <v>17</v>
      </c>
      <c r="F2775" s="1">
        <v>1.7549999999999999</v>
      </c>
      <c r="G2775" s="1"/>
      <c r="H2775" s="126">
        <f t="shared" si="43"/>
        <v>1.9383638408527206</v>
      </c>
      <c r="I2775" s="89">
        <v>127.53000000000002</v>
      </c>
      <c r="J2775" s="1">
        <v>67.282291666666708</v>
      </c>
      <c r="K2775" s="230">
        <v>549.83013035381828</v>
      </c>
    </row>
    <row r="2776" spans="1:11" x14ac:dyDescent="0.3">
      <c r="A2776" s="88" t="s">
        <v>484</v>
      </c>
      <c r="B2776" s="24">
        <v>39663</v>
      </c>
      <c r="C2776" s="1">
        <v>17.013806871552912</v>
      </c>
      <c r="D2776" s="1">
        <v>24.7</v>
      </c>
      <c r="E2776" s="1">
        <v>17.899999999999999</v>
      </c>
      <c r="F2776" s="1">
        <v>0.105</v>
      </c>
      <c r="G2776" s="1"/>
      <c r="H2776" s="126">
        <f t="shared" si="43"/>
        <v>2.0517188127308259</v>
      </c>
      <c r="I2776" s="89">
        <v>279.81000000000017</v>
      </c>
      <c r="J2776" s="1">
        <v>66.303124999999994</v>
      </c>
      <c r="K2776" s="230">
        <v>549.50959324635312</v>
      </c>
    </row>
    <row r="2777" spans="1:11" x14ac:dyDescent="0.3">
      <c r="A2777" s="88" t="s">
        <v>484</v>
      </c>
      <c r="B2777" s="24">
        <v>39664</v>
      </c>
      <c r="C2777" s="1">
        <v>18.85886959541067</v>
      </c>
      <c r="D2777" s="1">
        <v>22</v>
      </c>
      <c r="E2777" s="1">
        <v>14.8</v>
      </c>
      <c r="F2777" s="1">
        <v>5.1150000000000002</v>
      </c>
      <c r="G2777" s="1"/>
      <c r="H2777" s="126">
        <f t="shared" si="43"/>
        <v>1.6840627760776321</v>
      </c>
      <c r="I2777" s="89">
        <v>455.22</v>
      </c>
      <c r="J2777" s="1">
        <v>68.981250000000003</v>
      </c>
      <c r="K2777" s="230">
        <v>548.46937315944422</v>
      </c>
    </row>
    <row r="2778" spans="1:11" x14ac:dyDescent="0.3">
      <c r="A2778" s="88" t="s">
        <v>484</v>
      </c>
      <c r="B2778" s="24">
        <v>39665</v>
      </c>
      <c r="C2778" s="1">
        <v>17.62183832038194</v>
      </c>
      <c r="D2778" s="1">
        <v>22.6</v>
      </c>
      <c r="E2778" s="1">
        <v>12.9</v>
      </c>
      <c r="F2778" s="1">
        <v>0</v>
      </c>
      <c r="G2778" s="1"/>
      <c r="H2778" s="126">
        <f t="shared" si="43"/>
        <v>1.4884887514247067</v>
      </c>
      <c r="I2778" s="89">
        <v>358.28999999999996</v>
      </c>
      <c r="J2778" s="1">
        <v>64.910416666666677</v>
      </c>
      <c r="K2778" s="230">
        <v>550.18837209302171</v>
      </c>
    </row>
    <row r="2779" spans="1:11" x14ac:dyDescent="0.3">
      <c r="A2779" s="88" t="s">
        <v>484</v>
      </c>
      <c r="B2779" s="24">
        <v>39666</v>
      </c>
      <c r="C2779" s="1">
        <v>15.332713626232906</v>
      </c>
      <c r="D2779" s="1">
        <v>27.5</v>
      </c>
      <c r="E2779" s="1">
        <v>13.1</v>
      </c>
      <c r="F2779" s="1">
        <v>0.14499999999999999</v>
      </c>
      <c r="G2779" s="1"/>
      <c r="H2779" s="126">
        <f t="shared" si="43"/>
        <v>1.5080901913058991</v>
      </c>
      <c r="I2779" s="89">
        <v>117.99000000000001</v>
      </c>
      <c r="J2779" s="1">
        <v>69.109375</v>
      </c>
      <c r="K2779" s="230">
        <v>548.18054552747674</v>
      </c>
    </row>
    <row r="2780" spans="1:11" x14ac:dyDescent="0.3">
      <c r="A2780" s="88" t="s">
        <v>484</v>
      </c>
      <c r="B2780" s="24">
        <v>39667</v>
      </c>
      <c r="C2780" s="1">
        <v>21.27712046201707</v>
      </c>
      <c r="D2780" s="1">
        <v>32.299999999999997</v>
      </c>
      <c r="E2780" s="1">
        <v>18.399999999999999</v>
      </c>
      <c r="F2780" s="1">
        <v>0.375</v>
      </c>
      <c r="G2780" s="1"/>
      <c r="H2780" s="126">
        <f t="shared" si="43"/>
        <v>2.1171678236591673</v>
      </c>
      <c r="I2780" s="89">
        <v>228.77999999999997</v>
      </c>
      <c r="J2780" s="1">
        <v>54.923958333333324</v>
      </c>
      <c r="K2780" s="230">
        <v>549.58569248378444</v>
      </c>
    </row>
    <row r="2781" spans="1:11" x14ac:dyDescent="0.3">
      <c r="A2781" s="88" t="s">
        <v>484</v>
      </c>
      <c r="B2781" s="24">
        <v>39668</v>
      </c>
      <c r="C2781" s="1">
        <v>16.396140249956435</v>
      </c>
      <c r="D2781" s="1">
        <v>23.6</v>
      </c>
      <c r="E2781" s="1">
        <v>14.1</v>
      </c>
      <c r="F2781" s="1">
        <v>0.35</v>
      </c>
      <c r="G2781" s="1"/>
      <c r="H2781" s="126">
        <f t="shared" si="43"/>
        <v>1.6095352919714581</v>
      </c>
      <c r="I2781" s="89">
        <v>308.61</v>
      </c>
      <c r="J2781" s="1">
        <v>71.791666666666671</v>
      </c>
      <c r="K2781" s="230">
        <v>548.80513927030324</v>
      </c>
    </row>
    <row r="2782" spans="1:11" x14ac:dyDescent="0.3">
      <c r="A2782" s="88" t="s">
        <v>484</v>
      </c>
      <c r="B2782" s="24">
        <v>39669</v>
      </c>
      <c r="C2782" s="1">
        <v>16.926687063992386</v>
      </c>
      <c r="D2782" s="1">
        <v>20.2</v>
      </c>
      <c r="E2782" s="1">
        <v>11.8</v>
      </c>
      <c r="F2782" s="1">
        <v>0</v>
      </c>
      <c r="G2782" s="1"/>
      <c r="H2782" s="126">
        <f t="shared" si="43"/>
        <v>1.3846270162501679</v>
      </c>
      <c r="I2782" s="89">
        <v>317.70000000000022</v>
      </c>
      <c r="J2782" s="1">
        <v>64.584374999999994</v>
      </c>
      <c r="K2782" s="230">
        <v>549.59794323323649</v>
      </c>
    </row>
    <row r="2783" spans="1:11" x14ac:dyDescent="0.3">
      <c r="A2783" s="88" t="s">
        <v>484</v>
      </c>
      <c r="B2783" s="24">
        <v>39670</v>
      </c>
      <c r="C2783" s="1">
        <v>5.4720452859063959</v>
      </c>
      <c r="D2783" s="1">
        <v>19.600000000000001</v>
      </c>
      <c r="E2783" s="1">
        <v>13.4</v>
      </c>
      <c r="F2783" s="1">
        <v>4.7949999999999999</v>
      </c>
      <c r="G2783" s="1"/>
      <c r="H2783" s="126">
        <f t="shared" si="43"/>
        <v>1.5379172032464434</v>
      </c>
      <c r="I2783" s="89">
        <v>163.35000000000002</v>
      </c>
      <c r="J2783" s="1">
        <v>83.477083333333326</v>
      </c>
      <c r="K2783" s="230">
        <v>549.50091012514179</v>
      </c>
    </row>
    <row r="2784" spans="1:11" x14ac:dyDescent="0.3">
      <c r="A2784" s="88" t="s">
        <v>484</v>
      </c>
      <c r="B2784" s="24">
        <v>39671</v>
      </c>
      <c r="C2784" s="1">
        <v>17.218057318292086</v>
      </c>
      <c r="D2784" s="1">
        <v>22.8</v>
      </c>
      <c r="E2784" s="1">
        <v>14.7</v>
      </c>
      <c r="F2784" s="1">
        <v>0.105</v>
      </c>
      <c r="G2784" s="1"/>
      <c r="H2784" s="126">
        <f t="shared" si="43"/>
        <v>1.673234110655023</v>
      </c>
      <c r="I2784" s="89">
        <v>213.12</v>
      </c>
      <c r="J2784" s="1">
        <v>67.297916666666652</v>
      </c>
      <c r="K2784" s="230">
        <v>549.02881002087565</v>
      </c>
    </row>
    <row r="2785" spans="1:11" x14ac:dyDescent="0.3">
      <c r="A2785" s="88" t="s">
        <v>484</v>
      </c>
      <c r="B2785" s="24">
        <v>39672</v>
      </c>
      <c r="C2785" s="1">
        <v>5.7947188223657395</v>
      </c>
      <c r="D2785" s="1">
        <v>22.2</v>
      </c>
      <c r="E2785" s="1">
        <v>14.8</v>
      </c>
      <c r="F2785" s="1">
        <v>12.525</v>
      </c>
      <c r="G2785" s="1"/>
      <c r="H2785" s="126">
        <f t="shared" si="43"/>
        <v>1.6840627760776321</v>
      </c>
      <c r="I2785" s="89">
        <v>149.94000000000005</v>
      </c>
      <c r="J2785" s="1">
        <v>87.831249999999997</v>
      </c>
      <c r="K2785" s="230">
        <v>549.61152446421306</v>
      </c>
    </row>
    <row r="2786" spans="1:11" x14ac:dyDescent="0.3">
      <c r="A2786" s="88" t="s">
        <v>484</v>
      </c>
      <c r="B2786" s="24">
        <v>39673</v>
      </c>
      <c r="C2786" s="1">
        <v>16.503439714949725</v>
      </c>
      <c r="D2786" s="1">
        <v>22.1</v>
      </c>
      <c r="E2786" s="1">
        <v>12.4</v>
      </c>
      <c r="F2786" s="1">
        <v>6.28</v>
      </c>
      <c r="G2786" s="1"/>
      <c r="H2786" s="126">
        <f t="shared" si="43"/>
        <v>1.4404604588486194</v>
      </c>
      <c r="I2786" s="89">
        <v>250.37999999999994</v>
      </c>
      <c r="J2786" s="1">
        <v>73.558333333333323</v>
      </c>
      <c r="K2786" s="230">
        <v>548.89405286343583</v>
      </c>
    </row>
    <row r="2787" spans="1:11" x14ac:dyDescent="0.3">
      <c r="A2787" s="88" t="s">
        <v>484</v>
      </c>
      <c r="B2787" s="24">
        <v>39674</v>
      </c>
      <c r="C2787" s="1">
        <v>21.117566102488741</v>
      </c>
      <c r="D2787" s="1">
        <v>21.9</v>
      </c>
      <c r="E2787" s="1">
        <v>12.6</v>
      </c>
      <c r="F2787" s="1">
        <v>0</v>
      </c>
      <c r="G2787" s="1"/>
      <c r="H2787" s="126">
        <f t="shared" si="43"/>
        <v>1.4595059422181114</v>
      </c>
      <c r="I2787" s="89">
        <v>254.79000000000002</v>
      </c>
      <c r="J2787" s="1">
        <v>59.4</v>
      </c>
      <c r="K2787" s="230">
        <v>549.9697429414249</v>
      </c>
    </row>
    <row r="2788" spans="1:11" x14ac:dyDescent="0.3">
      <c r="A2788" s="88" t="s">
        <v>484</v>
      </c>
      <c r="B2788" s="24">
        <v>39675</v>
      </c>
      <c r="C2788" s="1">
        <v>8.6834192322358934</v>
      </c>
      <c r="D2788" s="1">
        <v>19.7</v>
      </c>
      <c r="E2788" s="1">
        <v>11.2</v>
      </c>
      <c r="F2788" s="1">
        <v>0</v>
      </c>
      <c r="G2788" s="1"/>
      <c r="H2788" s="126">
        <f t="shared" si="43"/>
        <v>1.3307036698161701</v>
      </c>
      <c r="I2788" s="89">
        <v>81.72</v>
      </c>
      <c r="J2788" s="1">
        <v>76.890625</v>
      </c>
      <c r="K2788" s="230">
        <v>550.05479838709641</v>
      </c>
    </row>
    <row r="2789" spans="1:11" x14ac:dyDescent="0.3">
      <c r="A2789" s="88" t="s">
        <v>484</v>
      </c>
      <c r="B2789" s="24">
        <v>39676</v>
      </c>
      <c r="C2789" s="1">
        <v>20.136837483691089</v>
      </c>
      <c r="D2789" s="1">
        <v>21.2</v>
      </c>
      <c r="E2789" s="1">
        <v>10.7</v>
      </c>
      <c r="F2789" s="1">
        <v>0</v>
      </c>
      <c r="G2789" s="1"/>
      <c r="H2789" s="126">
        <f t="shared" si="43"/>
        <v>1.2871862257172708</v>
      </c>
      <c r="I2789" s="89">
        <v>137.33999999999995</v>
      </c>
      <c r="J2789" s="1">
        <v>72.927083333333357</v>
      </c>
      <c r="K2789" s="230">
        <v>549.61924019607943</v>
      </c>
    </row>
    <row r="2790" spans="1:11" x14ac:dyDescent="0.3">
      <c r="A2790" s="88" t="s">
        <v>484</v>
      </c>
      <c r="B2790" s="24">
        <v>39677</v>
      </c>
      <c r="C2790" s="1">
        <v>19.15724047204198</v>
      </c>
      <c r="D2790" s="1">
        <v>23.3</v>
      </c>
      <c r="E2790" s="1">
        <v>7.9</v>
      </c>
      <c r="F2790" s="1">
        <v>0</v>
      </c>
      <c r="G2790" s="1"/>
      <c r="H2790" s="126">
        <f t="shared" si="43"/>
        <v>1.0658332114824252</v>
      </c>
      <c r="I2790" s="89">
        <v>85.769999999999953</v>
      </c>
      <c r="J2790" s="1">
        <v>65.540625000000006</v>
      </c>
      <c r="K2790" s="230">
        <v>549.0566681435547</v>
      </c>
    </row>
    <row r="2791" spans="1:11" x14ac:dyDescent="0.3">
      <c r="A2791" s="88" t="s">
        <v>484</v>
      </c>
      <c r="B2791" s="24">
        <v>39678</v>
      </c>
      <c r="C2791" s="1">
        <v>8.6454382970773498</v>
      </c>
      <c r="D2791" s="1">
        <v>23.4</v>
      </c>
      <c r="E2791" s="1">
        <v>14.3</v>
      </c>
      <c r="F2791" s="1">
        <v>2.7250000000000001</v>
      </c>
      <c r="G2791" s="1"/>
      <c r="H2791" s="126">
        <f t="shared" si="43"/>
        <v>1.6305276651269101</v>
      </c>
      <c r="I2791" s="89">
        <v>114.11999999999998</v>
      </c>
      <c r="J2791" s="1">
        <v>73.898958333333368</v>
      </c>
      <c r="K2791" s="230">
        <v>550.23282247764962</v>
      </c>
    </row>
    <row r="2792" spans="1:11" x14ac:dyDescent="0.3">
      <c r="A2792" s="88" t="s">
        <v>484</v>
      </c>
      <c r="B2792" s="24">
        <v>39679</v>
      </c>
      <c r="C2792" s="1">
        <v>13.054261296151045</v>
      </c>
      <c r="D2792" s="1">
        <v>24</v>
      </c>
      <c r="E2792" s="1">
        <v>16.100000000000001</v>
      </c>
      <c r="F2792" s="1">
        <v>0.8</v>
      </c>
      <c r="G2792" s="1"/>
      <c r="H2792" s="126">
        <f t="shared" si="43"/>
        <v>1.8305324367134694</v>
      </c>
      <c r="I2792" s="89">
        <v>199.17000000000007</v>
      </c>
      <c r="J2792" s="1">
        <v>71.951041666666683</v>
      </c>
      <c r="K2792" s="230">
        <v>549.24114562323507</v>
      </c>
    </row>
    <row r="2793" spans="1:11" x14ac:dyDescent="0.3">
      <c r="A2793" s="88" t="s">
        <v>484</v>
      </c>
      <c r="B2793" s="24">
        <v>39680</v>
      </c>
      <c r="C2793" s="1">
        <v>9.5818732302480711</v>
      </c>
      <c r="D2793" s="1">
        <v>20.5</v>
      </c>
      <c r="E2793" s="1">
        <v>15.4</v>
      </c>
      <c r="F2793" s="1">
        <v>0.94</v>
      </c>
      <c r="G2793" s="1"/>
      <c r="H2793" s="126">
        <f t="shared" si="43"/>
        <v>1.7503347478886555</v>
      </c>
      <c r="I2793" s="89">
        <v>296.82000000000011</v>
      </c>
      <c r="J2793" s="1">
        <v>74.284374999999997</v>
      </c>
      <c r="K2793" s="230">
        <v>549.65409836065601</v>
      </c>
    </row>
    <row r="2794" spans="1:11" x14ac:dyDescent="0.3">
      <c r="A2794" s="88" t="s">
        <v>484</v>
      </c>
      <c r="B2794" s="24">
        <v>39681</v>
      </c>
      <c r="C2794" s="1">
        <v>17.434225939922914</v>
      </c>
      <c r="D2794" s="1">
        <v>24.3</v>
      </c>
      <c r="E2794" s="1">
        <v>14.1</v>
      </c>
      <c r="F2794" s="1">
        <v>0</v>
      </c>
      <c r="G2794" s="1"/>
      <c r="H2794" s="126">
        <f t="shared" si="43"/>
        <v>1.6095352919714581</v>
      </c>
      <c r="I2794" s="89">
        <v>221.48999999999995</v>
      </c>
      <c r="J2794" s="1">
        <v>63.887500000000003</v>
      </c>
      <c r="K2794" s="230">
        <v>549.24783147459948</v>
      </c>
    </row>
    <row r="2795" spans="1:11" x14ac:dyDescent="0.3">
      <c r="A2795" s="88" t="s">
        <v>484</v>
      </c>
      <c r="B2795" s="24">
        <v>39682</v>
      </c>
      <c r="C2795" s="1">
        <v>7.6444709118984564</v>
      </c>
      <c r="D2795" s="1">
        <v>20.5</v>
      </c>
      <c r="E2795" s="1">
        <v>14.7</v>
      </c>
      <c r="F2795" s="1">
        <v>0</v>
      </c>
      <c r="G2795" s="1"/>
      <c r="H2795" s="126">
        <f t="shared" si="43"/>
        <v>1.673234110655023</v>
      </c>
      <c r="I2795" s="89">
        <v>108.36000000000001</v>
      </c>
      <c r="J2795" s="1">
        <v>86.552083333333357</v>
      </c>
      <c r="K2795" s="230">
        <v>547.49417059579832</v>
      </c>
    </row>
    <row r="2796" spans="1:11" x14ac:dyDescent="0.3">
      <c r="A2796" s="88" t="s">
        <v>484</v>
      </c>
      <c r="B2796" s="24">
        <v>39683</v>
      </c>
      <c r="C2796" s="1">
        <v>10.62843235777601</v>
      </c>
      <c r="D2796" s="1">
        <v>17.399999999999999</v>
      </c>
      <c r="E2796" s="1">
        <v>11.7</v>
      </c>
      <c r="F2796" s="1">
        <v>0</v>
      </c>
      <c r="G2796" s="1"/>
      <c r="H2796" s="126">
        <f t="shared" si="43"/>
        <v>1.3755086746426002</v>
      </c>
      <c r="I2796" s="89">
        <v>370.43999999999994</v>
      </c>
      <c r="J2796" s="1">
        <v>84.405208333333334</v>
      </c>
      <c r="K2796" s="230">
        <v>547.90054347826151</v>
      </c>
    </row>
    <row r="2797" spans="1:11" x14ac:dyDescent="0.3">
      <c r="A2797" s="88" t="s">
        <v>484</v>
      </c>
      <c r="B2797" s="24">
        <v>39684</v>
      </c>
      <c r="C2797" s="1">
        <v>12.695716435273543</v>
      </c>
      <c r="D2797" s="1">
        <v>19.7</v>
      </c>
      <c r="E2797" s="1">
        <v>11.5</v>
      </c>
      <c r="F2797" s="1">
        <v>0</v>
      </c>
      <c r="G2797" s="1"/>
      <c r="H2797" s="126">
        <f t="shared" si="43"/>
        <v>1.3574301110209714</v>
      </c>
      <c r="I2797" s="89">
        <v>340.02000000000004</v>
      </c>
      <c r="J2797" s="1">
        <v>78.352083333333354</v>
      </c>
      <c r="K2797" s="230">
        <v>549.97373823781038</v>
      </c>
    </row>
    <row r="2798" spans="1:11" x14ac:dyDescent="0.3">
      <c r="A2798" s="88" t="s">
        <v>484</v>
      </c>
      <c r="B2798" s="24">
        <v>39685</v>
      </c>
      <c r="C2798" s="1">
        <v>8.4957157158870835</v>
      </c>
      <c r="D2798" s="1">
        <v>20</v>
      </c>
      <c r="E2798" s="1">
        <v>12.4</v>
      </c>
      <c r="F2798" s="1">
        <v>0</v>
      </c>
      <c r="G2798" s="1"/>
      <c r="H2798" s="126">
        <f t="shared" si="43"/>
        <v>1.4404604588486194</v>
      </c>
      <c r="I2798" s="89">
        <v>158.31</v>
      </c>
      <c r="J2798" s="1">
        <v>84.22083333333336</v>
      </c>
      <c r="K2798" s="230">
        <v>548.84329942503234</v>
      </c>
    </row>
    <row r="2799" spans="1:11" x14ac:dyDescent="0.3">
      <c r="A2799" s="88" t="s">
        <v>484</v>
      </c>
      <c r="B2799" s="24">
        <v>39686</v>
      </c>
      <c r="C2799" s="1">
        <v>6.4700452574199705</v>
      </c>
      <c r="D2799" s="1">
        <v>19</v>
      </c>
      <c r="E2799" s="1">
        <v>13.4</v>
      </c>
      <c r="F2799" s="1">
        <v>0</v>
      </c>
      <c r="G2799" s="1"/>
      <c r="H2799" s="126">
        <f t="shared" si="43"/>
        <v>1.5379172032464434</v>
      </c>
      <c r="I2799" s="89">
        <v>170.91</v>
      </c>
      <c r="J2799" s="1">
        <v>83.888541666666683</v>
      </c>
      <c r="K2799" s="230">
        <v>549.80296627387384</v>
      </c>
    </row>
    <row r="2800" spans="1:11" x14ac:dyDescent="0.3">
      <c r="A2800" s="88" t="s">
        <v>484</v>
      </c>
      <c r="B2800" s="24">
        <v>39687</v>
      </c>
      <c r="C2800" s="1">
        <v>7.776219046236819</v>
      </c>
      <c r="D2800" s="1">
        <v>20.2</v>
      </c>
      <c r="E2800" s="1">
        <v>16.5</v>
      </c>
      <c r="F2800" s="1">
        <v>0</v>
      </c>
      <c r="G2800" s="1"/>
      <c r="H2800" s="126">
        <f t="shared" si="43"/>
        <v>1.8777904954698514</v>
      </c>
      <c r="I2800" s="89">
        <v>261.63</v>
      </c>
      <c r="J2800" s="1">
        <v>76.926041666666663</v>
      </c>
      <c r="K2800" s="230">
        <v>548.82562651576347</v>
      </c>
    </row>
    <row r="2801" spans="1:11" x14ac:dyDescent="0.3">
      <c r="A2801" s="88" t="s">
        <v>484</v>
      </c>
      <c r="B2801" s="24">
        <v>39688</v>
      </c>
      <c r="C2801" s="1">
        <v>5.9765756388426974</v>
      </c>
      <c r="D2801" s="1">
        <v>20.2</v>
      </c>
      <c r="E2801" s="1">
        <v>15.5</v>
      </c>
      <c r="F2801" s="1">
        <v>0.32500000000000001</v>
      </c>
      <c r="G2801" s="1"/>
      <c r="H2801" s="126">
        <f t="shared" si="43"/>
        <v>1.7615995264429876</v>
      </c>
      <c r="I2801" s="89">
        <v>274.67999999999984</v>
      </c>
      <c r="J2801" s="1">
        <v>83.301041666666649</v>
      </c>
      <c r="K2801" s="230">
        <v>549.40638122684175</v>
      </c>
    </row>
    <row r="2802" spans="1:11" x14ac:dyDescent="0.3">
      <c r="A2802" s="88" t="s">
        <v>484</v>
      </c>
      <c r="B2802" s="24">
        <v>39689</v>
      </c>
      <c r="C2802" s="1">
        <v>10.011647196602784</v>
      </c>
      <c r="D2802" s="1">
        <v>21.5</v>
      </c>
      <c r="E2802" s="1">
        <v>14.2</v>
      </c>
      <c r="F2802" s="1">
        <v>0</v>
      </c>
      <c r="G2802" s="1"/>
      <c r="H2802" s="126">
        <f t="shared" si="43"/>
        <v>1.6200016491976139</v>
      </c>
      <c r="I2802" s="89">
        <v>328.68000000000023</v>
      </c>
      <c r="J2802" s="1">
        <v>76.367708333333312</v>
      </c>
      <c r="K2802" s="230">
        <v>549.35254951538127</v>
      </c>
    </row>
    <row r="2803" spans="1:11" x14ac:dyDescent="0.3">
      <c r="A2803" s="88" t="s">
        <v>484</v>
      </c>
      <c r="B2803" s="24">
        <v>39690</v>
      </c>
      <c r="C2803" s="1">
        <v>14.715411510289888</v>
      </c>
      <c r="D2803" s="1">
        <v>21.9</v>
      </c>
      <c r="E2803" s="1">
        <v>12.2</v>
      </c>
      <c r="F2803" s="1">
        <v>0</v>
      </c>
      <c r="G2803" s="1"/>
      <c r="H2803" s="126">
        <f t="shared" si="43"/>
        <v>1.4216335674868446</v>
      </c>
      <c r="I2803" s="89">
        <v>136.89000000000001</v>
      </c>
      <c r="J2803" s="1">
        <v>76.01979166666662</v>
      </c>
      <c r="K2803" s="230">
        <v>547.67572309151376</v>
      </c>
    </row>
    <row r="2804" spans="1:11" x14ac:dyDescent="0.3">
      <c r="A2804" s="88" t="s">
        <v>484</v>
      </c>
      <c r="B2804" s="24">
        <v>39691</v>
      </c>
      <c r="C2804" s="1">
        <v>19.378174664719438</v>
      </c>
      <c r="D2804" s="1">
        <v>25.6</v>
      </c>
      <c r="E2804" s="1">
        <v>10.6</v>
      </c>
      <c r="F2804" s="1">
        <v>0</v>
      </c>
      <c r="G2804" s="1"/>
      <c r="H2804" s="126">
        <f t="shared" si="43"/>
        <v>1.2786344448492586</v>
      </c>
      <c r="I2804" s="89">
        <v>274.86</v>
      </c>
      <c r="J2804" s="1">
        <v>54.989583333333321</v>
      </c>
      <c r="K2804" s="230">
        <v>549.06877890841781</v>
      </c>
    </row>
    <row r="2805" spans="1:11" x14ac:dyDescent="0.3">
      <c r="A2805" s="88" t="s">
        <v>484</v>
      </c>
      <c r="B2805" s="24">
        <v>39692</v>
      </c>
      <c r="C2805" s="1">
        <v>7.8004071037272222</v>
      </c>
      <c r="D2805" s="1">
        <v>21.8</v>
      </c>
      <c r="E2805" s="1">
        <v>13</v>
      </c>
      <c r="F2805" s="1">
        <v>0.185</v>
      </c>
      <c r="G2805" s="1"/>
      <c r="H2805" s="126">
        <f t="shared" si="43"/>
        <v>1.498261331998219</v>
      </c>
      <c r="I2805" s="89">
        <v>219.32999999999998</v>
      </c>
      <c r="J2805" s="1">
        <v>68.745833333333337</v>
      </c>
      <c r="K2805" s="230">
        <v>547.96839495040592</v>
      </c>
    </row>
    <row r="2806" spans="1:11" x14ac:dyDescent="0.3">
      <c r="A2806" s="88" t="s">
        <v>484</v>
      </c>
      <c r="B2806" s="24">
        <v>39693</v>
      </c>
      <c r="C2806" s="1">
        <v>12.67042742275574</v>
      </c>
      <c r="D2806" s="1">
        <v>23.1</v>
      </c>
      <c r="E2806" s="1">
        <v>11.5</v>
      </c>
      <c r="F2806" s="1">
        <v>0.02</v>
      </c>
      <c r="G2806" s="1"/>
      <c r="H2806" s="126">
        <f t="shared" si="43"/>
        <v>1.3574301110209714</v>
      </c>
      <c r="I2806" s="89">
        <v>187.28999999999991</v>
      </c>
      <c r="J2806" s="1">
        <v>64.15416666666664</v>
      </c>
      <c r="K2806" s="230">
        <v>549.0934023285896</v>
      </c>
    </row>
    <row r="2807" spans="1:11" x14ac:dyDescent="0.3">
      <c r="A2807" s="88" t="s">
        <v>484</v>
      </c>
      <c r="B2807" s="24">
        <v>39694</v>
      </c>
      <c r="C2807" s="1">
        <v>10.795178851365357</v>
      </c>
      <c r="D2807" s="1">
        <v>20.5</v>
      </c>
      <c r="E2807" s="1">
        <v>10.5</v>
      </c>
      <c r="F2807" s="1">
        <v>1.37</v>
      </c>
      <c r="G2807" s="1"/>
      <c r="H2807" s="126">
        <f t="shared" si="43"/>
        <v>1.2701326466613394</v>
      </c>
      <c r="I2807" s="89">
        <v>231.66</v>
      </c>
      <c r="J2807" s="1">
        <v>73.660416666666649</v>
      </c>
      <c r="K2807" s="230">
        <v>549.73752720940286</v>
      </c>
    </row>
    <row r="2808" spans="1:11" x14ac:dyDescent="0.3">
      <c r="A2808" s="88" t="s">
        <v>484</v>
      </c>
      <c r="B2808" s="24">
        <v>39695</v>
      </c>
      <c r="C2808" s="1">
        <v>15.662556238150961</v>
      </c>
      <c r="D2808" s="1">
        <v>18.899999999999999</v>
      </c>
      <c r="E2808" s="1">
        <v>9.9</v>
      </c>
      <c r="F2808" s="1">
        <v>0.02</v>
      </c>
      <c r="G2808" s="1"/>
      <c r="H2808" s="126">
        <f t="shared" si="43"/>
        <v>1.2201575987481763</v>
      </c>
      <c r="I2808" s="89">
        <v>187.20000000000005</v>
      </c>
      <c r="J2808" s="1">
        <v>70.433333333333323</v>
      </c>
      <c r="K2808" s="230">
        <v>548.9862116991643</v>
      </c>
    </row>
    <row r="2809" spans="1:11" x14ac:dyDescent="0.3">
      <c r="A2809" s="88" t="s">
        <v>484</v>
      </c>
      <c r="B2809" s="24">
        <v>39696</v>
      </c>
      <c r="C2809" s="1">
        <v>13.402350150219352</v>
      </c>
      <c r="D2809" s="1">
        <v>21.4</v>
      </c>
      <c r="E2809" s="1">
        <v>11.8</v>
      </c>
      <c r="F2809" s="1">
        <v>0.92</v>
      </c>
      <c r="G2809" s="1"/>
      <c r="H2809" s="126">
        <f t="shared" si="43"/>
        <v>1.3846270162501679</v>
      </c>
      <c r="I2809" s="89">
        <v>148.04999999999995</v>
      </c>
      <c r="J2809" s="1">
        <v>69.184375000000003</v>
      </c>
      <c r="K2809" s="230">
        <v>549.08204534937522</v>
      </c>
    </row>
    <row r="2810" spans="1:11" x14ac:dyDescent="0.3">
      <c r="A2810" s="88" t="s">
        <v>484</v>
      </c>
      <c r="B2810" s="24">
        <v>39697</v>
      </c>
      <c r="C2810" s="1">
        <v>6.2530585762547561</v>
      </c>
      <c r="D2810" s="1">
        <v>21</v>
      </c>
      <c r="E2810" s="1">
        <v>15.9</v>
      </c>
      <c r="F2810" s="1">
        <v>9.9700000000000077</v>
      </c>
      <c r="G2810" s="1"/>
      <c r="H2810" s="126">
        <f t="shared" si="43"/>
        <v>1.8072967155190105</v>
      </c>
      <c r="I2810" s="89">
        <v>192.14999999999998</v>
      </c>
      <c r="J2810" s="1">
        <v>79.986458333333388</v>
      </c>
      <c r="K2810" s="230">
        <v>548.6676823638029</v>
      </c>
    </row>
    <row r="2811" spans="1:11" x14ac:dyDescent="0.3">
      <c r="A2811" s="88" t="s">
        <v>484</v>
      </c>
      <c r="B2811" s="24">
        <v>39698</v>
      </c>
      <c r="C2811" s="1">
        <v>15.794634848468183</v>
      </c>
      <c r="D2811" s="1">
        <v>21</v>
      </c>
      <c r="E2811" s="1">
        <v>14.9</v>
      </c>
      <c r="F2811" s="1">
        <v>0</v>
      </c>
      <c r="G2811" s="1"/>
      <c r="H2811" s="126">
        <f t="shared" si="43"/>
        <v>1.6949528505265632</v>
      </c>
      <c r="I2811" s="89">
        <v>199.70999999999998</v>
      </c>
      <c r="J2811" s="1">
        <v>68.14166666666668</v>
      </c>
      <c r="K2811" s="230">
        <v>549.22783216783239</v>
      </c>
    </row>
    <row r="2812" spans="1:11" x14ac:dyDescent="0.3">
      <c r="A2812" s="88" t="s">
        <v>484</v>
      </c>
      <c r="B2812" s="24">
        <v>39699</v>
      </c>
      <c r="C2812" s="1">
        <v>9.1897224244534872</v>
      </c>
      <c r="D2812" s="1">
        <v>19.3</v>
      </c>
      <c r="E2812" s="1">
        <v>12</v>
      </c>
      <c r="F2812" s="1">
        <v>0.27</v>
      </c>
      <c r="G2812" s="1"/>
      <c r="H2812" s="126">
        <f t="shared" si="43"/>
        <v>1.4030231277532583</v>
      </c>
      <c r="I2812" s="89">
        <v>194.03999999999996</v>
      </c>
      <c r="J2812" s="1">
        <v>75.303124999999994</v>
      </c>
      <c r="K2812" s="230">
        <v>549.72508068234174</v>
      </c>
    </row>
    <row r="2813" spans="1:11" x14ac:dyDescent="0.3">
      <c r="A2813" s="88" t="s">
        <v>484</v>
      </c>
      <c r="B2813" s="24">
        <v>39700</v>
      </c>
      <c r="C2813" s="1">
        <v>17.949362386124154</v>
      </c>
      <c r="D2813" s="1">
        <v>24.1</v>
      </c>
      <c r="E2813" s="1">
        <v>10.8</v>
      </c>
      <c r="F2813" s="1">
        <v>0</v>
      </c>
      <c r="G2813" s="1"/>
      <c r="H2813" s="126">
        <f t="shared" si="43"/>
        <v>1.2957882396636844</v>
      </c>
      <c r="I2813" s="89">
        <v>135.45000000000005</v>
      </c>
      <c r="J2813" s="1">
        <v>66.080208333333346</v>
      </c>
      <c r="K2813" s="230">
        <v>549.66882701962504</v>
      </c>
    </row>
    <row r="2814" spans="1:11" x14ac:dyDescent="0.3">
      <c r="A2814" s="88" t="s">
        <v>484</v>
      </c>
      <c r="B2814" s="24">
        <v>39701</v>
      </c>
      <c r="C2814" s="1">
        <v>11.400931829836123</v>
      </c>
      <c r="D2814" s="1">
        <v>23.2</v>
      </c>
      <c r="E2814" s="1">
        <v>13.9</v>
      </c>
      <c r="F2814" s="1">
        <v>0</v>
      </c>
      <c r="G2814" s="1"/>
      <c r="H2814" s="126">
        <f t="shared" si="43"/>
        <v>1.5887804036720876</v>
      </c>
      <c r="I2814" s="89">
        <v>157.94999999999999</v>
      </c>
      <c r="J2814" s="1">
        <v>73.041666666666643</v>
      </c>
      <c r="K2814" s="230">
        <v>550.24030172413734</v>
      </c>
    </row>
    <row r="2815" spans="1:11" x14ac:dyDescent="0.3">
      <c r="A2815" s="88" t="s">
        <v>484</v>
      </c>
      <c r="B2815" s="24">
        <v>39702</v>
      </c>
      <c r="C2815" s="1">
        <v>13.579288546275388</v>
      </c>
      <c r="D2815" s="1">
        <v>24.5</v>
      </c>
      <c r="E2815" s="1">
        <v>13.6</v>
      </c>
      <c r="F2815" s="1">
        <v>0</v>
      </c>
      <c r="G2815" s="1"/>
      <c r="H2815" s="126">
        <f t="shared" si="43"/>
        <v>1.55808835361568</v>
      </c>
      <c r="I2815" s="89">
        <v>176.31</v>
      </c>
      <c r="J2815" s="1">
        <v>75</v>
      </c>
      <c r="K2815" s="230">
        <v>548.05241706161155</v>
      </c>
    </row>
    <row r="2816" spans="1:11" x14ac:dyDescent="0.3">
      <c r="A2816" s="88" t="s">
        <v>484</v>
      </c>
      <c r="B2816" s="24">
        <v>39703</v>
      </c>
      <c r="C2816" s="1">
        <v>15.38680071444432</v>
      </c>
      <c r="D2816" s="1">
        <v>21.1</v>
      </c>
      <c r="E2816" s="1">
        <v>12.8</v>
      </c>
      <c r="F2816" s="1">
        <v>0</v>
      </c>
      <c r="G2816" s="1"/>
      <c r="H2816" s="126">
        <f t="shared" si="43"/>
        <v>1.4787721750550831</v>
      </c>
      <c r="I2816" s="89">
        <v>422.01000000000005</v>
      </c>
      <c r="J2816" s="1">
        <v>73.82708333333332</v>
      </c>
      <c r="K2816" s="230">
        <v>547.12927950945311</v>
      </c>
    </row>
    <row r="2817" spans="1:11" x14ac:dyDescent="0.3">
      <c r="A2817" s="88" t="s">
        <v>484</v>
      </c>
      <c r="B2817" s="24">
        <v>39704</v>
      </c>
      <c r="C2817" s="1">
        <v>17.94792949329743</v>
      </c>
      <c r="D2817" s="1">
        <v>15.8</v>
      </c>
      <c r="E2817" s="1">
        <v>7</v>
      </c>
      <c r="F2817" s="1">
        <v>0</v>
      </c>
      <c r="G2817" s="1"/>
      <c r="H2817" s="126">
        <f t="shared" si="43"/>
        <v>1.0021864739217894</v>
      </c>
      <c r="I2817" s="89">
        <v>421.20000000000005</v>
      </c>
      <c r="J2817" s="1">
        <v>56.865625000000001</v>
      </c>
      <c r="K2817" s="230">
        <v>548.03264161525567</v>
      </c>
    </row>
    <row r="2818" spans="1:11" x14ac:dyDescent="0.3">
      <c r="A2818" s="88" t="s">
        <v>484</v>
      </c>
      <c r="B2818" s="24">
        <v>39705</v>
      </c>
      <c r="C2818" s="1">
        <v>9.3590732626644275</v>
      </c>
      <c r="D2818" s="1">
        <v>15.3</v>
      </c>
      <c r="E2818" s="1">
        <v>5.9</v>
      </c>
      <c r="F2818" s="1">
        <v>0.02</v>
      </c>
      <c r="G2818" s="1"/>
      <c r="H2818" s="126">
        <f t="shared" si="43"/>
        <v>0.92895926237531279</v>
      </c>
      <c r="I2818" s="89">
        <v>232.56000000000003</v>
      </c>
      <c r="J2818" s="1">
        <v>77.258333333333326</v>
      </c>
      <c r="K2818" s="230">
        <v>548.84497742663689</v>
      </c>
    </row>
    <row r="2819" spans="1:11" x14ac:dyDescent="0.3">
      <c r="A2819" s="88" t="s">
        <v>484</v>
      </c>
      <c r="B2819" s="24">
        <v>39706</v>
      </c>
      <c r="C2819" s="1">
        <v>6.5486165613349421</v>
      </c>
      <c r="D2819" s="1">
        <v>15.1</v>
      </c>
      <c r="E2819" s="1">
        <v>6.8</v>
      </c>
      <c r="F2819" s="1">
        <v>0</v>
      </c>
      <c r="G2819" s="1"/>
      <c r="H2819" s="126">
        <f t="shared" si="43"/>
        <v>0.98850615565901678</v>
      </c>
      <c r="I2819" s="89">
        <v>166.85999999999999</v>
      </c>
      <c r="J2819" s="1">
        <v>76.936458333333292</v>
      </c>
      <c r="K2819" s="230">
        <v>549.51814323607482</v>
      </c>
    </row>
    <row r="2820" spans="1:11" x14ac:dyDescent="0.3">
      <c r="A2820" s="88" t="s">
        <v>484</v>
      </c>
      <c r="B2820" s="24">
        <v>39707</v>
      </c>
      <c r="C2820" s="1">
        <v>10.830580980244624</v>
      </c>
      <c r="D2820" s="1">
        <v>13.8</v>
      </c>
      <c r="E2820" s="1">
        <v>8.3000000000000007</v>
      </c>
      <c r="F2820" s="1">
        <v>0.125</v>
      </c>
      <c r="G2820" s="1"/>
      <c r="H2820" s="126">
        <f t="shared" ref="H2820:H2883" si="44">0.611*EXP((17.27*E2820)/(E2820+237.3))</f>
        <v>1.0952445521994474</v>
      </c>
      <c r="I2820" s="89">
        <v>154.71</v>
      </c>
      <c r="J2820" s="1">
        <v>74.8</v>
      </c>
      <c r="K2820" s="230">
        <v>548.61684405367828</v>
      </c>
    </row>
    <row r="2821" spans="1:11" x14ac:dyDescent="0.3">
      <c r="A2821" s="88" t="s">
        <v>484</v>
      </c>
      <c r="B2821" s="24">
        <v>39708</v>
      </c>
      <c r="C2821" s="1">
        <v>9.6373904068836449</v>
      </c>
      <c r="D2821" s="1">
        <v>14.2</v>
      </c>
      <c r="E2821" s="1">
        <v>6.1</v>
      </c>
      <c r="F2821" s="1">
        <v>0</v>
      </c>
      <c r="G2821" s="1"/>
      <c r="H2821" s="126">
        <f t="shared" si="44"/>
        <v>0.94191143925241705</v>
      </c>
      <c r="I2821" s="89">
        <v>85.950000000000017</v>
      </c>
      <c r="J2821" s="1">
        <v>77.547916666666666</v>
      </c>
      <c r="K2821" s="230">
        <v>549.06342222222213</v>
      </c>
    </row>
    <row r="2822" spans="1:11" x14ac:dyDescent="0.3">
      <c r="A2822" s="88" t="s">
        <v>484</v>
      </c>
      <c r="B2822" s="24">
        <v>39709</v>
      </c>
      <c r="C2822" s="1">
        <v>9.7425685248051792</v>
      </c>
      <c r="D2822" s="1">
        <v>14.8</v>
      </c>
      <c r="E2822" s="1">
        <v>5.4</v>
      </c>
      <c r="F2822" s="1">
        <v>5.0000000000000001E-3</v>
      </c>
      <c r="G2822" s="1"/>
      <c r="H2822" s="126">
        <f t="shared" si="44"/>
        <v>0.8972630930441321</v>
      </c>
      <c r="I2822" s="89">
        <v>92.699999999999974</v>
      </c>
      <c r="J2822" s="1">
        <v>73.684375000000003</v>
      </c>
      <c r="K2822" s="230">
        <v>547.33443372270165</v>
      </c>
    </row>
    <row r="2823" spans="1:11" x14ac:dyDescent="0.3">
      <c r="A2823" s="88" t="s">
        <v>484</v>
      </c>
      <c r="B2823" s="24">
        <v>39710</v>
      </c>
      <c r="C2823" s="1">
        <v>11.865605029507742</v>
      </c>
      <c r="D2823" s="1">
        <v>15.2</v>
      </c>
      <c r="E2823" s="1">
        <v>2.4</v>
      </c>
      <c r="F2823" s="1">
        <v>0</v>
      </c>
      <c r="G2823" s="1"/>
      <c r="H2823" s="126">
        <f t="shared" si="44"/>
        <v>0.7263362808555901</v>
      </c>
      <c r="I2823" s="89">
        <v>74.789999999999935</v>
      </c>
      <c r="J2823" s="1">
        <v>75.158333333333346</v>
      </c>
      <c r="K2823" s="230">
        <v>550.98875128998964</v>
      </c>
    </row>
    <row r="2824" spans="1:11" x14ac:dyDescent="0.3">
      <c r="A2824" s="88" t="s">
        <v>484</v>
      </c>
      <c r="B2824" s="24">
        <v>39711</v>
      </c>
      <c r="C2824" s="1">
        <v>12.868186139466527</v>
      </c>
      <c r="D2824" s="1">
        <v>16.7</v>
      </c>
      <c r="E2824" s="1">
        <v>5.7</v>
      </c>
      <c r="F2824" s="1">
        <v>0</v>
      </c>
      <c r="G2824" s="1"/>
      <c r="H2824" s="126">
        <f t="shared" si="44"/>
        <v>0.91616430843021424</v>
      </c>
      <c r="I2824" s="89">
        <v>93.51</v>
      </c>
      <c r="J2824" s="1">
        <v>72.53125</v>
      </c>
      <c r="K2824" s="230">
        <v>549.31687116564422</v>
      </c>
    </row>
    <row r="2825" spans="1:11" x14ac:dyDescent="0.3">
      <c r="A2825" s="88" t="s">
        <v>484</v>
      </c>
      <c r="B2825" s="24">
        <v>39712</v>
      </c>
      <c r="C2825" s="1">
        <v>7.7307547348310939</v>
      </c>
      <c r="D2825" s="1">
        <v>17.100000000000001</v>
      </c>
      <c r="E2825" s="1">
        <v>7.9</v>
      </c>
      <c r="F2825" s="1">
        <v>0.36499999999999999</v>
      </c>
      <c r="G2825" s="1"/>
      <c r="H2825" s="126">
        <f t="shared" si="44"/>
        <v>1.0658332114824252</v>
      </c>
      <c r="I2825" s="89">
        <v>183.60000000000002</v>
      </c>
      <c r="J2825" s="1">
        <v>82.509375000000006</v>
      </c>
      <c r="K2825" s="230">
        <v>549.51294277929139</v>
      </c>
    </row>
    <row r="2826" spans="1:11" x14ac:dyDescent="0.3">
      <c r="A2826" s="88" t="s">
        <v>484</v>
      </c>
      <c r="B2826" s="24">
        <v>39713</v>
      </c>
      <c r="C2826" s="1">
        <v>8.1430326624044174</v>
      </c>
      <c r="D2826" s="1">
        <v>15.7</v>
      </c>
      <c r="E2826" s="1">
        <v>8.4</v>
      </c>
      <c r="F2826" s="1">
        <v>1.44</v>
      </c>
      <c r="G2826" s="1"/>
      <c r="H2826" s="126">
        <f t="shared" si="44"/>
        <v>1.1027080638918816</v>
      </c>
      <c r="I2826" s="89">
        <v>227.78999999999996</v>
      </c>
      <c r="J2826" s="1">
        <v>84.535416666666663</v>
      </c>
      <c r="K2826" s="230">
        <v>549.44677935130255</v>
      </c>
    </row>
    <row r="2827" spans="1:11" x14ac:dyDescent="0.3">
      <c r="A2827" s="88" t="s">
        <v>484</v>
      </c>
      <c r="B2827" s="24">
        <v>39714</v>
      </c>
      <c r="C2827" s="1">
        <v>1.7942849968220798</v>
      </c>
      <c r="D2827" s="1">
        <v>12.8</v>
      </c>
      <c r="E2827" s="1">
        <v>10.4</v>
      </c>
      <c r="F2827" s="1">
        <v>14.455</v>
      </c>
      <c r="G2827" s="1"/>
      <c r="H2827" s="126">
        <f t="shared" si="44"/>
        <v>1.2616805817680199</v>
      </c>
      <c r="I2827" s="89">
        <v>284.13</v>
      </c>
      <c r="J2827" s="1">
        <v>96.420833333333277</v>
      </c>
      <c r="K2827" s="230">
        <v>549.1152044097372</v>
      </c>
    </row>
    <row r="2828" spans="1:11" x14ac:dyDescent="0.3">
      <c r="A2828" s="88" t="s">
        <v>484</v>
      </c>
      <c r="B2828" s="24">
        <v>39715</v>
      </c>
      <c r="C2828" s="1">
        <v>5.859361492040108</v>
      </c>
      <c r="D2828" s="1">
        <v>16.399999999999999</v>
      </c>
      <c r="E2828" s="1">
        <v>7.9</v>
      </c>
      <c r="F2828" s="1">
        <v>0.01</v>
      </c>
      <c r="G2828" s="1"/>
      <c r="H2828" s="126">
        <f t="shared" si="44"/>
        <v>1.0658332114824252</v>
      </c>
      <c r="I2828" s="89">
        <v>229.41</v>
      </c>
      <c r="J2828" s="1">
        <v>83.875</v>
      </c>
      <c r="K2828" s="230">
        <v>549.48969024502924</v>
      </c>
    </row>
    <row r="2829" spans="1:11" x14ac:dyDescent="0.3">
      <c r="A2829" s="88" t="s">
        <v>484</v>
      </c>
      <c r="B2829" s="24">
        <v>39716</v>
      </c>
      <c r="C2829" s="1">
        <v>8.5234141957651897</v>
      </c>
      <c r="D2829" s="1">
        <v>16.2</v>
      </c>
      <c r="E2829" s="1">
        <v>6</v>
      </c>
      <c r="F2829" s="1">
        <v>0</v>
      </c>
      <c r="G2829" s="1"/>
      <c r="H2829" s="126">
        <f t="shared" si="44"/>
        <v>0.93541559507788385</v>
      </c>
      <c r="I2829" s="89">
        <v>168.83999999999997</v>
      </c>
      <c r="J2829" s="1">
        <v>84.95104166666664</v>
      </c>
      <c r="K2829" s="230">
        <v>549.6905072126566</v>
      </c>
    </row>
    <row r="2830" spans="1:11" x14ac:dyDescent="0.3">
      <c r="A2830" s="88" t="s">
        <v>484</v>
      </c>
      <c r="B2830" s="24">
        <v>39717</v>
      </c>
      <c r="C2830" s="1">
        <v>4.8509975216096688</v>
      </c>
      <c r="D2830" s="1">
        <v>12.4</v>
      </c>
      <c r="E2830" s="1">
        <v>4.2</v>
      </c>
      <c r="F2830" s="1">
        <v>0.03</v>
      </c>
      <c r="G2830" s="1"/>
      <c r="H2830" s="126">
        <f t="shared" si="44"/>
        <v>0.82505065566727931</v>
      </c>
      <c r="I2830" s="89">
        <v>74.879999999999924</v>
      </c>
      <c r="J2830" s="1">
        <v>95.438541666666652</v>
      </c>
      <c r="K2830" s="230">
        <v>547.67998012915939</v>
      </c>
    </row>
    <row r="2831" spans="1:11" x14ac:dyDescent="0.3">
      <c r="A2831" s="88" t="s">
        <v>484</v>
      </c>
      <c r="B2831" s="24">
        <v>39718</v>
      </c>
      <c r="C2831" s="1">
        <v>13.54133093088751</v>
      </c>
      <c r="D2831" s="1">
        <v>17.100000000000001</v>
      </c>
      <c r="E2831" s="1">
        <v>3.8</v>
      </c>
      <c r="F2831" s="1">
        <v>3.5000000000000003E-2</v>
      </c>
      <c r="G2831" s="1"/>
      <c r="H2831" s="126">
        <f t="shared" si="44"/>
        <v>0.80214634758046521</v>
      </c>
      <c r="I2831" s="89">
        <v>89.999999999999986</v>
      </c>
      <c r="J2831" s="1">
        <v>85.962500000000006</v>
      </c>
      <c r="K2831" s="230">
        <v>548.15733711048119</v>
      </c>
    </row>
    <row r="2832" spans="1:11" x14ac:dyDescent="0.3">
      <c r="A2832" s="88" t="s">
        <v>484</v>
      </c>
      <c r="B2832" s="24">
        <v>39719</v>
      </c>
      <c r="C2832" s="1">
        <v>12.587783008087184</v>
      </c>
      <c r="D2832" s="1">
        <v>17.399999999999999</v>
      </c>
      <c r="E2832" s="1">
        <v>7.7</v>
      </c>
      <c r="F2832" s="1">
        <v>0</v>
      </c>
      <c r="G2832" s="1"/>
      <c r="H2832" s="126">
        <f t="shared" si="44"/>
        <v>1.0513900110721115</v>
      </c>
      <c r="I2832" s="89">
        <v>211.77</v>
      </c>
      <c r="J2832" s="1">
        <v>78.13333333333334</v>
      </c>
      <c r="K2832" s="230">
        <v>550.09068557919591</v>
      </c>
    </row>
    <row r="2833" spans="1:11" x14ac:dyDescent="0.3">
      <c r="A2833" s="88" t="s">
        <v>484</v>
      </c>
      <c r="B2833" s="24">
        <v>39720</v>
      </c>
      <c r="C2833" s="1">
        <v>4.8888249308557112</v>
      </c>
      <c r="D2833" s="1">
        <v>14</v>
      </c>
      <c r="E2833" s="1">
        <v>9.9</v>
      </c>
      <c r="F2833" s="1">
        <v>0.66</v>
      </c>
      <c r="G2833" s="1"/>
      <c r="H2833" s="126">
        <f t="shared" si="44"/>
        <v>1.2201575987481763</v>
      </c>
      <c r="I2833" s="89">
        <v>171.00000000000009</v>
      </c>
      <c r="J2833" s="1">
        <v>86.743750000000006</v>
      </c>
      <c r="K2833" s="230">
        <v>547.74317548746558</v>
      </c>
    </row>
    <row r="2834" spans="1:11" x14ac:dyDescent="0.3">
      <c r="A2834" s="88" t="s">
        <v>484</v>
      </c>
      <c r="B2834" s="24">
        <v>39721</v>
      </c>
      <c r="C2834" s="1">
        <v>4.3600000000000003</v>
      </c>
      <c r="D2834" s="1">
        <v>10.9</v>
      </c>
      <c r="E2834" s="1">
        <v>8</v>
      </c>
      <c r="F2834" s="1">
        <v>4.4050000000000002</v>
      </c>
      <c r="G2834" s="1"/>
      <c r="H2834" s="126">
        <f t="shared" si="44"/>
        <v>1.0731200926872433</v>
      </c>
      <c r="I2834" s="89">
        <v>289.70999999999998</v>
      </c>
      <c r="J2834" s="1">
        <v>88.462500000000006</v>
      </c>
    </row>
    <row r="2835" spans="1:11" x14ac:dyDescent="0.3">
      <c r="A2835" s="88" t="s">
        <v>484</v>
      </c>
      <c r="B2835" s="24">
        <v>39722</v>
      </c>
      <c r="C2835" s="1">
        <v>3.3800358799896317</v>
      </c>
      <c r="D2835" s="1">
        <v>14.7</v>
      </c>
      <c r="E2835" s="1">
        <v>8.6999999999999993</v>
      </c>
      <c r="F2835" s="1">
        <v>17.41</v>
      </c>
      <c r="G2835" s="1"/>
      <c r="H2835" s="126">
        <f t="shared" si="44"/>
        <v>1.1253678644990226</v>
      </c>
      <c r="I2835" s="89">
        <v>408.33000000000015</v>
      </c>
      <c r="J2835" s="1">
        <v>89.021874999999994</v>
      </c>
    </row>
    <row r="2836" spans="1:11" x14ac:dyDescent="0.3">
      <c r="A2836" s="88" t="s">
        <v>484</v>
      </c>
      <c r="B2836" s="24">
        <v>39723</v>
      </c>
      <c r="C2836" s="1">
        <v>8.9694483022291323</v>
      </c>
      <c r="D2836" s="1">
        <v>13.6</v>
      </c>
      <c r="E2836" s="1">
        <v>6.6</v>
      </c>
      <c r="F2836" s="1">
        <v>0.52</v>
      </c>
      <c r="G2836" s="1"/>
      <c r="H2836" s="126">
        <f t="shared" si="44"/>
        <v>0.97499060249070812</v>
      </c>
      <c r="I2836" s="89">
        <v>388.26000000000005</v>
      </c>
      <c r="J2836" s="1">
        <v>69.974999999999994</v>
      </c>
    </row>
    <row r="2837" spans="1:11" x14ac:dyDescent="0.3">
      <c r="A2837" s="88" t="s">
        <v>484</v>
      </c>
      <c r="B2837" s="24">
        <v>39724</v>
      </c>
      <c r="C2837" s="1">
        <v>10.365281365560739</v>
      </c>
      <c r="D2837" s="1">
        <v>13</v>
      </c>
      <c r="E2837" s="1">
        <v>4.8</v>
      </c>
      <c r="F2837" s="1">
        <v>0.46500000000000002</v>
      </c>
      <c r="G2837" s="1"/>
      <c r="H2837" s="126">
        <f t="shared" si="44"/>
        <v>0.86048907931200158</v>
      </c>
      <c r="I2837" s="89">
        <v>246.05999999999995</v>
      </c>
      <c r="J2837" s="1">
        <v>73.997916666666683</v>
      </c>
    </row>
    <row r="2838" spans="1:11" x14ac:dyDescent="0.3">
      <c r="A2838" s="88" t="s">
        <v>484</v>
      </c>
      <c r="B2838" s="24">
        <v>39725</v>
      </c>
      <c r="C2838" s="1">
        <v>7.81074182650769</v>
      </c>
      <c r="D2838" s="1">
        <v>11.1</v>
      </c>
      <c r="E2838" s="1">
        <v>4.3</v>
      </c>
      <c r="F2838" s="1">
        <v>0.3</v>
      </c>
      <c r="G2838" s="1"/>
      <c r="H2838" s="126">
        <f t="shared" si="44"/>
        <v>0.83086609768035358</v>
      </c>
      <c r="I2838" s="89">
        <v>248.94</v>
      </c>
      <c r="J2838" s="1">
        <v>76.270833333333314</v>
      </c>
    </row>
    <row r="2839" spans="1:11" x14ac:dyDescent="0.3">
      <c r="A2839" s="88" t="s">
        <v>484</v>
      </c>
      <c r="B2839" s="24">
        <v>39726</v>
      </c>
      <c r="C2839">
        <v>3.2106597459823742</v>
      </c>
      <c r="D2839">
        <v>12</v>
      </c>
      <c r="E2839">
        <v>6.8</v>
      </c>
      <c r="F2839">
        <v>6.1349999999999998</v>
      </c>
      <c r="H2839" s="126">
        <f t="shared" si="44"/>
        <v>0.98850615565901678</v>
      </c>
      <c r="I2839" s="34">
        <v>354.24</v>
      </c>
      <c r="J2839">
        <v>76.368750000000006</v>
      </c>
    </row>
    <row r="2840" spans="1:11" x14ac:dyDescent="0.3">
      <c r="A2840" s="88" t="s">
        <v>484</v>
      </c>
      <c r="B2840" s="24">
        <v>39727</v>
      </c>
      <c r="C2840">
        <v>4.6247333160532227</v>
      </c>
      <c r="D2840">
        <v>13.9</v>
      </c>
      <c r="E2840">
        <v>9.6</v>
      </c>
      <c r="F2840">
        <v>2.38</v>
      </c>
      <c r="H2840" s="126">
        <f t="shared" si="44"/>
        <v>1.1958248668287446</v>
      </c>
      <c r="I2840" s="34">
        <v>51.300000000000004</v>
      </c>
      <c r="J2840">
        <v>91.655208333333363</v>
      </c>
    </row>
    <row r="2841" spans="1:11" x14ac:dyDescent="0.3">
      <c r="A2841" s="88" t="s">
        <v>484</v>
      </c>
      <c r="B2841" s="24">
        <v>39728</v>
      </c>
      <c r="C2841">
        <v>5.8372927164333852</v>
      </c>
      <c r="D2841">
        <v>17</v>
      </c>
      <c r="E2841">
        <v>11</v>
      </c>
      <c r="F2841">
        <v>5.0000000000000001E-3</v>
      </c>
      <c r="H2841" s="126">
        <f t="shared" si="44"/>
        <v>1.313143973467028</v>
      </c>
      <c r="I2841" s="34">
        <v>145.71000000000004</v>
      </c>
      <c r="J2841">
        <v>86.582291666666677</v>
      </c>
    </row>
    <row r="2842" spans="1:11" x14ac:dyDescent="0.3">
      <c r="A2842" s="88" t="s">
        <v>484</v>
      </c>
      <c r="B2842" s="24">
        <v>39729</v>
      </c>
      <c r="C2842">
        <v>9.359447708225332</v>
      </c>
      <c r="D2842">
        <v>20</v>
      </c>
      <c r="E2842">
        <v>11.9</v>
      </c>
      <c r="F2842">
        <v>0.115</v>
      </c>
      <c r="H2842" s="126">
        <f t="shared" si="44"/>
        <v>1.3937984130245886</v>
      </c>
      <c r="I2842" s="34">
        <v>167.67000000000002</v>
      </c>
      <c r="J2842">
        <v>82.809375000000003</v>
      </c>
    </row>
    <row r="2843" spans="1:11" x14ac:dyDescent="0.3">
      <c r="A2843" s="88" t="s">
        <v>484</v>
      </c>
      <c r="B2843" s="24">
        <v>39730</v>
      </c>
      <c r="C2843">
        <v>5.4490305015552094</v>
      </c>
      <c r="D2843">
        <v>15.3</v>
      </c>
      <c r="E2843">
        <v>7.5</v>
      </c>
      <c r="F2843">
        <v>0.04</v>
      </c>
      <c r="H2843" s="126">
        <f t="shared" si="44"/>
        <v>1.0371194102680934</v>
      </c>
      <c r="I2843" s="34">
        <v>172.17000000000007</v>
      </c>
      <c r="J2843">
        <v>87.211458333333312</v>
      </c>
    </row>
    <row r="2844" spans="1:11" x14ac:dyDescent="0.3">
      <c r="A2844" s="88" t="s">
        <v>484</v>
      </c>
      <c r="B2844" s="24">
        <v>39731</v>
      </c>
      <c r="C2844">
        <v>10.071696066614825</v>
      </c>
      <c r="D2844">
        <v>16.100000000000001</v>
      </c>
      <c r="E2844">
        <v>5.8</v>
      </c>
      <c r="F2844">
        <v>0.01</v>
      </c>
      <c r="H2844" s="126">
        <f t="shared" si="44"/>
        <v>0.92254223518646628</v>
      </c>
      <c r="I2844" s="34">
        <v>127.25999999999996</v>
      </c>
      <c r="J2844">
        <v>82.1875</v>
      </c>
    </row>
    <row r="2845" spans="1:11" x14ac:dyDescent="0.3">
      <c r="A2845" s="88" t="s">
        <v>484</v>
      </c>
      <c r="B2845" s="24">
        <v>39732</v>
      </c>
      <c r="C2845">
        <v>10.019580333074131</v>
      </c>
      <c r="D2845">
        <v>18.5</v>
      </c>
      <c r="E2845">
        <v>10</v>
      </c>
      <c r="F2845">
        <v>0</v>
      </c>
      <c r="H2845" s="126">
        <f t="shared" si="44"/>
        <v>1.2283647027117881</v>
      </c>
      <c r="I2845" s="34">
        <v>149.94</v>
      </c>
      <c r="J2845">
        <v>83.90625</v>
      </c>
    </row>
    <row r="2846" spans="1:11" x14ac:dyDescent="0.3">
      <c r="A2846" s="88" t="s">
        <v>484</v>
      </c>
      <c r="B2846" s="24">
        <v>39733</v>
      </c>
      <c r="C2846">
        <v>6.0874482374287195</v>
      </c>
      <c r="D2846">
        <v>16</v>
      </c>
      <c r="E2846">
        <v>7.3</v>
      </c>
      <c r="F2846">
        <v>0</v>
      </c>
      <c r="H2846" s="126">
        <f t="shared" si="44"/>
        <v>1.0230196423808093</v>
      </c>
      <c r="I2846" s="34">
        <v>163.44000000000008</v>
      </c>
      <c r="J2846">
        <v>86.651041666666643</v>
      </c>
    </row>
    <row r="2847" spans="1:11" x14ac:dyDescent="0.3">
      <c r="A2847" s="88" t="s">
        <v>484</v>
      </c>
      <c r="B2847" s="24">
        <v>39734</v>
      </c>
      <c r="C2847">
        <v>9.5479329445308441</v>
      </c>
      <c r="D2847">
        <v>19.8</v>
      </c>
      <c r="E2847">
        <v>6.6</v>
      </c>
      <c r="F2847">
        <v>0</v>
      </c>
      <c r="H2847" s="126">
        <f t="shared" si="44"/>
        <v>0.97499060249070812</v>
      </c>
      <c r="I2847" s="34">
        <v>136.44</v>
      </c>
      <c r="J2847">
        <v>82.441666666666663</v>
      </c>
    </row>
    <row r="2848" spans="1:11" x14ac:dyDescent="0.3">
      <c r="A2848" s="88" t="s">
        <v>484</v>
      </c>
      <c r="B2848" s="24">
        <v>39735</v>
      </c>
      <c r="C2848">
        <v>4.9782517085709346</v>
      </c>
      <c r="D2848">
        <v>16.5</v>
      </c>
      <c r="E2848">
        <v>10.3</v>
      </c>
      <c r="F2848">
        <v>3.5000000000000003E-2</v>
      </c>
      <c r="H2848" s="126">
        <f t="shared" si="44"/>
        <v>1.2532780017936267</v>
      </c>
      <c r="I2848" s="34">
        <v>235.17000000000002</v>
      </c>
      <c r="J2848">
        <v>81.221874999999997</v>
      </c>
    </row>
    <row r="2849" spans="1:10" x14ac:dyDescent="0.3">
      <c r="A2849" s="88" t="s">
        <v>484</v>
      </c>
      <c r="B2849" s="24">
        <v>39736</v>
      </c>
      <c r="C2849">
        <v>5.3413246522377742</v>
      </c>
      <c r="D2849">
        <v>16.3</v>
      </c>
      <c r="E2849">
        <v>10</v>
      </c>
      <c r="F2849">
        <v>0.56999999999999995</v>
      </c>
      <c r="H2849" s="126">
        <f t="shared" si="44"/>
        <v>1.2283647027117881</v>
      </c>
      <c r="I2849" s="34">
        <v>183.14999999999998</v>
      </c>
      <c r="J2849">
        <v>78.769791666666663</v>
      </c>
    </row>
    <row r="2850" spans="1:10" x14ac:dyDescent="0.3">
      <c r="A2850" s="88" t="s">
        <v>484</v>
      </c>
      <c r="B2850" s="24">
        <v>39737</v>
      </c>
      <c r="C2850">
        <v>3.4729756048038709</v>
      </c>
      <c r="D2850">
        <v>13.6</v>
      </c>
      <c r="E2850">
        <v>6.4</v>
      </c>
      <c r="F2850">
        <v>4.5149999999999997</v>
      </c>
      <c r="H2850" s="126">
        <f t="shared" si="44"/>
        <v>0.96163811340513428</v>
      </c>
      <c r="I2850" s="34">
        <v>327.42000000000007</v>
      </c>
      <c r="J2850">
        <v>85.24166666666666</v>
      </c>
    </row>
    <row r="2851" spans="1:10" x14ac:dyDescent="0.3">
      <c r="A2851" s="88" t="s">
        <v>484</v>
      </c>
      <c r="B2851" s="24">
        <v>39738</v>
      </c>
      <c r="C2851">
        <v>7.0811215569379646</v>
      </c>
      <c r="D2851">
        <v>12.4</v>
      </c>
      <c r="E2851">
        <v>6.1</v>
      </c>
      <c r="F2851">
        <v>0.38500000000000001</v>
      </c>
      <c r="H2851" s="126">
        <f t="shared" si="44"/>
        <v>0.94191143925241705</v>
      </c>
      <c r="I2851" s="34">
        <v>416.34000000000003</v>
      </c>
      <c r="J2851">
        <v>79.929166666666674</v>
      </c>
    </row>
    <row r="2852" spans="1:10" x14ac:dyDescent="0.3">
      <c r="A2852" s="88" t="s">
        <v>484</v>
      </c>
      <c r="B2852" s="24">
        <v>39739</v>
      </c>
      <c r="C2852">
        <v>6.5764675371522374</v>
      </c>
      <c r="D2852">
        <v>12.4</v>
      </c>
      <c r="E2852">
        <v>5.9</v>
      </c>
      <c r="F2852">
        <v>0</v>
      </c>
      <c r="H2852" s="126">
        <f t="shared" si="44"/>
        <v>0.92895926237531279</v>
      </c>
      <c r="I2852" s="34">
        <v>191.43000000000004</v>
      </c>
      <c r="J2852">
        <v>78.930208333333312</v>
      </c>
    </row>
    <row r="2853" spans="1:10" x14ac:dyDescent="0.3">
      <c r="A2853" s="88" t="s">
        <v>484</v>
      </c>
      <c r="B2853" s="24">
        <v>39740</v>
      </c>
      <c r="C2853">
        <v>5.5749768576118894</v>
      </c>
      <c r="D2853">
        <v>13.4</v>
      </c>
      <c r="E2853">
        <v>7.1</v>
      </c>
      <c r="F2853">
        <v>5.0000000000000001E-3</v>
      </c>
      <c r="H2853" s="126">
        <f t="shared" si="44"/>
        <v>1.0090889554747804</v>
      </c>
      <c r="I2853" s="34">
        <v>246.96000000000006</v>
      </c>
      <c r="J2853">
        <v>77.757291666666674</v>
      </c>
    </row>
    <row r="2854" spans="1:10" x14ac:dyDescent="0.3">
      <c r="A2854" s="88" t="s">
        <v>484</v>
      </c>
      <c r="B2854" s="24">
        <v>39741</v>
      </c>
      <c r="C2854">
        <v>9.7086231229479854</v>
      </c>
      <c r="D2854">
        <v>16.2</v>
      </c>
      <c r="E2854">
        <v>7.9</v>
      </c>
      <c r="F2854">
        <v>0.03</v>
      </c>
      <c r="H2854" s="126">
        <f t="shared" si="44"/>
        <v>1.0658332114824252</v>
      </c>
      <c r="I2854" s="34">
        <v>226.07999999999998</v>
      </c>
      <c r="J2854">
        <v>66.694791666666688</v>
      </c>
    </row>
    <row r="2855" spans="1:10" x14ac:dyDescent="0.3">
      <c r="A2855" s="88" t="s">
        <v>484</v>
      </c>
      <c r="B2855" s="24">
        <v>39742</v>
      </c>
      <c r="C2855">
        <v>1.5238471703818905</v>
      </c>
      <c r="D2855">
        <v>16.899999999999999</v>
      </c>
      <c r="E2855">
        <v>9.1999999999999993</v>
      </c>
      <c r="F2855">
        <v>4.0949999999999998</v>
      </c>
      <c r="H2855" s="126">
        <f t="shared" si="44"/>
        <v>1.16404559315309</v>
      </c>
      <c r="I2855" s="34">
        <v>252.71999999999997</v>
      </c>
      <c r="J2855">
        <v>84.21875</v>
      </c>
    </row>
    <row r="2856" spans="1:10" x14ac:dyDescent="0.3">
      <c r="A2856" s="88" t="s">
        <v>484</v>
      </c>
      <c r="B2856" s="24">
        <v>39743</v>
      </c>
      <c r="C2856">
        <v>4.0714379449628479</v>
      </c>
      <c r="D2856">
        <v>11.1</v>
      </c>
      <c r="E2856">
        <v>6</v>
      </c>
      <c r="F2856">
        <v>0</v>
      </c>
      <c r="H2856" s="126">
        <f t="shared" si="44"/>
        <v>0.93541559507788385</v>
      </c>
      <c r="I2856" s="34">
        <v>133.56</v>
      </c>
      <c r="J2856">
        <v>83.564583333333374</v>
      </c>
    </row>
    <row r="2857" spans="1:10" x14ac:dyDescent="0.3">
      <c r="A2857" s="88" t="s">
        <v>484</v>
      </c>
      <c r="B2857" s="24">
        <v>39744</v>
      </c>
      <c r="C2857">
        <v>7.8619889644893721</v>
      </c>
      <c r="D2857">
        <v>11.9</v>
      </c>
      <c r="E2857">
        <v>4.7</v>
      </c>
      <c r="F2857">
        <v>0</v>
      </c>
      <c r="H2857" s="126">
        <f t="shared" si="44"/>
        <v>0.85449106840682587</v>
      </c>
      <c r="I2857" s="34">
        <v>170.28000000000003</v>
      </c>
      <c r="J2857">
        <v>80.947916666666671</v>
      </c>
    </row>
    <row r="2858" spans="1:10" x14ac:dyDescent="0.3">
      <c r="A2858" s="88" t="s">
        <v>484</v>
      </c>
      <c r="B2858" s="24">
        <v>39745</v>
      </c>
      <c r="C2858">
        <v>7.5831697900466564</v>
      </c>
      <c r="D2858">
        <v>12.5</v>
      </c>
      <c r="E2858">
        <v>4.3</v>
      </c>
      <c r="F2858">
        <v>0</v>
      </c>
      <c r="H2858" s="126">
        <f t="shared" si="44"/>
        <v>0.83086609768035358</v>
      </c>
      <c r="I2858" s="34">
        <v>158.94000000000003</v>
      </c>
      <c r="J2858">
        <v>70.790625000000006</v>
      </c>
    </row>
    <row r="2859" spans="1:10" x14ac:dyDescent="0.3">
      <c r="A2859" s="88" t="s">
        <v>484</v>
      </c>
      <c r="B2859" s="24">
        <v>39746</v>
      </c>
      <c r="C2859">
        <v>3.9498345667012269</v>
      </c>
      <c r="D2859">
        <v>13.1</v>
      </c>
      <c r="E2859">
        <v>8.9</v>
      </c>
      <c r="F2859">
        <v>5.5E-2</v>
      </c>
      <c r="H2859" s="126">
        <f t="shared" si="44"/>
        <v>1.1407010860938473</v>
      </c>
      <c r="I2859" s="34">
        <v>122.04000000000002</v>
      </c>
      <c r="J2859">
        <v>88.045833333333334</v>
      </c>
    </row>
    <row r="2860" spans="1:10" x14ac:dyDescent="0.3">
      <c r="A2860" s="88" t="s">
        <v>484</v>
      </c>
      <c r="B2860" s="24">
        <v>39747</v>
      </c>
      <c r="C2860">
        <v>3.8925072598064627</v>
      </c>
      <c r="D2860">
        <v>14.7</v>
      </c>
      <c r="E2860">
        <v>8.6999999999999993</v>
      </c>
      <c r="F2860">
        <v>0</v>
      </c>
      <c r="H2860" s="126">
        <f t="shared" si="44"/>
        <v>1.1253678644990226</v>
      </c>
      <c r="I2860" s="34">
        <v>307.8900000000001</v>
      </c>
      <c r="J2860">
        <v>68.709374999999994</v>
      </c>
    </row>
    <row r="2861" spans="1:10" x14ac:dyDescent="0.3">
      <c r="A2861" s="88" t="s">
        <v>484</v>
      </c>
      <c r="B2861" s="24">
        <v>39748</v>
      </c>
      <c r="C2861">
        <v>1.5377446993260757</v>
      </c>
      <c r="D2861">
        <v>11.4</v>
      </c>
      <c r="E2861">
        <v>4.7</v>
      </c>
      <c r="F2861">
        <v>4.91</v>
      </c>
      <c r="H2861" s="126">
        <f t="shared" si="44"/>
        <v>0.85449106840682587</v>
      </c>
      <c r="I2861" s="34">
        <v>167.21999999999997</v>
      </c>
      <c r="J2861">
        <v>92.39270833333336</v>
      </c>
    </row>
    <row r="2862" spans="1:10" x14ac:dyDescent="0.3">
      <c r="A2862" s="88" t="s">
        <v>484</v>
      </c>
      <c r="B2862" s="24">
        <v>39749</v>
      </c>
      <c r="C2862">
        <v>4.4735976887852082</v>
      </c>
      <c r="D2862">
        <v>8.6</v>
      </c>
      <c r="E2862">
        <v>3.2</v>
      </c>
      <c r="F2862">
        <v>5.0000000000000001E-3</v>
      </c>
      <c r="H2862" s="126">
        <f t="shared" si="44"/>
        <v>0.76884154961442475</v>
      </c>
      <c r="I2862" s="34">
        <v>125.37000000000003</v>
      </c>
      <c r="J2862">
        <v>85.509375000000006</v>
      </c>
    </row>
    <row r="2863" spans="1:10" x14ac:dyDescent="0.3">
      <c r="A2863" s="88" t="s">
        <v>484</v>
      </c>
      <c r="B2863" s="24">
        <v>39750</v>
      </c>
      <c r="C2863">
        <v>4.6603457339726972</v>
      </c>
      <c r="D2863">
        <v>6.8</v>
      </c>
      <c r="E2863">
        <v>1.7</v>
      </c>
      <c r="F2863">
        <v>0</v>
      </c>
      <c r="H2863" s="126">
        <f t="shared" si="44"/>
        <v>0.69086052853268343</v>
      </c>
      <c r="I2863" s="34">
        <v>66.87</v>
      </c>
      <c r="J2863">
        <v>89.795833333333348</v>
      </c>
    </row>
    <row r="2864" spans="1:10" x14ac:dyDescent="0.3">
      <c r="A2864" s="88" t="s">
        <v>484</v>
      </c>
      <c r="B2864" s="24">
        <v>39751</v>
      </c>
      <c r="C2864">
        <v>0.64395986910316227</v>
      </c>
      <c r="D2864">
        <v>3.7</v>
      </c>
      <c r="E2864">
        <v>2.7</v>
      </c>
      <c r="F2864">
        <v>13.85</v>
      </c>
      <c r="H2864" s="126">
        <f t="shared" si="44"/>
        <v>0.74202613073523482</v>
      </c>
      <c r="I2864" s="34">
        <v>232.10999999999993</v>
      </c>
      <c r="J2864">
        <v>94.571875000000006</v>
      </c>
    </row>
    <row r="2865" spans="1:10" x14ac:dyDescent="0.3">
      <c r="A2865" s="88" t="s">
        <v>484</v>
      </c>
      <c r="B2865" s="24">
        <v>39752</v>
      </c>
      <c r="C2865">
        <v>3.3105482352687057</v>
      </c>
      <c r="D2865">
        <v>6.8</v>
      </c>
      <c r="E2865">
        <v>2.6</v>
      </c>
      <c r="F2865">
        <v>1.155</v>
      </c>
      <c r="H2865" s="126">
        <f t="shared" si="44"/>
        <v>0.73676325541308207</v>
      </c>
      <c r="I2865" s="34">
        <v>161.10000000000002</v>
      </c>
      <c r="J2865">
        <v>87.712500000000006</v>
      </c>
    </row>
    <row r="2866" spans="1:10" x14ac:dyDescent="0.3">
      <c r="A2866" s="88" t="s">
        <v>484</v>
      </c>
      <c r="B2866" s="24">
        <v>39753</v>
      </c>
      <c r="C2866">
        <v>2.3116633424053914</v>
      </c>
      <c r="D2866">
        <v>7.1</v>
      </c>
      <c r="E2866">
        <v>4.4000000000000004</v>
      </c>
      <c r="F2866">
        <v>8.5000000000000006E-2</v>
      </c>
      <c r="H2866" s="126">
        <f t="shared" si="44"/>
        <v>0.83671766728803487</v>
      </c>
      <c r="I2866" s="34">
        <v>243.72000000000011</v>
      </c>
      <c r="J2866">
        <v>87.208333333333329</v>
      </c>
    </row>
    <row r="2867" spans="1:10" x14ac:dyDescent="0.3">
      <c r="A2867" s="88" t="s">
        <v>484</v>
      </c>
      <c r="B2867" s="24">
        <v>39754</v>
      </c>
      <c r="C2867">
        <v>2.6990569617245548</v>
      </c>
      <c r="D2867">
        <v>7.8</v>
      </c>
      <c r="E2867">
        <v>5.0999999999999996</v>
      </c>
      <c r="F2867">
        <v>0</v>
      </c>
      <c r="H2867" s="126">
        <f t="shared" si="44"/>
        <v>0.87870648225166126</v>
      </c>
      <c r="I2867" s="34">
        <v>202.14</v>
      </c>
      <c r="J2867">
        <v>95.059374999999946</v>
      </c>
    </row>
    <row r="2868" spans="1:10" x14ac:dyDescent="0.3">
      <c r="A2868" s="88" t="s">
        <v>484</v>
      </c>
      <c r="B2868" s="24">
        <v>39755</v>
      </c>
      <c r="C2868">
        <v>0.86197735441506829</v>
      </c>
      <c r="D2868">
        <v>8.1999999999999993</v>
      </c>
      <c r="E2868">
        <v>5.8</v>
      </c>
      <c r="F2868">
        <v>0</v>
      </c>
      <c r="H2868" s="126">
        <f t="shared" si="44"/>
        <v>0.92254223518646628</v>
      </c>
      <c r="I2868" s="34">
        <v>268.83000000000004</v>
      </c>
      <c r="J2868">
        <v>98.8</v>
      </c>
    </row>
    <row r="2869" spans="1:10" x14ac:dyDescent="0.3">
      <c r="A2869" s="88" t="s">
        <v>484</v>
      </c>
      <c r="B2869" s="24">
        <v>39756</v>
      </c>
      <c r="C2869">
        <v>1.5012636858475896</v>
      </c>
      <c r="D2869">
        <v>9.1</v>
      </c>
      <c r="E2869">
        <v>7.8</v>
      </c>
      <c r="F2869">
        <v>0</v>
      </c>
      <c r="H2869" s="126">
        <f t="shared" si="44"/>
        <v>1.0585899253295545</v>
      </c>
      <c r="I2869" s="34">
        <v>97.29000000000002</v>
      </c>
      <c r="J2869">
        <v>96.981250000000003</v>
      </c>
    </row>
    <row r="2870" spans="1:10" x14ac:dyDescent="0.3">
      <c r="A2870" s="88" t="s">
        <v>484</v>
      </c>
      <c r="B2870" s="24">
        <v>39757</v>
      </c>
      <c r="C2870">
        <v>0.64656565578019698</v>
      </c>
      <c r="D2870">
        <v>9.8000000000000007</v>
      </c>
      <c r="E2870">
        <v>8.8000000000000007</v>
      </c>
      <c r="F2870">
        <v>0.27500000000000002</v>
      </c>
      <c r="H2870" s="126">
        <f t="shared" si="44"/>
        <v>1.1330116523877718</v>
      </c>
      <c r="I2870" s="34">
        <v>303.83999999999997</v>
      </c>
      <c r="J2870">
        <v>95.665624999999935</v>
      </c>
    </row>
    <row r="2871" spans="1:10" x14ac:dyDescent="0.3">
      <c r="A2871" s="88" t="s">
        <v>484</v>
      </c>
      <c r="B2871" s="24">
        <v>39758</v>
      </c>
      <c r="C2871">
        <v>1.6628224598237429</v>
      </c>
      <c r="D2871">
        <v>12.2</v>
      </c>
      <c r="E2871">
        <v>9.8000000000000007</v>
      </c>
      <c r="F2871">
        <v>5.0000000000000001E-3</v>
      </c>
      <c r="H2871" s="126">
        <f t="shared" si="44"/>
        <v>1.2119987528679013</v>
      </c>
      <c r="I2871" s="34">
        <v>113.76000000000008</v>
      </c>
      <c r="J2871">
        <v>93.346874999999997</v>
      </c>
    </row>
    <row r="2872" spans="1:10" x14ac:dyDescent="0.3">
      <c r="A2872" s="88" t="s">
        <v>484</v>
      </c>
      <c r="B2872" s="24">
        <v>39759</v>
      </c>
      <c r="C2872">
        <v>1.3344933385173665</v>
      </c>
      <c r="D2872">
        <v>11.9</v>
      </c>
      <c r="E2872">
        <v>6.6</v>
      </c>
      <c r="F2872">
        <v>0.26500000000000001</v>
      </c>
      <c r="H2872" s="126">
        <f t="shared" si="44"/>
        <v>0.97499060249070812</v>
      </c>
      <c r="I2872" s="34">
        <v>87.75</v>
      </c>
      <c r="J2872">
        <v>91.974999999999994</v>
      </c>
    </row>
    <row r="2873" spans="1:10" x14ac:dyDescent="0.3">
      <c r="A2873" s="88" t="s">
        <v>484</v>
      </c>
      <c r="B2873" s="24">
        <v>39760</v>
      </c>
      <c r="C2873">
        <v>3.6076079164506654</v>
      </c>
      <c r="D2873">
        <v>11.8</v>
      </c>
      <c r="E2873">
        <v>4.8</v>
      </c>
      <c r="F2873">
        <v>0</v>
      </c>
      <c r="H2873" s="126">
        <f t="shared" si="44"/>
        <v>0.86048907931200158</v>
      </c>
      <c r="I2873" s="34">
        <v>120.24</v>
      </c>
      <c r="J2873">
        <v>88.629166666666677</v>
      </c>
    </row>
    <row r="2874" spans="1:10" x14ac:dyDescent="0.3">
      <c r="A2874" s="88" t="s">
        <v>484</v>
      </c>
      <c r="B2874" s="24">
        <v>39761</v>
      </c>
      <c r="C2874">
        <v>1.2068097913426645</v>
      </c>
      <c r="D2874">
        <v>11.8</v>
      </c>
      <c r="E2874">
        <v>4.9000000000000004</v>
      </c>
      <c r="F2874">
        <v>0.14499999999999999</v>
      </c>
      <c r="H2874" s="126">
        <f t="shared" si="44"/>
        <v>0.86652418747176108</v>
      </c>
      <c r="I2874" s="34">
        <v>204.21000000000006</v>
      </c>
      <c r="J2874">
        <v>78.157291666666694</v>
      </c>
    </row>
    <row r="2875" spans="1:10" x14ac:dyDescent="0.3">
      <c r="A2875" s="88" t="s">
        <v>484</v>
      </c>
      <c r="B2875" s="24">
        <v>39762</v>
      </c>
      <c r="C2875">
        <v>3.4703698181268363</v>
      </c>
      <c r="D2875">
        <v>15.4</v>
      </c>
      <c r="E2875">
        <v>8.6999999999999993</v>
      </c>
      <c r="F2875">
        <v>0</v>
      </c>
      <c r="H2875" s="126">
        <f t="shared" si="44"/>
        <v>1.1253678644990226</v>
      </c>
      <c r="I2875" s="34">
        <v>379.43999999999983</v>
      </c>
      <c r="J2875">
        <v>68.719791666666666</v>
      </c>
    </row>
    <row r="2876" spans="1:10" x14ac:dyDescent="0.3">
      <c r="A2876" s="88" t="s">
        <v>484</v>
      </c>
      <c r="B2876" s="24">
        <v>39763</v>
      </c>
      <c r="C2876">
        <v>2.0206838301365129</v>
      </c>
      <c r="D2876">
        <v>15.7</v>
      </c>
      <c r="E2876">
        <v>8.1</v>
      </c>
      <c r="F2876">
        <v>1.405</v>
      </c>
      <c r="H2876" s="126">
        <f t="shared" si="44"/>
        <v>1.080450793034103</v>
      </c>
      <c r="I2876" s="34">
        <v>359.19</v>
      </c>
      <c r="J2876">
        <v>64.732291666666711</v>
      </c>
    </row>
    <row r="2877" spans="1:10" x14ac:dyDescent="0.3">
      <c r="A2877" s="88" t="s">
        <v>484</v>
      </c>
      <c r="B2877" s="24">
        <v>39764</v>
      </c>
      <c r="C2877">
        <v>4.089678451702091</v>
      </c>
      <c r="D2877">
        <v>11</v>
      </c>
      <c r="E2877">
        <v>6.5</v>
      </c>
      <c r="F2877">
        <v>0</v>
      </c>
      <c r="H2877" s="126">
        <f t="shared" si="44"/>
        <v>0.96829408068935052</v>
      </c>
      <c r="I2877" s="34">
        <v>215.82</v>
      </c>
      <c r="J2877">
        <v>72.70729166666662</v>
      </c>
    </row>
    <row r="2878" spans="1:10" x14ac:dyDescent="0.3">
      <c r="A2878" s="88" t="s">
        <v>484</v>
      </c>
      <c r="B2878" s="24">
        <v>39765</v>
      </c>
      <c r="C2878">
        <v>2.1822426041126666</v>
      </c>
      <c r="D2878">
        <v>9.4</v>
      </c>
      <c r="E2878">
        <v>4.7</v>
      </c>
      <c r="F2878">
        <v>0</v>
      </c>
      <c r="H2878" s="126">
        <f t="shared" si="44"/>
        <v>0.85449106840682587</v>
      </c>
      <c r="I2878" s="34">
        <v>144.26999999999995</v>
      </c>
      <c r="J2878">
        <v>82.97604166666666</v>
      </c>
    </row>
    <row r="2879" spans="1:10" x14ac:dyDescent="0.3">
      <c r="A2879" s="88" t="s">
        <v>484</v>
      </c>
      <c r="B2879" s="24">
        <v>39766</v>
      </c>
      <c r="C2879">
        <v>1.1920436668394678</v>
      </c>
      <c r="D2879">
        <v>9.3000000000000007</v>
      </c>
      <c r="E2879">
        <v>4</v>
      </c>
      <c r="F2879">
        <v>0.105</v>
      </c>
      <c r="H2879" s="126">
        <f t="shared" si="44"/>
        <v>0.81352738957079329</v>
      </c>
      <c r="I2879" s="34">
        <v>262.34999999999991</v>
      </c>
      <c r="J2879">
        <v>81.143749999999997</v>
      </c>
    </row>
    <row r="2880" spans="1:10" x14ac:dyDescent="0.3">
      <c r="A2880" s="88" t="s">
        <v>484</v>
      </c>
      <c r="B2880" s="24">
        <v>39767</v>
      </c>
      <c r="C2880">
        <v>0.63527391351304641</v>
      </c>
      <c r="D2880">
        <v>10.9</v>
      </c>
      <c r="E2880">
        <v>8.8000000000000007</v>
      </c>
      <c r="F2880">
        <v>0</v>
      </c>
      <c r="H2880" s="126">
        <f t="shared" si="44"/>
        <v>1.1330116523877718</v>
      </c>
      <c r="I2880" s="34">
        <v>390.24000000000012</v>
      </c>
      <c r="J2880">
        <v>86.448958333333337</v>
      </c>
    </row>
    <row r="2881" spans="1:10" x14ac:dyDescent="0.3">
      <c r="A2881" s="88" t="s">
        <v>484</v>
      </c>
      <c r="B2881" s="24">
        <v>39768</v>
      </c>
      <c r="C2881">
        <v>2.382019582685329</v>
      </c>
      <c r="D2881">
        <v>10.4</v>
      </c>
      <c r="E2881">
        <v>5.9</v>
      </c>
      <c r="F2881">
        <v>0.64</v>
      </c>
      <c r="H2881" s="126">
        <f t="shared" si="44"/>
        <v>0.92895926237531279</v>
      </c>
      <c r="I2881" s="34">
        <v>425.33999999999992</v>
      </c>
      <c r="J2881">
        <v>80.703125</v>
      </c>
    </row>
    <row r="2882" spans="1:10" x14ac:dyDescent="0.3">
      <c r="A2882" s="88" t="s">
        <v>484</v>
      </c>
      <c r="B2882" s="24">
        <v>39769</v>
      </c>
      <c r="C2882">
        <v>4.8123499567997232</v>
      </c>
      <c r="D2882">
        <v>7.8</v>
      </c>
      <c r="E2882">
        <v>1.6</v>
      </c>
      <c r="F2882">
        <v>0</v>
      </c>
      <c r="H2882" s="126">
        <f t="shared" si="44"/>
        <v>0.68591959793818613</v>
      </c>
      <c r="I2882" s="34">
        <v>199.26</v>
      </c>
      <c r="J2882">
        <v>84.813541666666666</v>
      </c>
    </row>
    <row r="2883" spans="1:10" x14ac:dyDescent="0.3">
      <c r="A2883" s="88" t="s">
        <v>484</v>
      </c>
      <c r="B2883" s="24">
        <v>39770</v>
      </c>
      <c r="C2883">
        <v>1.487366156903404</v>
      </c>
      <c r="D2883">
        <v>7.3</v>
      </c>
      <c r="E2883">
        <v>1.4</v>
      </c>
      <c r="F2883">
        <v>1.99</v>
      </c>
      <c r="H2883" s="126">
        <f t="shared" si="44"/>
        <v>0.67613129580825593</v>
      </c>
      <c r="I2883" s="34">
        <v>284.21999999999997</v>
      </c>
      <c r="J2883">
        <v>83.483333333333334</v>
      </c>
    </row>
    <row r="2884" spans="1:10" x14ac:dyDescent="0.3">
      <c r="A2884" s="88" t="s">
        <v>484</v>
      </c>
      <c r="B2884" s="24">
        <v>39771</v>
      </c>
      <c r="C2884">
        <v>1.7288357223086228</v>
      </c>
      <c r="D2884">
        <v>9.3000000000000007</v>
      </c>
      <c r="E2884">
        <v>5.0999999999999996</v>
      </c>
      <c r="F2884">
        <v>0.37</v>
      </c>
      <c r="H2884" s="126">
        <f t="shared" ref="H2884:H2926" si="45">0.611*EXP((17.27*E2884)/(E2884+237.3))</f>
        <v>0.87870648225166126</v>
      </c>
      <c r="I2884" s="34">
        <v>504.18</v>
      </c>
      <c r="J2884">
        <v>80.059375000000003</v>
      </c>
    </row>
    <row r="2885" spans="1:10" x14ac:dyDescent="0.3">
      <c r="A2885" s="88" t="s">
        <v>484</v>
      </c>
      <c r="B2885" s="24">
        <v>39772</v>
      </c>
      <c r="C2885">
        <v>0.99747826162087427</v>
      </c>
      <c r="D2885">
        <v>9.1</v>
      </c>
      <c r="E2885">
        <v>3.9</v>
      </c>
      <c r="F2885">
        <v>10.220000000000001</v>
      </c>
      <c r="H2885" s="126">
        <f t="shared" si="45"/>
        <v>0.80781918513419737</v>
      </c>
      <c r="I2885" s="34">
        <v>613.61999999999966</v>
      </c>
      <c r="J2885">
        <v>88.121875000000003</v>
      </c>
    </row>
    <row r="2886" spans="1:10" x14ac:dyDescent="0.3">
      <c r="A2886" s="88" t="s">
        <v>484</v>
      </c>
      <c r="B2886" s="24">
        <v>39773</v>
      </c>
      <c r="C2886">
        <v>1.3023553028339383</v>
      </c>
      <c r="D2886">
        <v>5.5</v>
      </c>
      <c r="E2886">
        <v>-0.2</v>
      </c>
      <c r="F2886">
        <v>4.7050000000000001</v>
      </c>
      <c r="H2886" s="126">
        <f t="shared" si="45"/>
        <v>0.60216365842742525</v>
      </c>
      <c r="I2886" s="34">
        <v>412.37999999999994</v>
      </c>
      <c r="J2886">
        <v>90.212500000000006</v>
      </c>
    </row>
    <row r="2887" spans="1:10" x14ac:dyDescent="0.3">
      <c r="A2887" s="88" t="s">
        <v>484</v>
      </c>
      <c r="B2887" s="24">
        <v>39774</v>
      </c>
      <c r="C2887">
        <v>2.2847368800760322</v>
      </c>
      <c r="D2887">
        <v>1.3</v>
      </c>
      <c r="E2887">
        <v>-1</v>
      </c>
      <c r="F2887">
        <v>0.57499999999999996</v>
      </c>
      <c r="H2887" s="126">
        <f t="shared" si="45"/>
        <v>0.5679377955282604</v>
      </c>
      <c r="I2887" s="34">
        <v>433.89</v>
      </c>
      <c r="J2887">
        <v>90.15</v>
      </c>
    </row>
    <row r="2888" spans="1:10" x14ac:dyDescent="0.3">
      <c r="A2888" s="88" t="s">
        <v>484</v>
      </c>
      <c r="B2888" s="24">
        <v>39775</v>
      </c>
      <c r="C2888">
        <v>1.8452275272161742</v>
      </c>
      <c r="D2888">
        <v>2</v>
      </c>
      <c r="E2888">
        <v>-0.6</v>
      </c>
      <c r="F2888">
        <v>0</v>
      </c>
      <c r="H2888" s="126">
        <f t="shared" si="45"/>
        <v>0.58482930968803559</v>
      </c>
      <c r="I2888" s="34">
        <v>333.80999999999995</v>
      </c>
      <c r="J2888">
        <v>84.60833333333332</v>
      </c>
    </row>
    <row r="2889" spans="1:10" x14ac:dyDescent="0.3">
      <c r="A2889" s="88" t="s">
        <v>484</v>
      </c>
      <c r="B2889" s="24">
        <v>39776</v>
      </c>
      <c r="C2889">
        <v>2.3768080093312598</v>
      </c>
      <c r="D2889">
        <v>0.8</v>
      </c>
      <c r="E2889">
        <v>-3.2</v>
      </c>
      <c r="F2889">
        <v>0.48499999999999999</v>
      </c>
      <c r="H2889" s="126">
        <f t="shared" si="45"/>
        <v>0.48252218724041501</v>
      </c>
      <c r="I2889" s="34">
        <v>199.53000000000003</v>
      </c>
      <c r="J2889">
        <v>92.420833333333306</v>
      </c>
    </row>
    <row r="2890" spans="1:10" x14ac:dyDescent="0.3">
      <c r="A2890" s="88" t="s">
        <v>484</v>
      </c>
      <c r="B2890" s="24">
        <v>39777</v>
      </c>
      <c r="C2890">
        <v>3.0030654073786072</v>
      </c>
      <c r="D2890">
        <v>2.2000000000000002</v>
      </c>
      <c r="E2890">
        <v>-2.2999999999999998</v>
      </c>
      <c r="F2890">
        <v>4.4999999999999998E-2</v>
      </c>
      <c r="H2890" s="126">
        <f t="shared" si="45"/>
        <v>0.51598176579815569</v>
      </c>
      <c r="I2890" s="34">
        <v>244.52999999999997</v>
      </c>
      <c r="J2890">
        <v>90.944791666666674</v>
      </c>
    </row>
    <row r="2891" spans="1:10" x14ac:dyDescent="0.3">
      <c r="A2891" s="88" t="s">
        <v>484</v>
      </c>
      <c r="B2891" s="24">
        <v>39778</v>
      </c>
      <c r="C2891">
        <v>1.5707513305685157</v>
      </c>
      <c r="D2891">
        <v>5.2</v>
      </c>
      <c r="E2891">
        <v>-1.2</v>
      </c>
      <c r="F2891">
        <v>0.17499999999999999</v>
      </c>
      <c r="H2891" s="126">
        <f t="shared" si="45"/>
        <v>0.55965503960920326</v>
      </c>
      <c r="I2891" s="34">
        <v>334.35</v>
      </c>
      <c r="J2891">
        <v>88.162499999999994</v>
      </c>
    </row>
    <row r="2892" spans="1:10" x14ac:dyDescent="0.3">
      <c r="A2892" s="88" t="s">
        <v>484</v>
      </c>
      <c r="B2892" s="24">
        <v>39779</v>
      </c>
      <c r="C2892">
        <v>2.2204608087091757</v>
      </c>
      <c r="D2892">
        <v>6.2</v>
      </c>
      <c r="E2892">
        <v>4.0999999999999996</v>
      </c>
      <c r="F2892">
        <v>0.08</v>
      </c>
      <c r="H2892" s="126">
        <f t="shared" si="45"/>
        <v>0.81927114982761395</v>
      </c>
      <c r="I2892" s="34">
        <v>295.92</v>
      </c>
      <c r="J2892">
        <v>85.1</v>
      </c>
    </row>
    <row r="2893" spans="1:10" x14ac:dyDescent="0.3">
      <c r="A2893" s="88" t="s">
        <v>484</v>
      </c>
      <c r="B2893" s="24">
        <v>39780</v>
      </c>
      <c r="C2893">
        <v>2.5609502678417138</v>
      </c>
      <c r="D2893">
        <v>5</v>
      </c>
      <c r="E2893">
        <v>0.3</v>
      </c>
      <c r="F2893">
        <v>0</v>
      </c>
      <c r="H2893" s="126">
        <f t="shared" si="45"/>
        <v>0.62446951587741306</v>
      </c>
      <c r="I2893" s="34">
        <v>169.19999999999996</v>
      </c>
      <c r="J2893">
        <v>68.191666666666691</v>
      </c>
    </row>
    <row r="2894" spans="1:10" x14ac:dyDescent="0.3">
      <c r="A2894" s="88" t="s">
        <v>484</v>
      </c>
      <c r="B2894" s="24">
        <v>39781</v>
      </c>
      <c r="C2894">
        <v>1.016587363919129</v>
      </c>
      <c r="D2894">
        <v>2.2000000000000002</v>
      </c>
      <c r="E2894">
        <v>-0.2</v>
      </c>
      <c r="F2894">
        <v>2.7850000000000001</v>
      </c>
      <c r="H2894" s="126">
        <f t="shared" si="45"/>
        <v>0.60216365842742525</v>
      </c>
      <c r="I2894" s="34">
        <v>95.04</v>
      </c>
      <c r="J2894">
        <v>91.518749999999997</v>
      </c>
    </row>
    <row r="2895" spans="1:10" x14ac:dyDescent="0.3">
      <c r="A2895" s="88" t="s">
        <v>484</v>
      </c>
      <c r="B2895" s="24">
        <v>39782</v>
      </c>
      <c r="C2895">
        <v>1.4578339078970106</v>
      </c>
      <c r="D2895">
        <v>2.2000000000000002</v>
      </c>
      <c r="E2895">
        <v>-1.9</v>
      </c>
      <c r="F2895">
        <v>0</v>
      </c>
      <c r="H2895" s="126">
        <f t="shared" si="45"/>
        <v>0.53150065801075153</v>
      </c>
      <c r="I2895" s="34">
        <v>112.68000000000005</v>
      </c>
      <c r="J2895">
        <v>94.084374999999994</v>
      </c>
    </row>
    <row r="2896" spans="1:10" x14ac:dyDescent="0.3">
      <c r="A2896" s="88" t="s">
        <v>484</v>
      </c>
      <c r="B2896" s="24">
        <v>39783</v>
      </c>
      <c r="C2896">
        <v>1.5351389126490409</v>
      </c>
      <c r="D2896">
        <v>2.5</v>
      </c>
      <c r="E2896">
        <v>-2</v>
      </c>
      <c r="F2896">
        <v>4.1050000000000004</v>
      </c>
      <c r="H2896" s="126">
        <f t="shared" si="45"/>
        <v>0.52758269928339141</v>
      </c>
      <c r="I2896" s="34">
        <v>193.59</v>
      </c>
      <c r="J2896">
        <v>91.232291666666654</v>
      </c>
    </row>
    <row r="2897" spans="1:10" x14ac:dyDescent="0.3">
      <c r="A2897" s="88" t="s">
        <v>484</v>
      </c>
      <c r="B2897" s="24">
        <v>39784</v>
      </c>
      <c r="C2897">
        <v>3.0890563677207532</v>
      </c>
      <c r="D2897">
        <v>5.7</v>
      </c>
      <c r="E2897">
        <v>1.3</v>
      </c>
      <c r="F2897">
        <v>0.99</v>
      </c>
      <c r="H2897" s="126">
        <f t="shared" si="45"/>
        <v>0.67128358518521281</v>
      </c>
      <c r="I2897" s="34">
        <v>332.54999999999984</v>
      </c>
      <c r="J2897">
        <v>87.080208333333303</v>
      </c>
    </row>
    <row r="2898" spans="1:10" x14ac:dyDescent="0.3">
      <c r="A2898" s="88" t="s">
        <v>484</v>
      </c>
      <c r="B2898" s="24">
        <v>39785</v>
      </c>
      <c r="C2898">
        <v>0.81767898090547775</v>
      </c>
      <c r="D2898">
        <v>2.7</v>
      </c>
      <c r="E2898">
        <v>1.2</v>
      </c>
      <c r="F2898">
        <v>0.49</v>
      </c>
      <c r="H2898" s="126">
        <f t="shared" si="45"/>
        <v>0.66646661006207619</v>
      </c>
      <c r="I2898" s="34">
        <v>243.54000000000002</v>
      </c>
      <c r="J2898">
        <v>80.747916666666654</v>
      </c>
    </row>
    <row r="2899" spans="1:10" x14ac:dyDescent="0.3">
      <c r="A2899" s="88" t="s">
        <v>484</v>
      </c>
      <c r="B2899" s="24">
        <v>39786</v>
      </c>
      <c r="C2899">
        <v>0.72387066053222748</v>
      </c>
      <c r="D2899">
        <v>5.4</v>
      </c>
      <c r="E2899">
        <v>0.6</v>
      </c>
      <c r="F2899">
        <v>0.72499999999999998</v>
      </c>
      <c r="H2899" s="126">
        <f t="shared" si="45"/>
        <v>0.63820086880942895</v>
      </c>
      <c r="I2899" s="34">
        <v>213.75000000000006</v>
      </c>
      <c r="J2899">
        <v>81.455208333333317</v>
      </c>
    </row>
    <row r="2900" spans="1:10" x14ac:dyDescent="0.3">
      <c r="A2900" s="88" t="s">
        <v>484</v>
      </c>
      <c r="B2900" s="24">
        <v>39787</v>
      </c>
      <c r="C2900">
        <v>1.4100611521513737</v>
      </c>
      <c r="D2900">
        <v>7.2</v>
      </c>
      <c r="E2900">
        <v>1.8</v>
      </c>
      <c r="F2900">
        <v>0.46</v>
      </c>
      <c r="H2900" s="126">
        <f t="shared" si="45"/>
        <v>0.69583287280742301</v>
      </c>
      <c r="I2900" s="34">
        <v>128.97000000000003</v>
      </c>
      <c r="J2900">
        <v>83.146874999999994</v>
      </c>
    </row>
    <row r="2901" spans="1:10" x14ac:dyDescent="0.3">
      <c r="A2901" s="88" t="s">
        <v>484</v>
      </c>
      <c r="B2901" s="24">
        <v>39788</v>
      </c>
      <c r="C2901">
        <v>0.8020442608432693</v>
      </c>
      <c r="D2901">
        <v>5.4</v>
      </c>
      <c r="E2901">
        <v>2.1</v>
      </c>
      <c r="F2901">
        <v>0.45</v>
      </c>
      <c r="H2901" s="126">
        <f t="shared" si="45"/>
        <v>0.7109401060616396</v>
      </c>
      <c r="I2901" s="34">
        <v>144.54000000000002</v>
      </c>
      <c r="J2901">
        <v>92.180208333333312</v>
      </c>
    </row>
    <row r="2902" spans="1:10" x14ac:dyDescent="0.3">
      <c r="A2902" s="88" t="s">
        <v>484</v>
      </c>
      <c r="B2902" s="24">
        <v>39789</v>
      </c>
      <c r="C2902">
        <v>1.357945418610679</v>
      </c>
      <c r="D2902">
        <v>5.4</v>
      </c>
      <c r="E2902">
        <v>3.1</v>
      </c>
      <c r="F2902">
        <v>0.44500000000000001</v>
      </c>
      <c r="H2902" s="126">
        <f t="shared" si="45"/>
        <v>0.76341105875491733</v>
      </c>
      <c r="I2902" s="34">
        <v>260.46000000000009</v>
      </c>
      <c r="J2902">
        <v>89.855208333333351</v>
      </c>
    </row>
    <row r="2903" spans="1:10" x14ac:dyDescent="0.3">
      <c r="A2903" s="88" t="s">
        <v>484</v>
      </c>
      <c r="B2903" s="24">
        <v>39790</v>
      </c>
      <c r="C2903">
        <v>2.0302383812856402</v>
      </c>
      <c r="D2903">
        <v>5.2</v>
      </c>
      <c r="E2903">
        <v>1.5</v>
      </c>
      <c r="F2903">
        <v>0</v>
      </c>
      <c r="H2903" s="126">
        <f t="shared" si="45"/>
        <v>0.68100991033793745</v>
      </c>
      <c r="I2903" s="34">
        <v>293.94000000000005</v>
      </c>
      <c r="J2903">
        <v>83.090625000000003</v>
      </c>
    </row>
    <row r="2904" spans="1:10" x14ac:dyDescent="0.3">
      <c r="A2904" s="88" t="s">
        <v>484</v>
      </c>
      <c r="B2904" s="24">
        <v>39791</v>
      </c>
      <c r="C2904">
        <v>1.9885457944530844</v>
      </c>
      <c r="D2904">
        <v>1.7</v>
      </c>
      <c r="E2904">
        <v>-1.2</v>
      </c>
      <c r="F2904">
        <v>0</v>
      </c>
      <c r="H2904" s="126">
        <f t="shared" si="45"/>
        <v>0.55965503960920326</v>
      </c>
      <c r="I2904" s="34">
        <v>186.12</v>
      </c>
      <c r="J2904">
        <v>83.318749999999994</v>
      </c>
    </row>
    <row r="2905" spans="1:10" x14ac:dyDescent="0.3">
      <c r="A2905" s="88" t="s">
        <v>484</v>
      </c>
      <c r="B2905" s="24">
        <v>39792</v>
      </c>
      <c r="C2905">
        <v>0.75774588733367898</v>
      </c>
      <c r="D2905">
        <v>2.9</v>
      </c>
      <c r="E2905">
        <v>0.5</v>
      </c>
      <c r="F2905">
        <v>0</v>
      </c>
      <c r="H2905" s="126">
        <f t="shared" si="45"/>
        <v>0.63359438986733596</v>
      </c>
      <c r="I2905" s="34">
        <v>140.4</v>
      </c>
      <c r="J2905">
        <v>93.054166666666632</v>
      </c>
    </row>
    <row r="2906" spans="1:10" x14ac:dyDescent="0.3">
      <c r="A2906" s="88" t="s">
        <v>484</v>
      </c>
      <c r="B2906" s="24">
        <v>39793</v>
      </c>
      <c r="C2906">
        <v>0.71605330050112326</v>
      </c>
      <c r="D2906">
        <v>1.9</v>
      </c>
      <c r="E2906">
        <v>-0.1</v>
      </c>
      <c r="F2906">
        <v>1.27</v>
      </c>
      <c r="H2906" s="126">
        <f t="shared" si="45"/>
        <v>0.60656760126761966</v>
      </c>
      <c r="I2906" s="34">
        <v>127.53000000000002</v>
      </c>
      <c r="J2906">
        <v>93.854166666666686</v>
      </c>
    </row>
    <row r="2907" spans="1:10" x14ac:dyDescent="0.3">
      <c r="A2907" s="88" t="s">
        <v>484</v>
      </c>
      <c r="B2907" s="24">
        <v>39794</v>
      </c>
      <c r="C2907">
        <v>1.7201497667185071</v>
      </c>
      <c r="D2907">
        <v>1.6</v>
      </c>
      <c r="E2907">
        <v>-1</v>
      </c>
      <c r="F2907">
        <v>0.47</v>
      </c>
      <c r="H2907" s="126">
        <f t="shared" si="45"/>
        <v>0.5679377955282604</v>
      </c>
      <c r="I2907" s="34">
        <v>104.12999999999997</v>
      </c>
      <c r="J2907">
        <v>93.119791666666671</v>
      </c>
    </row>
    <row r="2908" spans="1:10" x14ac:dyDescent="0.3">
      <c r="A2908" s="88" t="s">
        <v>484</v>
      </c>
      <c r="B2908" s="24">
        <v>39795</v>
      </c>
      <c r="C2908">
        <v>0.47197794841886992</v>
      </c>
      <c r="D2908">
        <v>2.1</v>
      </c>
      <c r="E2908">
        <v>-0.9</v>
      </c>
      <c r="F2908">
        <v>0</v>
      </c>
      <c r="H2908" s="126">
        <f t="shared" si="45"/>
        <v>0.57211969598720058</v>
      </c>
      <c r="I2908" s="34">
        <v>321.92999999999995</v>
      </c>
      <c r="J2908">
        <v>90.811458333333277</v>
      </c>
    </row>
    <row r="2909" spans="1:10" x14ac:dyDescent="0.3">
      <c r="A2909" s="88" t="s">
        <v>484</v>
      </c>
      <c r="B2909" s="24">
        <v>39796</v>
      </c>
      <c r="C2909">
        <v>2.4723535208225331</v>
      </c>
      <c r="D2909">
        <v>5.3</v>
      </c>
      <c r="E2909">
        <v>1.5</v>
      </c>
      <c r="F2909">
        <v>0</v>
      </c>
      <c r="H2909" s="126">
        <f t="shared" si="45"/>
        <v>0.68100991033793745</v>
      </c>
      <c r="I2909" s="34">
        <v>329.58000000000004</v>
      </c>
      <c r="J2909">
        <v>85.834374999999994</v>
      </c>
    </row>
    <row r="2910" spans="1:10" x14ac:dyDescent="0.3">
      <c r="A2910" s="88" t="s">
        <v>484</v>
      </c>
      <c r="B2910" s="24">
        <v>39797</v>
      </c>
      <c r="C2910">
        <v>1.0521997818386037</v>
      </c>
      <c r="D2910">
        <v>4.0999999999999996</v>
      </c>
      <c r="E2910">
        <v>2.2999999999999998</v>
      </c>
      <c r="F2910">
        <v>0</v>
      </c>
      <c r="H2910" s="126">
        <f t="shared" si="45"/>
        <v>0.72117182708011951</v>
      </c>
      <c r="I2910" s="34">
        <v>242.10000000000002</v>
      </c>
      <c r="J2910">
        <v>87.980208333333351</v>
      </c>
    </row>
    <row r="2911" spans="1:10" x14ac:dyDescent="0.3">
      <c r="A2911" s="88" t="s">
        <v>484</v>
      </c>
      <c r="B2911" s="24">
        <v>39798</v>
      </c>
      <c r="C2911">
        <v>0.53538542422671509</v>
      </c>
      <c r="D2911">
        <v>3.6</v>
      </c>
      <c r="E2911">
        <v>2</v>
      </c>
      <c r="F2911">
        <v>0</v>
      </c>
      <c r="H2911" s="126">
        <f t="shared" si="45"/>
        <v>0.70587248896856769</v>
      </c>
      <c r="I2911" s="34">
        <v>73.259999999999991</v>
      </c>
      <c r="J2911">
        <v>91.746875000000003</v>
      </c>
    </row>
    <row r="2912" spans="1:10" x14ac:dyDescent="0.3">
      <c r="A2912" s="88" t="s">
        <v>484</v>
      </c>
      <c r="B2912" s="24">
        <v>39799</v>
      </c>
      <c r="C2912">
        <v>0.69781279376187999</v>
      </c>
      <c r="D2912">
        <v>3.5</v>
      </c>
      <c r="E2912">
        <v>0.8</v>
      </c>
      <c r="F2912">
        <v>8.5000000000000006E-2</v>
      </c>
      <c r="H2912" s="126">
        <f t="shared" si="45"/>
        <v>0.64750272279315535</v>
      </c>
      <c r="I2912" s="34">
        <v>138.59999999999997</v>
      </c>
      <c r="J2912">
        <v>87.56041666666664</v>
      </c>
    </row>
    <row r="2913" spans="1:10" x14ac:dyDescent="0.3">
      <c r="A2913" s="88" t="s">
        <v>484</v>
      </c>
      <c r="B2913" s="24">
        <v>39800</v>
      </c>
      <c r="C2913">
        <v>2.8345578689303612</v>
      </c>
      <c r="D2913">
        <v>5</v>
      </c>
      <c r="E2913">
        <v>1</v>
      </c>
      <c r="F2913">
        <v>0.01</v>
      </c>
      <c r="H2913" s="126">
        <f t="shared" si="45"/>
        <v>0.65692419645928013</v>
      </c>
      <c r="I2913" s="34">
        <v>183.96000000000009</v>
      </c>
      <c r="J2913">
        <v>90.980208333333337</v>
      </c>
    </row>
    <row r="2914" spans="1:10" x14ac:dyDescent="0.3">
      <c r="A2914" s="88" t="s">
        <v>484</v>
      </c>
      <c r="B2914" s="24">
        <v>39801</v>
      </c>
      <c r="C2914">
        <v>1.4265644677725937</v>
      </c>
      <c r="D2914">
        <v>6.5</v>
      </c>
      <c r="E2914">
        <v>2.2999999999999998</v>
      </c>
      <c r="F2914">
        <v>1.835</v>
      </c>
      <c r="H2914" s="126">
        <f t="shared" si="45"/>
        <v>0.72117182708011951</v>
      </c>
      <c r="I2914" s="34">
        <v>339.75</v>
      </c>
      <c r="J2914">
        <v>87.497916666666654</v>
      </c>
    </row>
    <row r="2915" spans="1:10" x14ac:dyDescent="0.3">
      <c r="A2915" s="88" t="s">
        <v>484</v>
      </c>
      <c r="B2915" s="24">
        <v>39802</v>
      </c>
      <c r="C2915">
        <v>1.2441594003801624</v>
      </c>
      <c r="D2915">
        <v>8.6</v>
      </c>
      <c r="E2915">
        <v>2.8</v>
      </c>
      <c r="F2915">
        <v>1.905</v>
      </c>
      <c r="H2915" s="126">
        <f t="shared" si="45"/>
        <v>0.74732216909166049</v>
      </c>
      <c r="I2915" s="34">
        <v>482.31000000000006</v>
      </c>
      <c r="J2915">
        <v>81.833333333333343</v>
      </c>
    </row>
    <row r="2916" spans="1:10" x14ac:dyDescent="0.3">
      <c r="A2916" s="88" t="s">
        <v>484</v>
      </c>
      <c r="B2916" s="24">
        <v>39803</v>
      </c>
      <c r="C2916">
        <v>0.51106474857439088</v>
      </c>
      <c r="D2916">
        <v>8.8000000000000007</v>
      </c>
      <c r="E2916">
        <v>2.6</v>
      </c>
      <c r="F2916">
        <v>0.39500000000000002</v>
      </c>
      <c r="H2916" s="126">
        <f t="shared" si="45"/>
        <v>0.73676325541308207</v>
      </c>
      <c r="I2916" s="34">
        <v>332.28000000000003</v>
      </c>
      <c r="J2916">
        <v>88.630208333333329</v>
      </c>
    </row>
    <row r="2917" spans="1:10" x14ac:dyDescent="0.3">
      <c r="A2917" s="88" t="s">
        <v>484</v>
      </c>
      <c r="B2917" s="24">
        <v>39804</v>
      </c>
      <c r="C2917">
        <v>1.9277441053222739</v>
      </c>
      <c r="D2917">
        <v>9.1999999999999993</v>
      </c>
      <c r="E2917">
        <v>5.7</v>
      </c>
      <c r="F2917">
        <v>0.51</v>
      </c>
      <c r="H2917" s="126">
        <f t="shared" si="45"/>
        <v>0.91616430843021424</v>
      </c>
      <c r="I2917" s="34">
        <v>549.0899999999998</v>
      </c>
      <c r="J2917">
        <v>81.279166666666669</v>
      </c>
    </row>
    <row r="2918" spans="1:10" x14ac:dyDescent="0.3">
      <c r="A2918" s="88" t="s">
        <v>484</v>
      </c>
      <c r="B2918" s="24">
        <v>39805</v>
      </c>
      <c r="C2918">
        <v>1.2615313115603941</v>
      </c>
      <c r="D2918">
        <v>6.2</v>
      </c>
      <c r="E2918">
        <v>5.2</v>
      </c>
      <c r="F2918">
        <v>0.495</v>
      </c>
      <c r="H2918" s="126">
        <f t="shared" si="45"/>
        <v>0.88485406434684233</v>
      </c>
      <c r="I2918" s="34">
        <v>310.8599999999999</v>
      </c>
      <c r="J2918">
        <v>92.469791666666694</v>
      </c>
    </row>
    <row r="2919" spans="1:10" x14ac:dyDescent="0.3">
      <c r="A2919" s="88" t="s">
        <v>484</v>
      </c>
      <c r="B2919" s="24">
        <v>39806</v>
      </c>
      <c r="C2919">
        <v>0.50324738854328666</v>
      </c>
      <c r="D2919">
        <v>6.5</v>
      </c>
      <c r="E2919">
        <v>4.9000000000000004</v>
      </c>
      <c r="F2919">
        <v>0.15</v>
      </c>
      <c r="H2919" s="126">
        <f t="shared" si="45"/>
        <v>0.86652418747176108</v>
      </c>
      <c r="I2919" s="34">
        <v>334.17000000000007</v>
      </c>
      <c r="J2919">
        <v>93.121875000000003</v>
      </c>
    </row>
    <row r="2920" spans="1:10" x14ac:dyDescent="0.3">
      <c r="A2920" s="88" t="s">
        <v>484</v>
      </c>
      <c r="B2920" s="24">
        <v>39807</v>
      </c>
      <c r="C2920" s="4">
        <v>2.6469412281838602</v>
      </c>
      <c r="D2920" s="4">
        <v>5.0999999999999996</v>
      </c>
      <c r="E2920" s="4">
        <v>-0.7</v>
      </c>
      <c r="F2920" s="4">
        <v>8.5000000000000006E-2</v>
      </c>
      <c r="G2920" s="4"/>
      <c r="H2920" s="126">
        <f t="shared" si="45"/>
        <v>0.58056530033118703</v>
      </c>
      <c r="I2920" s="85">
        <v>299.79000000000008</v>
      </c>
      <c r="J2920" s="4">
        <v>84.21875</v>
      </c>
    </row>
    <row r="2921" spans="1:10" x14ac:dyDescent="0.3">
      <c r="A2921" s="88" t="s">
        <v>484</v>
      </c>
      <c r="B2921" s="24">
        <v>39808</v>
      </c>
      <c r="C2921">
        <v>3.5198797649904963</v>
      </c>
      <c r="D2921">
        <v>-0.3</v>
      </c>
      <c r="E2921">
        <v>-4.2</v>
      </c>
      <c r="F2921">
        <v>0</v>
      </c>
      <c r="H2921" s="126">
        <f t="shared" si="45"/>
        <v>0.447611553404549</v>
      </c>
      <c r="I2921">
        <v>328.59000000000003</v>
      </c>
      <c r="J2921">
        <v>80.685416666666626</v>
      </c>
    </row>
    <row r="2922" spans="1:10" x14ac:dyDescent="0.3">
      <c r="A2922" s="88" t="s">
        <v>484</v>
      </c>
      <c r="B2922" s="24">
        <v>39809</v>
      </c>
      <c r="C2922">
        <v>2.5913511124071196</v>
      </c>
      <c r="D2922">
        <v>0.7</v>
      </c>
      <c r="E2922">
        <v>-4.5999999999999996</v>
      </c>
      <c r="F2922">
        <v>0</v>
      </c>
      <c r="H2922" s="126">
        <f t="shared" si="45"/>
        <v>0.43428656685913181</v>
      </c>
      <c r="I2922">
        <v>212.57999999999993</v>
      </c>
      <c r="J2922">
        <v>95.132291666666674</v>
      </c>
    </row>
    <row r="2923" spans="1:10" x14ac:dyDescent="0.3">
      <c r="A2923" s="88" t="s">
        <v>484</v>
      </c>
      <c r="B2923" s="24">
        <v>39810</v>
      </c>
      <c r="C2923">
        <v>2.7833107309486782</v>
      </c>
      <c r="D2923">
        <v>-1.7</v>
      </c>
      <c r="E2923">
        <v>-5.0999999999999996</v>
      </c>
      <c r="F2923">
        <v>0</v>
      </c>
      <c r="H2923" s="126">
        <f t="shared" si="45"/>
        <v>0.41812553637572114</v>
      </c>
      <c r="I2923">
        <v>286.64999999999992</v>
      </c>
      <c r="J2923">
        <v>98.666666666666643</v>
      </c>
    </row>
    <row r="2924" spans="1:10" x14ac:dyDescent="0.3">
      <c r="A2924" s="88" t="s">
        <v>484</v>
      </c>
      <c r="B2924" s="24">
        <v>39811</v>
      </c>
      <c r="C2924">
        <v>1.0739146708138931</v>
      </c>
      <c r="D2924">
        <v>-3.4</v>
      </c>
      <c r="E2924">
        <v>-6.2</v>
      </c>
      <c r="F2924">
        <v>0</v>
      </c>
      <c r="H2924" s="126">
        <f t="shared" si="45"/>
        <v>0.38443461500304205</v>
      </c>
      <c r="I2924">
        <v>308.97000000000008</v>
      </c>
      <c r="J2924">
        <v>98.744791666666686</v>
      </c>
    </row>
    <row r="2925" spans="1:10" x14ac:dyDescent="0.3">
      <c r="A2925" s="88" t="s">
        <v>484</v>
      </c>
      <c r="B2925" s="24">
        <v>39812</v>
      </c>
      <c r="C2925">
        <v>2.5783221790219457</v>
      </c>
      <c r="D2925">
        <v>-2.6</v>
      </c>
      <c r="E2925">
        <v>-8.6999999999999993</v>
      </c>
      <c r="F2925">
        <v>0</v>
      </c>
      <c r="H2925" s="126">
        <f t="shared" si="45"/>
        <v>0.31666351439151719</v>
      </c>
      <c r="I2925">
        <v>68.759999999999977</v>
      </c>
      <c r="J2925">
        <v>99.046875</v>
      </c>
    </row>
    <row r="2926" spans="1:10" x14ac:dyDescent="0.3">
      <c r="A2926" s="88" t="s">
        <v>484</v>
      </c>
      <c r="B2926" s="24">
        <v>39813</v>
      </c>
      <c r="C2926">
        <v>3.2262944660445827</v>
      </c>
      <c r="D2926">
        <v>-1.1000000000000001</v>
      </c>
      <c r="E2926">
        <v>-9.1</v>
      </c>
      <c r="F2926">
        <v>0</v>
      </c>
      <c r="H2926" s="126">
        <f t="shared" si="45"/>
        <v>0.30686747521888891</v>
      </c>
      <c r="I2926">
        <v>79.38</v>
      </c>
      <c r="J2926">
        <v>98.889583333333306</v>
      </c>
    </row>
  </sheetData>
  <autoFilter ref="A1:J2195" xr:uid="{00000000-0009-0000-0000-00000D000000}"/>
  <pageMargins left="0.7" right="0.7" top="0.75" bottom="0.75" header="0.3" footer="0.3"/>
  <pageSetup orientation="portrait" r:id="rId1"/>
  <legacy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FF0000"/>
  </sheetPr>
  <dimension ref="A1:F13"/>
  <sheetViews>
    <sheetView workbookViewId="0">
      <pane ySplit="2" topLeftCell="A3" activePane="bottomLeft" state="frozen"/>
      <selection activeCell="Q1" sqref="Q1"/>
      <selection pane="bottomLeft" activeCell="B4" sqref="B4"/>
    </sheetView>
  </sheetViews>
  <sheetFormatPr defaultColWidth="9.21875" defaultRowHeight="14.4" x14ac:dyDescent="0.3"/>
  <cols>
    <col min="1" max="1" width="19" bestFit="1" customWidth="1"/>
    <col min="2" max="2" width="24.5546875" style="34" bestFit="1" customWidth="1"/>
    <col min="3" max="3" width="14.77734375" bestFit="1" customWidth="1"/>
    <col min="4" max="4" width="12.44140625" bestFit="1" customWidth="1"/>
    <col min="5" max="5" width="22" bestFit="1" customWidth="1"/>
    <col min="6" max="6" width="11.77734375" bestFit="1" customWidth="1"/>
  </cols>
  <sheetData>
    <row r="1" spans="1:6" s="4" customFormat="1" x14ac:dyDescent="0.3">
      <c r="A1" s="46" t="s">
        <v>323</v>
      </c>
      <c r="B1" s="103" t="s">
        <v>195</v>
      </c>
      <c r="C1" s="4" t="s">
        <v>348</v>
      </c>
      <c r="D1" s="4" t="s">
        <v>349</v>
      </c>
      <c r="E1" s="4" t="s">
        <v>350</v>
      </c>
      <c r="F1" s="1" t="s">
        <v>351</v>
      </c>
    </row>
    <row r="2" spans="1:6" s="4" customFormat="1" ht="15" thickBot="1" x14ac:dyDescent="0.35">
      <c r="A2" s="105" t="s">
        <v>327</v>
      </c>
      <c r="B2" s="105" t="s">
        <v>194</v>
      </c>
      <c r="C2" s="147" t="s">
        <v>352</v>
      </c>
      <c r="D2" s="147" t="s">
        <v>353</v>
      </c>
      <c r="E2" s="147" t="s">
        <v>354</v>
      </c>
      <c r="F2" s="147" t="s">
        <v>355</v>
      </c>
    </row>
    <row r="3" spans="1:6" x14ac:dyDescent="0.3">
      <c r="A3" s="10">
        <v>1</v>
      </c>
      <c r="B3" s="85">
        <v>10380</v>
      </c>
      <c r="C3" s="15">
        <v>39212</v>
      </c>
      <c r="D3" s="15">
        <v>39281</v>
      </c>
      <c r="F3" s="15">
        <v>39356</v>
      </c>
    </row>
    <row r="4" spans="1:6" x14ac:dyDescent="0.3">
      <c r="A4" s="10">
        <v>2</v>
      </c>
      <c r="B4" s="85">
        <v>10290</v>
      </c>
      <c r="C4" s="15">
        <v>39212</v>
      </c>
      <c r="D4" s="15">
        <v>39281</v>
      </c>
      <c r="F4" s="15">
        <v>39356</v>
      </c>
    </row>
    <row r="5" spans="1:6" x14ac:dyDescent="0.3">
      <c r="A5" s="10">
        <v>3</v>
      </c>
      <c r="B5" s="85">
        <v>10040</v>
      </c>
      <c r="C5" s="15">
        <v>39212</v>
      </c>
      <c r="D5" s="15">
        <v>39281</v>
      </c>
      <c r="F5" s="15">
        <v>39357</v>
      </c>
    </row>
    <row r="6" spans="1:6" x14ac:dyDescent="0.3">
      <c r="A6" s="10">
        <v>4</v>
      </c>
      <c r="B6" s="34">
        <v>10170</v>
      </c>
      <c r="C6" s="15">
        <v>39212</v>
      </c>
      <c r="D6" s="15">
        <v>39281</v>
      </c>
      <c r="F6" s="15">
        <v>39357</v>
      </c>
    </row>
    <row r="7" spans="1:6" x14ac:dyDescent="0.3">
      <c r="A7" s="10">
        <v>5</v>
      </c>
      <c r="B7" s="34">
        <v>11250</v>
      </c>
      <c r="C7" s="15">
        <v>39584</v>
      </c>
      <c r="D7" s="15">
        <v>39654</v>
      </c>
      <c r="F7" s="15">
        <v>39720</v>
      </c>
    </row>
    <row r="8" spans="1:6" s="16" customFormat="1" x14ac:dyDescent="0.3">
      <c r="A8" s="10">
        <v>6</v>
      </c>
      <c r="B8" s="34">
        <v>11170</v>
      </c>
      <c r="C8" s="15">
        <v>39584</v>
      </c>
      <c r="D8" s="15">
        <v>39654</v>
      </c>
      <c r="F8" s="15">
        <v>39720</v>
      </c>
    </row>
    <row r="9" spans="1:6" s="16" customFormat="1" x14ac:dyDescent="0.3">
      <c r="A9" s="10">
        <v>7</v>
      </c>
      <c r="B9" s="34">
        <v>7290</v>
      </c>
      <c r="C9" s="15">
        <v>39584</v>
      </c>
      <c r="D9" s="15">
        <v>39654</v>
      </c>
      <c r="F9" s="15">
        <v>39721</v>
      </c>
    </row>
    <row r="10" spans="1:6" s="16" customFormat="1" x14ac:dyDescent="0.3">
      <c r="A10" s="10">
        <v>8</v>
      </c>
      <c r="B10" s="34">
        <v>10240</v>
      </c>
      <c r="C10" s="15">
        <v>39584</v>
      </c>
      <c r="D10" s="15">
        <v>39654</v>
      </c>
      <c r="F10" s="15">
        <v>39721</v>
      </c>
    </row>
    <row r="11" spans="1:6" s="16" customFormat="1" x14ac:dyDescent="0.3">
      <c r="A11"/>
      <c r="B11" s="34"/>
    </row>
    <row r="12" spans="1:6" s="16" customFormat="1" x14ac:dyDescent="0.3">
      <c r="A12"/>
      <c r="B12" s="34"/>
    </row>
    <row r="13" spans="1:6" s="16" customFormat="1" x14ac:dyDescent="0.3">
      <c r="A13"/>
      <c r="B13" s="34"/>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rgb="FFFF0000"/>
  </sheetPr>
  <dimension ref="A1:O38"/>
  <sheetViews>
    <sheetView tabSelected="1" zoomScaleNormal="100" workbookViewId="0">
      <selection activeCell="D7" sqref="D7"/>
    </sheetView>
  </sheetViews>
  <sheetFormatPr defaultColWidth="11.5546875" defaultRowHeight="14.4" x14ac:dyDescent="0.3"/>
  <cols>
    <col min="8" max="8" width="11.21875" bestFit="1" customWidth="1"/>
    <col min="11" max="11" width="11.21875" bestFit="1" customWidth="1"/>
  </cols>
  <sheetData>
    <row r="1" spans="1:15" x14ac:dyDescent="0.3">
      <c r="A1" s="46" t="s">
        <v>323</v>
      </c>
      <c r="B1" s="46" t="s">
        <v>392</v>
      </c>
      <c r="C1" s="112" t="s">
        <v>46</v>
      </c>
      <c r="D1" s="112" t="s">
        <v>393</v>
      </c>
      <c r="E1" s="4" t="s">
        <v>356</v>
      </c>
      <c r="F1" s="1" t="s">
        <v>359</v>
      </c>
      <c r="G1" s="1" t="s">
        <v>358</v>
      </c>
      <c r="H1" s="1" t="s">
        <v>361</v>
      </c>
      <c r="I1" s="1" t="s">
        <v>362</v>
      </c>
      <c r="J1" s="1" t="s">
        <v>364</v>
      </c>
      <c r="K1" s="1" t="s">
        <v>365</v>
      </c>
      <c r="L1" s="1" t="s">
        <v>366</v>
      </c>
      <c r="M1" s="1" t="s">
        <v>395</v>
      </c>
      <c r="N1" s="1" t="s">
        <v>396</v>
      </c>
      <c r="O1" s="1" t="s">
        <v>397</v>
      </c>
    </row>
    <row r="2" spans="1:15" ht="15" thickBot="1" x14ac:dyDescent="0.35">
      <c r="A2" s="105" t="s">
        <v>327</v>
      </c>
      <c r="B2" s="105" t="s">
        <v>392</v>
      </c>
      <c r="C2" s="113" t="s">
        <v>46</v>
      </c>
      <c r="D2" s="148" t="s">
        <v>394</v>
      </c>
      <c r="E2" s="113" t="s">
        <v>373</v>
      </c>
      <c r="F2" s="113" t="s">
        <v>375</v>
      </c>
      <c r="G2" s="1" t="s">
        <v>358</v>
      </c>
      <c r="H2" s="148" t="s">
        <v>379</v>
      </c>
      <c r="I2" s="113" t="s">
        <v>380</v>
      </c>
      <c r="J2" s="113" t="s">
        <v>381</v>
      </c>
      <c r="K2" s="148" t="s">
        <v>382</v>
      </c>
      <c r="L2" s="113" t="s">
        <v>383</v>
      </c>
      <c r="M2" s="1" t="s">
        <v>395</v>
      </c>
      <c r="N2" s="1" t="s">
        <v>396</v>
      </c>
      <c r="O2" s="1" t="s">
        <v>397</v>
      </c>
    </row>
    <row r="3" spans="1:15" s="3" customFormat="1" x14ac:dyDescent="0.3">
      <c r="A3" s="3">
        <v>2</v>
      </c>
      <c r="C3" s="15">
        <v>39258</v>
      </c>
      <c r="E3" s="135">
        <v>3.4633333333333334</v>
      </c>
      <c r="H3" s="3">
        <v>3376.666666666667</v>
      </c>
      <c r="J3" s="3">
        <v>1476.6666666666665</v>
      </c>
      <c r="K3" s="3">
        <v>0</v>
      </c>
      <c r="L3" s="3">
        <v>2123.3333333333335</v>
      </c>
    </row>
    <row r="4" spans="1:15" s="3" customFormat="1" x14ac:dyDescent="0.3">
      <c r="A4" s="3">
        <v>1</v>
      </c>
      <c r="C4" s="15">
        <v>39258</v>
      </c>
      <c r="E4" s="135">
        <v>3.5533333333333332</v>
      </c>
      <c r="H4" s="3">
        <v>3310</v>
      </c>
      <c r="J4" s="3">
        <v>1476.6666666666665</v>
      </c>
      <c r="K4" s="3">
        <v>0</v>
      </c>
      <c r="L4" s="3">
        <v>1850</v>
      </c>
    </row>
    <row r="5" spans="1:15" s="3" customFormat="1" x14ac:dyDescent="0.3">
      <c r="A5" s="3">
        <v>4</v>
      </c>
      <c r="C5" s="15">
        <v>39259</v>
      </c>
      <c r="E5" s="3">
        <v>3.4299999999999997</v>
      </c>
      <c r="H5" s="3">
        <v>3590</v>
      </c>
      <c r="J5" s="3">
        <v>1463.3333333333335</v>
      </c>
      <c r="K5" s="3">
        <v>0</v>
      </c>
      <c r="L5" s="3">
        <v>1913.3333333333335</v>
      </c>
    </row>
    <row r="6" spans="1:15" s="3" customFormat="1" x14ac:dyDescent="0.3">
      <c r="A6" s="3">
        <v>3</v>
      </c>
      <c r="C6" s="15">
        <v>39259</v>
      </c>
      <c r="E6" s="3">
        <v>3.17</v>
      </c>
      <c r="H6" s="3">
        <v>3333.333333333333</v>
      </c>
      <c r="J6" s="3">
        <v>1386.6666666666665</v>
      </c>
      <c r="K6" s="3">
        <v>0</v>
      </c>
      <c r="L6" s="3">
        <v>1930</v>
      </c>
    </row>
    <row r="7" spans="1:15" s="3" customFormat="1" x14ac:dyDescent="0.3">
      <c r="A7" s="3">
        <v>2</v>
      </c>
      <c r="C7" s="15">
        <v>39286</v>
      </c>
      <c r="E7" s="3">
        <v>4.12</v>
      </c>
      <c r="H7" s="3">
        <v>9676.6666666666661</v>
      </c>
      <c r="J7" s="3">
        <v>2346.6666666666665</v>
      </c>
      <c r="K7" s="3">
        <v>52.966666666666661</v>
      </c>
      <c r="L7" s="3">
        <v>6516.6666666666661</v>
      </c>
      <c r="O7" s="3">
        <v>763.33333333333326</v>
      </c>
    </row>
    <row r="8" spans="1:15" s="3" customFormat="1" x14ac:dyDescent="0.3">
      <c r="A8" s="3">
        <v>1</v>
      </c>
      <c r="C8" s="15">
        <v>39286</v>
      </c>
      <c r="E8" s="135">
        <v>4.5266666666666664</v>
      </c>
      <c r="H8" s="3">
        <v>9510</v>
      </c>
      <c r="J8" s="3">
        <v>2403.3333333333335</v>
      </c>
      <c r="K8" s="3">
        <v>59.966666666666661</v>
      </c>
      <c r="L8" s="3">
        <v>6376.6666666666661</v>
      </c>
      <c r="O8" s="3">
        <v>673.33333333333326</v>
      </c>
    </row>
    <row r="9" spans="1:15" s="3" customFormat="1" x14ac:dyDescent="0.3">
      <c r="A9" s="3">
        <v>4</v>
      </c>
      <c r="C9" s="15">
        <v>39287</v>
      </c>
      <c r="E9" s="135">
        <v>4.5766666666666671</v>
      </c>
      <c r="H9" s="3">
        <v>10683.333333333332</v>
      </c>
      <c r="J9" s="3">
        <v>2423.3333333333335</v>
      </c>
      <c r="K9" s="3">
        <v>43.5</v>
      </c>
      <c r="L9" s="3">
        <v>7196.6666666666661</v>
      </c>
      <c r="O9" s="3">
        <v>1016.6666666666667</v>
      </c>
    </row>
    <row r="10" spans="1:15" s="3" customFormat="1" x14ac:dyDescent="0.3">
      <c r="A10" s="3">
        <v>3</v>
      </c>
      <c r="C10" s="15">
        <v>39287</v>
      </c>
      <c r="E10" s="3">
        <v>4.3000000000000007</v>
      </c>
      <c r="H10" s="3">
        <v>10360</v>
      </c>
      <c r="J10" s="3">
        <v>2350</v>
      </c>
      <c r="K10" s="3">
        <v>31.43333333333333</v>
      </c>
      <c r="L10" s="3">
        <v>7026.6666666666661</v>
      </c>
      <c r="O10" s="3">
        <v>946.66666666666674</v>
      </c>
    </row>
    <row r="11" spans="1:15" s="3" customFormat="1" x14ac:dyDescent="0.3">
      <c r="A11" s="3">
        <v>2</v>
      </c>
      <c r="C11" s="15">
        <v>39314</v>
      </c>
      <c r="E11" s="135">
        <v>3.8766666666666669</v>
      </c>
      <c r="H11" s="3">
        <v>14976.666666666668</v>
      </c>
      <c r="J11" s="3">
        <v>2186.6666666666665</v>
      </c>
      <c r="K11" s="3">
        <v>126.83333333333331</v>
      </c>
      <c r="L11" s="3">
        <v>7400</v>
      </c>
      <c r="O11" s="3">
        <v>5266.6666666666661</v>
      </c>
    </row>
    <row r="12" spans="1:15" s="3" customFormat="1" x14ac:dyDescent="0.3">
      <c r="A12" s="3">
        <v>1</v>
      </c>
      <c r="C12" s="15">
        <v>39314</v>
      </c>
      <c r="E12" s="3">
        <v>3.7100000000000004</v>
      </c>
      <c r="H12" s="3">
        <v>14720</v>
      </c>
      <c r="J12" s="3">
        <v>2156.6666666666665</v>
      </c>
      <c r="K12" s="3">
        <v>79.833333333333329</v>
      </c>
      <c r="L12" s="3">
        <v>6936.6666666666661</v>
      </c>
      <c r="O12" s="3">
        <v>5546.6666666666661</v>
      </c>
    </row>
    <row r="13" spans="1:15" s="3" customFormat="1" x14ac:dyDescent="0.3">
      <c r="A13" s="3">
        <v>4</v>
      </c>
      <c r="C13" s="15">
        <v>39315</v>
      </c>
      <c r="E13" s="3">
        <v>3.7000000000000006</v>
      </c>
      <c r="H13" s="3">
        <v>14610</v>
      </c>
      <c r="J13" s="3">
        <v>2103.3333333333335</v>
      </c>
      <c r="K13" s="3">
        <v>58.8</v>
      </c>
      <c r="L13" s="3">
        <v>7266.6666666666661</v>
      </c>
      <c r="O13" s="3">
        <v>5176.6666666666661</v>
      </c>
    </row>
    <row r="14" spans="1:15" s="3" customFormat="1" x14ac:dyDescent="0.3">
      <c r="A14" s="3">
        <v>3</v>
      </c>
      <c r="C14" s="15">
        <v>39315</v>
      </c>
      <c r="E14" s="135">
        <v>3.4666666666666663</v>
      </c>
      <c r="H14" s="3">
        <v>14576.666666666668</v>
      </c>
      <c r="J14" s="3">
        <v>2010</v>
      </c>
      <c r="K14" s="3">
        <v>57.800000000000004</v>
      </c>
      <c r="L14" s="3">
        <v>6663.3333333333339</v>
      </c>
      <c r="O14" s="3">
        <v>5843.3333333333339</v>
      </c>
    </row>
    <row r="15" spans="1:15" s="3" customFormat="1" x14ac:dyDescent="0.3">
      <c r="A15" s="3">
        <v>2</v>
      </c>
      <c r="C15" s="15">
        <v>39356</v>
      </c>
      <c r="E15" s="135">
        <v>2.7033333333333331</v>
      </c>
      <c r="F15" s="3">
        <v>4164</v>
      </c>
      <c r="H15" s="3">
        <v>21836.666666666664</v>
      </c>
      <c r="I15" s="3">
        <v>10293.333333333332</v>
      </c>
      <c r="J15" s="3">
        <v>1606.6666666666665</v>
      </c>
      <c r="K15" s="3">
        <v>1020.0666666666666</v>
      </c>
      <c r="L15" s="3">
        <v>6070</v>
      </c>
      <c r="M15" s="3">
        <v>1956.6666666666665</v>
      </c>
      <c r="N15" s="3">
        <v>866.66666666666674</v>
      </c>
    </row>
    <row r="16" spans="1:15" s="3" customFormat="1" x14ac:dyDescent="0.3">
      <c r="A16" s="3">
        <v>1</v>
      </c>
      <c r="C16" s="15">
        <v>39356</v>
      </c>
      <c r="E16" s="135">
        <v>2.6733333333333333</v>
      </c>
      <c r="F16" s="234">
        <v>4208.333333333333</v>
      </c>
      <c r="G16" s="234"/>
      <c r="H16" s="3">
        <v>21383.333333333336</v>
      </c>
      <c r="I16" s="3">
        <v>10373.333333333332</v>
      </c>
      <c r="J16" s="3">
        <v>1580</v>
      </c>
      <c r="K16" s="3">
        <v>753.13333333333333</v>
      </c>
      <c r="L16" s="3">
        <v>5753.3333333333339</v>
      </c>
      <c r="M16" s="3">
        <v>2010</v>
      </c>
      <c r="N16" s="3">
        <v>860</v>
      </c>
    </row>
    <row r="17" spans="1:15" s="3" customFormat="1" x14ac:dyDescent="0.3">
      <c r="A17" s="3">
        <v>4</v>
      </c>
      <c r="C17" s="15">
        <v>39357</v>
      </c>
      <c r="E17" s="3">
        <v>2.57</v>
      </c>
      <c r="F17" s="234">
        <v>3939.6666666666665</v>
      </c>
      <c r="G17" s="234"/>
      <c r="H17" s="3">
        <v>21526.666666666664</v>
      </c>
      <c r="I17" s="3">
        <v>10170</v>
      </c>
      <c r="J17" s="3">
        <v>1440</v>
      </c>
      <c r="K17" s="3">
        <v>907.73333333333323</v>
      </c>
      <c r="L17" s="3">
        <v>6113.3333333333339</v>
      </c>
      <c r="M17" s="3">
        <v>1973.3333333333335</v>
      </c>
      <c r="N17" s="3">
        <v>793.33333333333326</v>
      </c>
    </row>
    <row r="18" spans="1:15" s="3" customFormat="1" x14ac:dyDescent="0.3">
      <c r="A18" s="3">
        <v>3</v>
      </c>
      <c r="C18" s="15">
        <v>39357</v>
      </c>
      <c r="E18" s="135">
        <v>2.5233333333333334</v>
      </c>
      <c r="F18" s="3">
        <v>4058</v>
      </c>
      <c r="H18" s="3">
        <v>21386.666666666664</v>
      </c>
      <c r="I18" s="3">
        <v>10036.666666666666</v>
      </c>
      <c r="J18" s="3">
        <v>1430</v>
      </c>
      <c r="K18" s="3">
        <v>799.13333333333344</v>
      </c>
      <c r="L18" s="3">
        <v>6126.6666666666661</v>
      </c>
      <c r="M18" s="3">
        <v>1986.6666666666665</v>
      </c>
      <c r="N18" s="3">
        <v>876.66666666666674</v>
      </c>
    </row>
    <row r="19" spans="1:15" x14ac:dyDescent="0.3">
      <c r="A19" s="232">
        <v>6</v>
      </c>
      <c r="B19" s="232"/>
      <c r="C19" s="233">
        <v>39623</v>
      </c>
      <c r="D19" s="232"/>
      <c r="E19" s="232">
        <f>(3+2.7+3.1)/3</f>
        <v>2.9333333333333336</v>
      </c>
      <c r="F19" s="232"/>
      <c r="H19">
        <f>((305+302+364)/3)*10</f>
        <v>3236.666666666667</v>
      </c>
      <c r="J19">
        <f>((148+141+174)/3)*10</f>
        <v>1543.3333333333335</v>
      </c>
      <c r="L19">
        <f>((157+161+190)/3)*10</f>
        <v>1693.3333333333335</v>
      </c>
    </row>
    <row r="20" spans="1:15" x14ac:dyDescent="0.3">
      <c r="A20" s="232">
        <v>8</v>
      </c>
      <c r="B20" s="232"/>
      <c r="C20" s="233">
        <v>39623</v>
      </c>
      <c r="D20" s="232"/>
      <c r="E20" s="232">
        <f>(2.8+2.8+2.6)/3</f>
        <v>2.7333333333333329</v>
      </c>
      <c r="F20" s="232"/>
      <c r="H20">
        <f>((279+321+271)/3)*10</f>
        <v>2903.333333333333</v>
      </c>
      <c r="J20">
        <f>((134+155+135)/3)*10</f>
        <v>1413.3333333333335</v>
      </c>
      <c r="L20">
        <f>((145+166+135)/3)*10</f>
        <v>1486.6666666666665</v>
      </c>
    </row>
    <row r="21" spans="1:15" x14ac:dyDescent="0.3">
      <c r="A21" s="232">
        <v>5</v>
      </c>
      <c r="B21" s="232"/>
      <c r="C21" s="233">
        <v>39623</v>
      </c>
      <c r="D21" s="232"/>
      <c r="E21" s="232">
        <f>(2.9+2.8+2.8)/3</f>
        <v>2.8333333333333335</v>
      </c>
      <c r="F21" s="232"/>
      <c r="H21">
        <f>((325+292+291)/3)*10</f>
        <v>3026.666666666667</v>
      </c>
      <c r="J21">
        <f>((156+140+137)/3)*10</f>
        <v>1443.3333333333335</v>
      </c>
      <c r="L21">
        <f>((170+152+154)/3)*10</f>
        <v>1586.6666666666665</v>
      </c>
    </row>
    <row r="22" spans="1:15" x14ac:dyDescent="0.3">
      <c r="A22" s="232">
        <v>7</v>
      </c>
      <c r="B22" s="232"/>
      <c r="C22" s="233">
        <v>39623</v>
      </c>
      <c r="D22" s="232"/>
      <c r="E22" s="232">
        <f>(2.9+3.1+2.6)/3</f>
        <v>2.8666666666666667</v>
      </c>
      <c r="F22" s="232"/>
      <c r="H22">
        <f>((335+300+273)/3)*10</f>
        <v>3026.666666666667</v>
      </c>
      <c r="J22">
        <f>((152+154+129)/3)*10</f>
        <v>1450</v>
      </c>
      <c r="L22">
        <f>((183+145+144)/3)*10</f>
        <v>1573.3333333333335</v>
      </c>
    </row>
    <row r="23" spans="1:15" x14ac:dyDescent="0.3">
      <c r="A23" s="232">
        <v>6</v>
      </c>
      <c r="B23" s="232"/>
      <c r="C23" s="233">
        <v>39643</v>
      </c>
      <c r="D23" s="232"/>
      <c r="E23" s="232">
        <f>(5.1+4.5+5.3+5.2+5+4.9)/6</f>
        <v>5</v>
      </c>
      <c r="F23" s="232"/>
      <c r="H23">
        <f>((906+817+899+879+952+910)/6)*10</f>
        <v>8938.3333333333339</v>
      </c>
      <c r="J23">
        <f>((275+255+276+283+281+271)/6)*10</f>
        <v>2735</v>
      </c>
      <c r="L23">
        <f>((631+563+623+597+670+639)/6)*10</f>
        <v>6205</v>
      </c>
    </row>
    <row r="24" spans="1:15" x14ac:dyDescent="0.3">
      <c r="A24" s="232">
        <v>5</v>
      </c>
      <c r="B24" s="232"/>
      <c r="C24" s="233">
        <v>39643</v>
      </c>
      <c r="D24" s="232"/>
      <c r="E24" s="232">
        <f>(4.7+5+3.8+4.9+4.5+4.6)/6</f>
        <v>4.583333333333333</v>
      </c>
      <c r="F24" s="232"/>
      <c r="H24">
        <f>((808+874+785+828+933+864)/6)*10</f>
        <v>8486.6666666666661</v>
      </c>
      <c r="J24">
        <f>((260+284+225+259+263+256)/6)*10</f>
        <v>2578.333333333333</v>
      </c>
      <c r="L24">
        <f>((548+590+560+569+670+608)/6)*10</f>
        <v>5908.3333333333339</v>
      </c>
    </row>
    <row r="25" spans="1:15" x14ac:dyDescent="0.3">
      <c r="A25" s="232">
        <v>8</v>
      </c>
      <c r="B25" s="232"/>
      <c r="C25" s="233">
        <v>39644</v>
      </c>
      <c r="D25" s="232"/>
      <c r="E25" s="232">
        <f>(4.4+4.2+4.6+4.8+4.7+4.9)/6</f>
        <v>4.6000000000000005</v>
      </c>
      <c r="F25" s="232"/>
      <c r="H25">
        <f>((762+777+787+862+877+867)/6)*10</f>
        <v>8220</v>
      </c>
      <c r="J25">
        <f>((228+226+233+255+258+263)/6)*10</f>
        <v>2438.3333333333335</v>
      </c>
      <c r="K25">
        <f>((0.33439162+0.278733754+2.852664476+2.511794527+2.67731257+0.542740388)/6)*10</f>
        <v>15.329395558333337</v>
      </c>
      <c r="L25">
        <f>((534+550+551+605+617+603)/6)*10</f>
        <v>5766.6666666666661</v>
      </c>
    </row>
    <row r="26" spans="1:15" x14ac:dyDescent="0.3">
      <c r="A26" s="232">
        <v>7</v>
      </c>
      <c r="B26" s="232"/>
      <c r="C26" s="233">
        <v>39644</v>
      </c>
      <c r="D26" s="232"/>
      <c r="E26" s="232">
        <f>(4.6+4.2+4.8+4.4+4+4.3)/6</f>
        <v>4.3833333333333337</v>
      </c>
      <c r="F26" s="232"/>
      <c r="H26">
        <f>((752+699+882+787+721+782)/6)*10</f>
        <v>7705</v>
      </c>
      <c r="J26">
        <f>((250+233+266+243+224+240)/6)*10</f>
        <v>2426.6666666666665</v>
      </c>
      <c r="K26">
        <f>((0.2083898+1.349282155+0.864096257+0.157765399+0.715347735+2.34920547)/6)*10</f>
        <v>9.406811359999999</v>
      </c>
      <c r="L26">
        <f>((502+465+615+543+497+539)/6)*10</f>
        <v>5268.3333333333339</v>
      </c>
    </row>
    <row r="27" spans="1:15" x14ac:dyDescent="0.3">
      <c r="A27" s="232">
        <v>6</v>
      </c>
      <c r="B27" s="232"/>
      <c r="C27" s="233">
        <v>39665</v>
      </c>
      <c r="D27" s="232"/>
      <c r="E27" s="232">
        <f>(4.6+4.6+4.7+4+4.9+4.9)/6</f>
        <v>4.6166666666666663</v>
      </c>
      <c r="F27" s="232"/>
      <c r="H27">
        <f>((1472+1607+1679+1500+1544+1635)/6)*10</f>
        <v>15728.333333333332</v>
      </c>
      <c r="J27">
        <f>((261+288+287+249+281+297)/6)*10</f>
        <v>2771.666666666667</v>
      </c>
      <c r="K27">
        <f>((8.576196939+3.524180504+3.984447404+5.538785622+11.30305448+12.16962488)/6)*10</f>
        <v>75.160483048333333</v>
      </c>
      <c r="L27">
        <f>((803+871+866+778+841+881)/6)*10</f>
        <v>8400</v>
      </c>
      <c r="O27">
        <f>((400+445+522+467+410+446)/6)*10</f>
        <v>4483.333333333333</v>
      </c>
    </row>
    <row r="28" spans="1:15" x14ac:dyDescent="0.3">
      <c r="A28" s="232">
        <v>5</v>
      </c>
      <c r="B28" s="232"/>
      <c r="C28" s="233">
        <v>39665</v>
      </c>
      <c r="D28" s="232"/>
      <c r="E28" s="232">
        <f>(4.5+4.6+4.1+4.5+4.6+4.5)/6</f>
        <v>4.4666666666666659</v>
      </c>
      <c r="F28" s="232"/>
      <c r="H28">
        <f>((1424+1673+1342+1454+1470+1449)/6)*10</f>
        <v>14686.666666666668</v>
      </c>
      <c r="J28">
        <f>((262+281+242+267+262+256)/6)*10</f>
        <v>2616.666666666667</v>
      </c>
      <c r="K28">
        <f>((8.684971026+15.37+7.11+8.38+16.47+11.27)/6)*10</f>
        <v>112.14161837666666</v>
      </c>
      <c r="L28">
        <f>((731+882+692+738+779+757)/6)*10</f>
        <v>7631.6666666666661</v>
      </c>
      <c r="O28">
        <f>((423+495+400+441+413+425)/6)*10</f>
        <v>4328.333333333333</v>
      </c>
    </row>
    <row r="29" spans="1:15" x14ac:dyDescent="0.3">
      <c r="A29" s="232">
        <v>8</v>
      </c>
      <c r="B29" s="232"/>
      <c r="C29" s="233">
        <v>39666</v>
      </c>
      <c r="D29" s="232"/>
      <c r="E29" s="232">
        <f>(4.3+4.2+3.1+3.1+4.1+4.3)/6</f>
        <v>3.8499999999999996</v>
      </c>
      <c r="F29" s="232"/>
      <c r="H29">
        <f>((1288+1419+1131+1182+1288+1386)/6)*10</f>
        <v>12823.333333333332</v>
      </c>
      <c r="J29">
        <f>((239+246+181+186+233+252)/6)*10</f>
        <v>2228.3333333333335</v>
      </c>
      <c r="K29">
        <f>((7.1+9.79+50.23+50.02+26.4+23.2)/6)*10</f>
        <v>277.90000000000003</v>
      </c>
      <c r="L29">
        <f>((685+746+642+674+693+735)/6)*10</f>
        <v>6958.3333333333339</v>
      </c>
      <c r="O29">
        <f>((356+417+257+272+335+376)/6)*10</f>
        <v>3355</v>
      </c>
    </row>
    <row r="30" spans="1:15" x14ac:dyDescent="0.3">
      <c r="A30" s="232">
        <v>7</v>
      </c>
      <c r="B30" s="232"/>
      <c r="C30" s="233">
        <v>39666</v>
      </c>
      <c r="D30" s="232"/>
      <c r="E30" s="232">
        <f>(3.4+3.8+4+4.3+3.4+3.5)/6</f>
        <v>3.7333333333333329</v>
      </c>
      <c r="F30" s="232"/>
      <c r="H30">
        <f>((1134+1078+1200+1297+1073+1139)/6)*10</f>
        <v>11535</v>
      </c>
      <c r="J30">
        <f>((213+221+229+254+198+203)/6)*10</f>
        <v>2196.6666666666665</v>
      </c>
      <c r="K30">
        <f>((37.04+23.17+34.97+20.48+44.26+46.8)/6)*10</f>
        <v>344.53333333333342</v>
      </c>
      <c r="L30">
        <f>((645+580+649+659+654+636)/6)*10</f>
        <v>6371.6666666666661</v>
      </c>
      <c r="O30">
        <f>((240+254+288+363+176+253)/6)*10</f>
        <v>2623.333333333333</v>
      </c>
    </row>
    <row r="31" spans="1:15" x14ac:dyDescent="0.3">
      <c r="A31" s="232">
        <v>6</v>
      </c>
      <c r="B31" s="232"/>
      <c r="C31" s="233">
        <v>39686</v>
      </c>
      <c r="D31" s="232"/>
      <c r="E31" s="232">
        <f>(4.5+4.6+5+4.7+4.2+4.1)/6</f>
        <v>4.5166666666666666</v>
      </c>
      <c r="F31" s="232"/>
      <c r="H31">
        <f>((2019+2032+2040+2251+1731+1922)/6)*10</f>
        <v>19991.666666666668</v>
      </c>
      <c r="J31">
        <f>((247+277+288+282+227+237)/6)*10</f>
        <v>2596.666666666667</v>
      </c>
      <c r="K31">
        <f>((22.84+12.83+15.73+25.54+16.83+14.32)/6)*10</f>
        <v>180.15</v>
      </c>
      <c r="L31">
        <f>((776+753+750+961+608+698)/6)*10</f>
        <v>7576.6666666666661</v>
      </c>
      <c r="O31">
        <f>((972+990+986+983+879+973)/6)*10</f>
        <v>9638.3333333333339</v>
      </c>
    </row>
    <row r="32" spans="1:15" x14ac:dyDescent="0.3">
      <c r="A32" s="232">
        <v>5</v>
      </c>
      <c r="B32" s="232"/>
      <c r="C32" s="233">
        <v>39686</v>
      </c>
      <c r="D32" s="232"/>
      <c r="E32" s="232">
        <f>(4.4+4.3+4.3+4.3+4.5+4.5)/6</f>
        <v>4.3833333333333337</v>
      </c>
      <c r="F32" s="232"/>
      <c r="H32">
        <f>((1974+2044+1827+1783+1873+1819)/6)*10</f>
        <v>18866.666666666668</v>
      </c>
      <c r="J32">
        <f>((249+253+260+248+264+248)/6)*10</f>
        <v>2536.6666666666665</v>
      </c>
      <c r="K32">
        <f>((19.93+12.99+7.22+7.39+8.71+21.8)/6)*10</f>
        <v>130.06666666666666</v>
      </c>
      <c r="L32">
        <f>((681+730+592+628+639+622)/6)*10</f>
        <v>6486.6666666666661</v>
      </c>
      <c r="O32">
        <f>((1025+1048+968+900+961+927)/6)*10</f>
        <v>9715</v>
      </c>
    </row>
    <row r="33" spans="1:15" x14ac:dyDescent="0.3">
      <c r="A33" s="232">
        <v>8</v>
      </c>
      <c r="B33" s="232"/>
      <c r="C33" s="233">
        <v>39687</v>
      </c>
      <c r="D33" s="232"/>
      <c r="E33" s="232">
        <f>(4.6+3.9+3.8+3+4+4.3)/6</f>
        <v>3.9333333333333336</v>
      </c>
      <c r="F33" s="232"/>
      <c r="H33">
        <f>((1893+1737+1759+1645+1878+1823)/6)*10</f>
        <v>17891.666666666668</v>
      </c>
      <c r="J33">
        <f>((260+227+204+176+219+243)/6)*10</f>
        <v>2215</v>
      </c>
      <c r="K33">
        <f>((14.07+18.86+42.32+54.33+37.97+25.64)/6)*10</f>
        <v>321.98333333333329</v>
      </c>
      <c r="L33">
        <f>((715+633+630+652+657+647)/6)*10</f>
        <v>6556.6666666666661</v>
      </c>
      <c r="O33">
        <f>((905+858+883+763+964+906)/6)*10</f>
        <v>8798.3333333333339</v>
      </c>
    </row>
    <row r="34" spans="1:15" x14ac:dyDescent="0.3">
      <c r="A34" s="232">
        <v>7</v>
      </c>
      <c r="B34" s="232"/>
      <c r="C34" s="233">
        <v>39687</v>
      </c>
      <c r="D34" s="232"/>
      <c r="E34" s="232">
        <f>(3.2+3.2+3.6+3.5+2.9+3.2)/6</f>
        <v>3.2666666666666662</v>
      </c>
      <c r="F34" s="232"/>
      <c r="H34">
        <f>((1454+1498+1604+1639+1503+1447)/6)*10</f>
        <v>15241.666666666668</v>
      </c>
      <c r="J34">
        <f>((179+169+207+193+177+182)/6)*10</f>
        <v>1845</v>
      </c>
      <c r="K34">
        <f>((68.81+37.21+44.62+49.93+76.65+73.8)/6)*10</f>
        <v>585.03333333333342</v>
      </c>
      <c r="L34">
        <f>((683+569+596+618+775+629)/6)*10</f>
        <v>6450</v>
      </c>
      <c r="O34">
        <f>((523+722+756+778+474+561)/6)*10</f>
        <v>6356.6666666666661</v>
      </c>
    </row>
    <row r="35" spans="1:15" x14ac:dyDescent="0.3">
      <c r="A35" s="232">
        <v>6</v>
      </c>
      <c r="B35" s="232"/>
      <c r="C35" s="233">
        <v>39720</v>
      </c>
      <c r="D35" s="232"/>
      <c r="E35" s="232">
        <f>(1.2+1.8+1.4+2.1+1.1+1.6)/6</f>
        <v>1.5333333333333332</v>
      </c>
      <c r="F35" s="232">
        <f>(3860+4106+3966+4062+4045+3829)/6</f>
        <v>3978</v>
      </c>
      <c r="G35">
        <f>((275+280+287+282+277+282)/6)*10</f>
        <v>2805</v>
      </c>
      <c r="H35">
        <f>((2162+2295+2392+2261+2237+2140)/6)*10</f>
        <v>22478.333333333336</v>
      </c>
      <c r="I35">
        <f>((1062+1150+1140+1147+1121+1081)/6)*10</f>
        <v>11168.333333333332</v>
      </c>
      <c r="J35">
        <f>((79+119+96+124+77+100)/6)*10</f>
        <v>991.66666666666674</v>
      </c>
      <c r="K35">
        <f>((163.83+117.07+166.27+105.2+151.31+124.15)/6)*10</f>
        <v>1379.7166666666667</v>
      </c>
      <c r="L35">
        <f>((606+628+674+629+641+611)/6)*10</f>
        <v>6315</v>
      </c>
      <c r="M35">
        <f>((175.44+199.24+216.18+176.87+162.55+150.89)/6)*10</f>
        <v>1801.9500000000003</v>
      </c>
      <c r="N35">
        <f>((75.7+81.98+99.12+79.27+83.5+71.96)/6)*10</f>
        <v>819.2166666666667</v>
      </c>
      <c r="O35">
        <f>((1313+1431+1455+1403+1367+1304)/6)*10</f>
        <v>13788.333333333332</v>
      </c>
    </row>
    <row r="36" spans="1:15" x14ac:dyDescent="0.3">
      <c r="A36" s="232">
        <v>5</v>
      </c>
      <c r="B36" s="232"/>
      <c r="C36" s="233">
        <v>39720</v>
      </c>
      <c r="D36" s="232"/>
      <c r="E36" s="232">
        <f>(1.6+2.2+2.1+1.8+1.9+1.7)/6</f>
        <v>1.8833333333333331</v>
      </c>
      <c r="F36" s="232">
        <f>(3989+4320+4130+4111+4054+3962)/6</f>
        <v>4094.3333333333335</v>
      </c>
      <c r="G36">
        <f>((269+270+270+273+285+281)/6)*10</f>
        <v>2746.666666666667</v>
      </c>
      <c r="H36">
        <f>((2127+2307+2246+2279+2307+2221)/6)*10</f>
        <v>22478.333333333336</v>
      </c>
      <c r="I36">
        <f>((1075+1166+1117+1124+1155+1115)/6)*10</f>
        <v>11253.333333333332</v>
      </c>
      <c r="J36">
        <f>((97+130+131+116+126+108)/6)*10</f>
        <v>1180</v>
      </c>
      <c r="K36">
        <f>((119.95+109.4+118.37+129.01+113.21+120.59)/6)*10</f>
        <v>1184.2166666666667</v>
      </c>
      <c r="L36">
        <f>((579+641+623+650+632+609)/6)*10</f>
        <v>6223.3333333333339</v>
      </c>
      <c r="M36">
        <f>((174.86+184.76+176.81+172.47+193.54+181.19)/6)*10</f>
        <v>1806.0500000000002</v>
      </c>
      <c r="N36">
        <f>((80.59+76.52+80.04+87.35+87.17+86.9)/6)*10</f>
        <v>830.95000000000016</v>
      </c>
      <c r="O36">
        <f>((1330+1427+1374+1384+1436+1383)/6)*10</f>
        <v>13890</v>
      </c>
    </row>
    <row r="37" spans="1:15" x14ac:dyDescent="0.3">
      <c r="A37" s="232">
        <v>8</v>
      </c>
      <c r="B37" s="232"/>
      <c r="C37" s="233">
        <v>39720</v>
      </c>
      <c r="D37" s="232"/>
      <c r="E37" s="232">
        <f>(0.7+0.8+0.2+0+0.3+0.3)/6</f>
        <v>0.3833333333333333</v>
      </c>
      <c r="F37" s="232">
        <f>(4004+4097+3269+3480+3533+3259)/6</f>
        <v>3607</v>
      </c>
      <c r="G37">
        <f>((268+275+253+252+279+262)/6)*10</f>
        <v>2648.333333333333</v>
      </c>
      <c r="H37">
        <f>((2162+2225+1900+1822+2044+1798)/6)*10</f>
        <v>19918.333333333332</v>
      </c>
      <c r="I37">
        <f>((1072+1126+829+876+986+854)/6)*10</f>
        <v>9571.6666666666661</v>
      </c>
      <c r="J37">
        <f>((52+59+14+1+20+20)/6)*10</f>
        <v>276.66666666666669</v>
      </c>
      <c r="K37">
        <f>((179.62+162.51+199.09+194.89+186.3+184.36)/6)*10</f>
        <v>1844.6166666666668</v>
      </c>
      <c r="L37">
        <f>((633+620+638+549+620+547)/6)*10</f>
        <v>6011.6666666666661</v>
      </c>
      <c r="M37">
        <f>((160.83+175.94+147.83+143.97+166.12+139.72)/6)*10</f>
        <v>1557.3500000000001</v>
      </c>
      <c r="N37">
        <f>((65.17+82.72+72.73+57.19+61.79+52.63)/6)*10</f>
        <v>653.7166666666667</v>
      </c>
      <c r="O37">
        <f>((1298+1384+1049+1077+1214+1047)/6)*10</f>
        <v>11781.666666666668</v>
      </c>
    </row>
    <row r="38" spans="1:15" x14ac:dyDescent="0.3">
      <c r="A38" s="232">
        <v>7</v>
      </c>
      <c r="B38" s="232"/>
      <c r="C38" s="233">
        <v>39720</v>
      </c>
      <c r="D38" s="232"/>
      <c r="E38" s="232">
        <f>(0.2+0.3+0.3+0.3+0.1)/6</f>
        <v>0.20000000000000004</v>
      </c>
      <c r="F38" s="232">
        <f>(2923+2481+3246+3275+2578+2856)/6</f>
        <v>2893.1666666666665</v>
      </c>
      <c r="G38">
        <f>((223+238+244+252+226+226)/6)*10</f>
        <v>2348.3333333333335</v>
      </c>
      <c r="H38">
        <f>((1682+1530+1672+1768+1545+1456)/6)*10</f>
        <v>16088.333333333332</v>
      </c>
      <c r="I38">
        <f>((651+590+793+825+583+645)/6)*10</f>
        <v>6811.6666666666661</v>
      </c>
      <c r="J38">
        <f>((12+18+23+3+15+9)/6)*10</f>
        <v>133.33333333333334</v>
      </c>
      <c r="K38">
        <f>((189.48+170.47+170.03+197.74+175.5+165.88)/6)*10</f>
        <v>1781.833333333333</v>
      </c>
      <c r="L38">
        <f>((644+568+490+543+587+470)/6)*10</f>
        <v>5503.3333333333339</v>
      </c>
      <c r="M38">
        <f>((129.96+127.88+141.35+145.2+124.3+116.96)/6)*10</f>
        <v>1309.416666666667</v>
      </c>
      <c r="N38">
        <f>((55.13+56.73+54.97+57.95+59.95+49.23)/6)*10</f>
        <v>556.59999999999991</v>
      </c>
      <c r="O38">
        <f>((836+774+989+1028+768+811)/6)*10</f>
        <v>8676.6666666666661</v>
      </c>
    </row>
  </sheetData>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rgb="FFFF0000"/>
  </sheetPr>
  <dimension ref="A1:H194"/>
  <sheetViews>
    <sheetView workbookViewId="0">
      <pane ySplit="2" topLeftCell="A3" activePane="bottomLeft" state="frozen"/>
      <selection pane="bottomLeft" activeCell="E3" sqref="E3"/>
    </sheetView>
  </sheetViews>
  <sheetFormatPr defaultColWidth="9.21875" defaultRowHeight="14.4" x14ac:dyDescent="0.3"/>
  <cols>
    <col min="1" max="1" width="19" bestFit="1" customWidth="1"/>
    <col min="2" max="2" width="10.44140625" style="2" bestFit="1" customWidth="1"/>
    <col min="3" max="3" width="22.21875" style="34" bestFit="1" customWidth="1"/>
    <col min="4" max="4" width="21.21875" style="32" bestFit="1" customWidth="1"/>
    <col min="5" max="5" width="19.44140625" bestFit="1" customWidth="1"/>
    <col min="6" max="6" width="21.77734375" bestFit="1" customWidth="1"/>
    <col min="7" max="7" width="18.5546875" customWidth="1"/>
    <col min="8" max="8" width="18.21875" bestFit="1" customWidth="1"/>
  </cols>
  <sheetData>
    <row r="1" spans="1:8" s="4" customFormat="1" x14ac:dyDescent="0.3">
      <c r="A1" s="46" t="s">
        <v>323</v>
      </c>
      <c r="B1" s="112" t="s">
        <v>46</v>
      </c>
      <c r="C1" s="46" t="s">
        <v>200</v>
      </c>
      <c r="D1" t="s">
        <v>166</v>
      </c>
      <c r="E1" s="46" t="s">
        <v>201</v>
      </c>
      <c r="F1" s="46" t="s">
        <v>214</v>
      </c>
      <c r="G1" s="55" t="s">
        <v>212</v>
      </c>
      <c r="H1" s="46" t="s">
        <v>213</v>
      </c>
    </row>
    <row r="2" spans="1:8" s="4" customFormat="1" x14ac:dyDescent="0.3">
      <c r="A2" s="140" t="s">
        <v>327</v>
      </c>
      <c r="B2" s="140" t="s">
        <v>46</v>
      </c>
      <c r="C2" s="143" t="s">
        <v>311</v>
      </c>
      <c r="D2" s="143" t="s">
        <v>310</v>
      </c>
      <c r="E2" s="143" t="s">
        <v>202</v>
      </c>
      <c r="F2" s="143" t="s">
        <v>209</v>
      </c>
      <c r="G2" s="143" t="s">
        <v>210</v>
      </c>
      <c r="H2" s="143" t="s">
        <v>211</v>
      </c>
    </row>
    <row r="3" spans="1:8" x14ac:dyDescent="0.3">
      <c r="A3" s="4">
        <v>5</v>
      </c>
      <c r="B3" s="24">
        <v>39611</v>
      </c>
      <c r="C3" s="85">
        <v>0</v>
      </c>
      <c r="D3" s="85">
        <v>60</v>
      </c>
      <c r="E3" s="4">
        <f>(AVERAGE('[1]soil moisture 2008'!J$14,'[1]soil moisture 2008'!J$17,'[1]soil moisture 2008'!J$19))/100</f>
        <v>0.13411111111111113</v>
      </c>
      <c r="F3" s="4"/>
      <c r="G3" s="4"/>
      <c r="H3" s="4"/>
    </row>
    <row r="4" spans="1:8" x14ac:dyDescent="0.3">
      <c r="A4" s="100">
        <v>6</v>
      </c>
      <c r="B4" s="24">
        <v>39611</v>
      </c>
      <c r="C4" s="101">
        <v>0</v>
      </c>
      <c r="D4" s="101">
        <v>60</v>
      </c>
      <c r="E4" s="4">
        <f>(AVERAGE('[1]soil moisture 2008'!$J$10,'[1]soil moisture 2008'!$J$12,'[1]soil moisture 2008'!$J$21))/100</f>
        <v>0.14716666666666667</v>
      </c>
      <c r="F4" s="100"/>
      <c r="G4" s="100"/>
      <c r="H4" s="100"/>
    </row>
    <row r="5" spans="1:8" x14ac:dyDescent="0.3">
      <c r="A5" s="4">
        <v>7</v>
      </c>
      <c r="B5" s="24">
        <v>39611</v>
      </c>
      <c r="C5" s="85">
        <v>0</v>
      </c>
      <c r="D5" s="85">
        <v>60</v>
      </c>
      <c r="E5" s="4">
        <f>(AVERAGE('[1]soil moisture 2008'!$J$15,'[1]soil moisture 2008'!$J$16,'[1]soil moisture 2008'!$J$18))/100</f>
        <v>0.13858333333333334</v>
      </c>
      <c r="F5" s="4"/>
      <c r="G5" s="4"/>
      <c r="H5" s="4"/>
    </row>
    <row r="6" spans="1:8" x14ac:dyDescent="0.3">
      <c r="A6" s="84">
        <v>8</v>
      </c>
      <c r="B6" s="24">
        <v>39611</v>
      </c>
      <c r="C6" s="101">
        <v>0</v>
      </c>
      <c r="D6" s="101">
        <v>60</v>
      </c>
      <c r="E6" s="4">
        <f>(AVERAGE('[1]soil moisture 2008'!$J$11,'[1]soil moisture 2008'!$J$13,'[1]soil moisture 2008'!$J$20))/100</f>
        <v>0.15161111111111111</v>
      </c>
      <c r="F6" s="100"/>
      <c r="G6" s="100"/>
      <c r="H6" s="100"/>
    </row>
    <row r="7" spans="1:8" x14ac:dyDescent="0.3">
      <c r="A7" s="4">
        <v>5</v>
      </c>
      <c r="B7" s="24">
        <v>39615</v>
      </c>
      <c r="C7" s="85">
        <v>0</v>
      </c>
      <c r="D7" s="85">
        <v>60</v>
      </c>
      <c r="E7" s="4">
        <f>(AVERAGE('[1]soil moisture 2008'!K$14,'[1]soil moisture 2008'!K$17,'[1]soil moisture 2008'!K$19))/100</f>
        <v>0.14861111111111108</v>
      </c>
    </row>
    <row r="8" spans="1:8" x14ac:dyDescent="0.3">
      <c r="A8" s="100">
        <v>6</v>
      </c>
      <c r="B8" s="24">
        <v>39615</v>
      </c>
      <c r="C8" s="101">
        <v>0</v>
      </c>
      <c r="D8" s="101">
        <v>60</v>
      </c>
      <c r="E8" s="4">
        <f>(AVERAGE('[1]soil moisture 2008'!$K$10,'[1]soil moisture 2008'!$K$12,'[1]soil moisture 2008'!$K$21))/100</f>
        <v>0.16262962962962962</v>
      </c>
    </row>
    <row r="9" spans="1:8" x14ac:dyDescent="0.3">
      <c r="A9" s="4">
        <v>7</v>
      </c>
      <c r="B9" s="24">
        <v>39615</v>
      </c>
      <c r="C9" s="85">
        <v>0</v>
      </c>
      <c r="D9" s="85">
        <v>60</v>
      </c>
      <c r="E9" s="4">
        <f>(AVERAGE('[1]soil moisture 2008'!$K$15,'[1]soil moisture 2008'!$K$16,'[1]soil moisture 2008'!$K$18))/100</f>
        <v>0.1502222222222222</v>
      </c>
    </row>
    <row r="10" spans="1:8" x14ac:dyDescent="0.3">
      <c r="A10" s="84">
        <v>8</v>
      </c>
      <c r="B10" s="24">
        <v>39615</v>
      </c>
      <c r="C10" s="101">
        <v>0</v>
      </c>
      <c r="D10" s="101">
        <v>60</v>
      </c>
      <c r="E10" s="4">
        <f>(AVERAGE('[1]soil moisture 2008'!$K$11,'[1]soil moisture 2008'!$K$13,'[1]soil moisture 2008'!$K$20))/100</f>
        <v>0.16602777777777777</v>
      </c>
    </row>
    <row r="11" spans="1:8" s="4" customFormat="1" x14ac:dyDescent="0.3">
      <c r="A11" s="4">
        <v>5</v>
      </c>
      <c r="B11" s="24">
        <v>39618</v>
      </c>
      <c r="C11" s="85">
        <v>0</v>
      </c>
      <c r="D11" s="85">
        <v>60</v>
      </c>
      <c r="E11" s="4">
        <f>(AVERAGE('[1]soil moisture 2008'!L$14,'[1]soil moisture 2008'!L$17,'[1]soil moisture 2008'!L$19))/100</f>
        <v>0.13412962962962965</v>
      </c>
      <c r="F11"/>
      <c r="G11"/>
      <c r="H11"/>
    </row>
    <row r="12" spans="1:8" x14ac:dyDescent="0.3">
      <c r="A12" s="100">
        <v>6</v>
      </c>
      <c r="B12" s="24">
        <v>39618</v>
      </c>
      <c r="C12" s="101">
        <v>0</v>
      </c>
      <c r="D12" s="101">
        <v>60</v>
      </c>
      <c r="E12" s="4">
        <f>(AVERAGE('[1]soil moisture 2008'!$L$10,'[1]soil moisture 2008'!$L$12,'[1]soil moisture 2008'!$L$21))/100</f>
        <v>0.15068518518518517</v>
      </c>
    </row>
    <row r="13" spans="1:8" x14ac:dyDescent="0.3">
      <c r="A13" s="4">
        <v>7</v>
      </c>
      <c r="B13" s="24">
        <v>39618</v>
      </c>
      <c r="C13" s="85">
        <v>0</v>
      </c>
      <c r="D13" s="85">
        <v>60</v>
      </c>
      <c r="E13" s="4">
        <f>(AVERAGE('[1]soil moisture 2008'!$L$15,'[1]soil moisture 2008'!$L$16,'[1]soil moisture 2008'!$L$18))/100</f>
        <v>0.13457407407407407</v>
      </c>
    </row>
    <row r="14" spans="1:8" x14ac:dyDescent="0.3">
      <c r="A14" s="84">
        <v>8</v>
      </c>
      <c r="B14" s="24">
        <v>39618</v>
      </c>
      <c r="C14" s="101">
        <v>0</v>
      </c>
      <c r="D14" s="101">
        <v>60</v>
      </c>
      <c r="E14" s="4">
        <f>(AVERAGE('[1]soil moisture 2008'!$L$11,'[1]soil moisture 2008'!$L$13,'[1]soil moisture 2008'!$L$20))/100</f>
        <v>0.15334259259259261</v>
      </c>
    </row>
    <row r="15" spans="1:8" x14ac:dyDescent="0.3">
      <c r="A15" s="4">
        <v>5</v>
      </c>
      <c r="B15" s="24">
        <v>39622</v>
      </c>
      <c r="C15" s="85">
        <v>0</v>
      </c>
      <c r="D15" s="85">
        <v>60</v>
      </c>
      <c r="E15" s="4">
        <f>(AVERAGE('[1]soil moisture 2008'!M$14,'[1]soil moisture 2008'!M$17,'[1]soil moisture 2008'!M$19))/100</f>
        <v>0.15283333333333332</v>
      </c>
    </row>
    <row r="16" spans="1:8" x14ac:dyDescent="0.3">
      <c r="A16" s="100">
        <v>6</v>
      </c>
      <c r="B16" s="24">
        <v>39622</v>
      </c>
      <c r="C16" s="101">
        <v>0</v>
      </c>
      <c r="D16" s="101">
        <v>60</v>
      </c>
      <c r="E16" s="4">
        <f>(AVERAGE('[1]soil moisture 2008'!$M$10,'[1]soil moisture 2008'!$M$12,'[1]soil moisture 2008'!$M$21))/100</f>
        <v>0.17074074074074075</v>
      </c>
    </row>
    <row r="17" spans="1:8" x14ac:dyDescent="0.3">
      <c r="A17" s="4">
        <v>7</v>
      </c>
      <c r="B17" s="24">
        <v>39622</v>
      </c>
      <c r="C17" s="85">
        <v>0</v>
      </c>
      <c r="D17" s="85">
        <v>60</v>
      </c>
      <c r="E17" s="4">
        <f>(AVERAGE('[1]soil moisture 2008'!$M$15,'[1]soil moisture 2008'!$M$16,'[1]soil moisture 2008'!$M$18))/100</f>
        <v>0.15090740740740741</v>
      </c>
    </row>
    <row r="18" spans="1:8" x14ac:dyDescent="0.3">
      <c r="A18" s="84">
        <v>8</v>
      </c>
      <c r="B18" s="24">
        <v>39622</v>
      </c>
      <c r="C18" s="101">
        <v>0</v>
      </c>
      <c r="D18" s="101">
        <v>60</v>
      </c>
      <c r="E18" s="4">
        <f>(AVERAGE('[1]soil moisture 2008'!$M$11,'[1]soil moisture 2008'!$M$13,'[1]soil moisture 2008'!$M$20))/100</f>
        <v>0.18138888888888891</v>
      </c>
    </row>
    <row r="19" spans="1:8" x14ac:dyDescent="0.3">
      <c r="A19" s="4">
        <v>5</v>
      </c>
      <c r="B19" s="24">
        <v>39625</v>
      </c>
      <c r="C19" s="85">
        <v>0</v>
      </c>
      <c r="D19" s="85">
        <v>60</v>
      </c>
      <c r="E19" s="4">
        <f>(AVERAGE('[1]soil moisture 2008'!N$14,'[1]soil moisture 2008'!N$17,'[1]soil moisture 2008'!N$19))/100</f>
        <v>0.12761111111111112</v>
      </c>
    </row>
    <row r="20" spans="1:8" x14ac:dyDescent="0.3">
      <c r="A20" s="100">
        <v>6</v>
      </c>
      <c r="B20" s="24">
        <v>39625</v>
      </c>
      <c r="C20" s="101">
        <v>0</v>
      </c>
      <c r="D20" s="101">
        <v>60</v>
      </c>
      <c r="E20" s="4">
        <f>(AVERAGE('[1]soil moisture 2008'!$N$10,'[1]soil moisture 2008'!$N$12,'[1]soil moisture 2008'!$N$21))/100</f>
        <v>0.14431481481481481</v>
      </c>
    </row>
    <row r="21" spans="1:8" x14ac:dyDescent="0.3">
      <c r="A21" s="4">
        <v>7</v>
      </c>
      <c r="B21" s="24">
        <v>39625</v>
      </c>
      <c r="C21" s="85">
        <v>0</v>
      </c>
      <c r="D21" s="85">
        <v>60</v>
      </c>
      <c r="E21" s="4">
        <f>(AVERAGE('[1]soil moisture 2008'!$N$15,'[1]soil moisture 2008'!$N$16,'[1]soil moisture 2008'!$N$18))/100</f>
        <v>0.12789814814814815</v>
      </c>
    </row>
    <row r="22" spans="1:8" x14ac:dyDescent="0.3">
      <c r="A22" s="84">
        <v>8</v>
      </c>
      <c r="B22" s="24">
        <v>39625</v>
      </c>
      <c r="C22" s="101">
        <v>0</v>
      </c>
      <c r="D22" s="101">
        <v>60</v>
      </c>
      <c r="E22" s="4">
        <f>(AVERAGE('[1]soil moisture 2008'!$N$11,'[1]soil moisture 2008'!$N$13,'[1]soil moisture 2008'!$N$20))/100</f>
        <v>0.15111111111111111</v>
      </c>
    </row>
    <row r="23" spans="1:8" x14ac:dyDescent="0.3">
      <c r="A23" s="4">
        <v>5</v>
      </c>
      <c r="B23" s="24">
        <v>39629</v>
      </c>
      <c r="C23" s="85">
        <v>0</v>
      </c>
      <c r="D23" s="85">
        <v>60</v>
      </c>
      <c r="E23" s="4">
        <f>(AVERAGE('[1]soil moisture 2008'!O$14,'[1]soil moisture 2008'!O$17,'[1]soil moisture 2008'!O$19))/100</f>
        <v>0.1348148148148148</v>
      </c>
    </row>
    <row r="24" spans="1:8" x14ac:dyDescent="0.3">
      <c r="A24" s="100">
        <v>6</v>
      </c>
      <c r="B24" s="24">
        <v>39629</v>
      </c>
      <c r="C24" s="101">
        <v>0</v>
      </c>
      <c r="D24" s="101">
        <v>60</v>
      </c>
      <c r="E24" s="4">
        <f>(AVERAGE('[1]soil moisture 2008'!$O$10,'[1]soil moisture 2008'!$O$12,'[1]soil moisture 2008'!$O$21))/100</f>
        <v>0.14961111111111108</v>
      </c>
    </row>
    <row r="25" spans="1:8" x14ac:dyDescent="0.3">
      <c r="A25" s="4">
        <v>7</v>
      </c>
      <c r="B25" s="24">
        <v>39629</v>
      </c>
      <c r="C25" s="85">
        <v>0</v>
      </c>
      <c r="D25" s="85">
        <v>60</v>
      </c>
      <c r="E25" s="4">
        <f>(AVERAGE('[1]soil moisture 2008'!$O$15,'[1]soil moisture 2008'!$O$16,'[1]soil moisture 2008'!$O$18))/100</f>
        <v>0.11915740740740739</v>
      </c>
    </row>
    <row r="26" spans="1:8" x14ac:dyDescent="0.3">
      <c r="A26" s="84">
        <v>8</v>
      </c>
      <c r="B26" s="24">
        <v>39629</v>
      </c>
      <c r="C26" s="101">
        <v>0</v>
      </c>
      <c r="D26" s="101">
        <v>60</v>
      </c>
      <c r="E26" s="4">
        <f>(AVERAGE('[1]soil moisture 2008'!$O$11,'[1]soil moisture 2008'!$O$13,'[1]soil moisture 2008'!$O$20))/100</f>
        <v>0.14311111111111111</v>
      </c>
    </row>
    <row r="27" spans="1:8" x14ac:dyDescent="0.3">
      <c r="A27" s="4">
        <v>5</v>
      </c>
      <c r="B27" s="24">
        <v>39632</v>
      </c>
      <c r="C27" s="85">
        <v>0</v>
      </c>
      <c r="D27" s="85">
        <v>60</v>
      </c>
      <c r="E27" s="4">
        <f>(AVERAGE('[1]soil moisture 2008'!P$14,'[1]soil moisture 2008'!P$17,'[1]soil moisture 2008'!P$19))/100</f>
        <v>0.12890740740740741</v>
      </c>
      <c r="F27" s="4"/>
      <c r="G27" s="4"/>
      <c r="H27" s="4"/>
    </row>
    <row r="28" spans="1:8" x14ac:dyDescent="0.3">
      <c r="A28" s="100">
        <v>6</v>
      </c>
      <c r="B28" s="24">
        <v>39632</v>
      </c>
      <c r="C28" s="101">
        <v>0</v>
      </c>
      <c r="D28" s="101">
        <v>60</v>
      </c>
      <c r="E28" s="4">
        <f>(AVERAGE('[1]soil moisture 2008'!$P$10,'[1]soil moisture 2008'!$P$12,'[1]soil moisture 2008'!$P$21))/100</f>
        <v>0.15918518518518518</v>
      </c>
      <c r="F28" s="100"/>
      <c r="G28" s="100"/>
      <c r="H28" s="100"/>
    </row>
    <row r="29" spans="1:8" x14ac:dyDescent="0.3">
      <c r="A29" s="4">
        <v>7</v>
      </c>
      <c r="B29" s="24">
        <v>39632</v>
      </c>
      <c r="C29" s="85">
        <v>0</v>
      </c>
      <c r="D29" s="85">
        <v>60</v>
      </c>
      <c r="E29" s="4">
        <f>(AVERAGE('[1]soil moisture 2008'!$P$15,'[1]soil moisture 2008'!$P$16,'[1]soil moisture 2008'!$P$18))/100</f>
        <v>0.1</v>
      </c>
    </row>
    <row r="30" spans="1:8" x14ac:dyDescent="0.3">
      <c r="A30" s="84">
        <v>8</v>
      </c>
      <c r="B30" s="24">
        <v>39632</v>
      </c>
      <c r="C30" s="101">
        <v>0</v>
      </c>
      <c r="D30" s="101">
        <v>60</v>
      </c>
      <c r="E30" s="4">
        <f>(AVERAGE('[1]soil moisture 2008'!$P$11,'[1]soil moisture 2008'!$P$13,'[1]soil moisture 2008'!$P$20))/100</f>
        <v>0.12699999999999997</v>
      </c>
      <c r="F30" s="100"/>
      <c r="G30" s="100"/>
      <c r="H30" s="100"/>
    </row>
    <row r="31" spans="1:8" x14ac:dyDescent="0.3">
      <c r="A31" s="4">
        <v>5</v>
      </c>
      <c r="B31" s="24">
        <v>39636</v>
      </c>
      <c r="C31" s="85">
        <v>0</v>
      </c>
      <c r="D31" s="85">
        <v>60</v>
      </c>
      <c r="E31" s="4">
        <f>(AVERAGE('[1]soil moisture 2008'!Q$14,'[1]soil moisture 2008'!Q$17,'[1]soil moisture 2008'!Q$19))/100</f>
        <v>0.13896296296296298</v>
      </c>
    </row>
    <row r="32" spans="1:8" x14ac:dyDescent="0.3">
      <c r="A32" s="100">
        <v>6</v>
      </c>
      <c r="B32" s="24">
        <v>39636</v>
      </c>
      <c r="C32" s="101">
        <v>0</v>
      </c>
      <c r="D32" s="101">
        <v>60</v>
      </c>
      <c r="E32" s="4">
        <f>(AVERAGE('[1]soil moisture 2008'!$Q$10,'[1]soil moisture 2008'!$Q$12,'[1]soil moisture 2008'!$Q$21))/100</f>
        <v>0.17151851851851851</v>
      </c>
    </row>
    <row r="33" spans="1:5" x14ac:dyDescent="0.3">
      <c r="A33" s="4">
        <v>7</v>
      </c>
      <c r="B33" s="24">
        <v>39636</v>
      </c>
      <c r="C33" s="85">
        <v>0</v>
      </c>
      <c r="D33" s="85">
        <v>60</v>
      </c>
      <c r="E33" s="4">
        <f>(AVERAGE('[1]soil moisture 2008'!$R$15,'[1]soil moisture 2008'!$R$16,'[1]soil moisture 2008'!$R$18))/100</f>
        <v>0.1102962962962963</v>
      </c>
    </row>
    <row r="34" spans="1:5" x14ac:dyDescent="0.3">
      <c r="A34" s="84">
        <v>8</v>
      </c>
      <c r="B34" s="24">
        <v>39636</v>
      </c>
      <c r="C34" s="101">
        <v>0</v>
      </c>
      <c r="D34" s="101">
        <v>60</v>
      </c>
      <c r="E34" s="4">
        <f>(AVERAGE('[1]soil moisture 2008'!$Q$11,'[1]soil moisture 2008'!$Q$13,'[1]soil moisture 2008'!$Q$20))/100</f>
        <v>0.1245925925925926</v>
      </c>
    </row>
    <row r="35" spans="1:5" x14ac:dyDescent="0.3">
      <c r="A35" s="4">
        <v>5</v>
      </c>
      <c r="B35" s="24">
        <v>39639</v>
      </c>
      <c r="C35" s="85">
        <v>0</v>
      </c>
      <c r="D35" s="85">
        <v>60</v>
      </c>
      <c r="E35" s="4">
        <f>(AVERAGE('[1]soil moisture 2008'!R$14,'[1]soil moisture 2008'!R$17,'[1]soil moisture 2008'!R$19))/100</f>
        <v>0.15192592592592594</v>
      </c>
    </row>
    <row r="36" spans="1:5" x14ac:dyDescent="0.3">
      <c r="A36" s="100">
        <v>6</v>
      </c>
      <c r="B36" s="24">
        <v>39639</v>
      </c>
      <c r="C36" s="101">
        <v>0</v>
      </c>
      <c r="D36" s="101">
        <v>60</v>
      </c>
      <c r="E36" s="4">
        <f>(AVERAGE('[1]soil moisture 2008'!$R$10,'[1]soil moisture 2008'!$R$12,'[1]soil moisture 2008'!$R$21))/100</f>
        <v>0.18374074074074076</v>
      </c>
    </row>
    <row r="37" spans="1:5" x14ac:dyDescent="0.3">
      <c r="A37" s="4">
        <v>7</v>
      </c>
      <c r="B37" s="24">
        <v>39639</v>
      </c>
      <c r="C37" s="85">
        <v>0</v>
      </c>
      <c r="D37" s="85">
        <v>60</v>
      </c>
      <c r="E37" s="4">
        <f>(AVERAGE('[1]soil moisture 2008'!$S$15,'[1]soil moisture 2008'!$S$16,'[1]soil moisture 2008'!$S$18))/100</f>
        <v>9.7564814814814813E-2</v>
      </c>
    </row>
    <row r="38" spans="1:5" x14ac:dyDescent="0.3">
      <c r="A38" s="84">
        <v>8</v>
      </c>
      <c r="B38" s="24">
        <v>39639</v>
      </c>
      <c r="C38" s="101">
        <v>0</v>
      </c>
      <c r="D38" s="101">
        <v>60</v>
      </c>
      <c r="E38" s="4">
        <f>(AVERAGE('[1]soil moisture 2008'!$R$11,'[1]soil moisture 2008'!$R$13,'[1]soil moisture 2008'!$R$20))/100</f>
        <v>0.14002777777777778</v>
      </c>
    </row>
    <row r="39" spans="1:5" x14ac:dyDescent="0.3">
      <c r="A39" s="4">
        <v>5</v>
      </c>
      <c r="B39" s="24">
        <v>39643</v>
      </c>
      <c r="C39" s="85">
        <v>0</v>
      </c>
      <c r="D39" s="85">
        <v>60</v>
      </c>
      <c r="E39" s="4">
        <f>(AVERAGE('[1]soil moisture 2008'!S$14,'[1]soil moisture 2008'!S$17,'[1]soil moisture 2008'!S$19))/100</f>
        <v>0.13977777777777781</v>
      </c>
    </row>
    <row r="40" spans="1:5" x14ac:dyDescent="0.3">
      <c r="A40" s="100">
        <v>6</v>
      </c>
      <c r="B40" s="24">
        <v>39643</v>
      </c>
      <c r="C40" s="101">
        <v>0</v>
      </c>
      <c r="D40" s="101">
        <v>60</v>
      </c>
      <c r="E40" s="4">
        <f>(AVERAGE('[1]soil moisture 2008'!$S$10,'[1]soil moisture 2008'!$S$12,'[1]soil moisture 2008'!$S$21))/100</f>
        <v>0.17164814814814813</v>
      </c>
    </row>
    <row r="41" spans="1:5" x14ac:dyDescent="0.3">
      <c r="A41" s="4">
        <v>7</v>
      </c>
      <c r="B41" s="24">
        <v>39643</v>
      </c>
      <c r="C41" s="85">
        <v>0</v>
      </c>
      <c r="D41" s="85">
        <v>60</v>
      </c>
      <c r="E41" s="4">
        <f>(AVERAGE('[1]soil moisture 2008'!$T$15,'[1]soil moisture 2008'!$T$16,'[1]soil moisture 2008'!$T$18))/100</f>
        <v>0.1052962962962963</v>
      </c>
    </row>
    <row r="42" spans="1:5" x14ac:dyDescent="0.3">
      <c r="A42" s="84">
        <v>8</v>
      </c>
      <c r="B42" s="24">
        <v>39643</v>
      </c>
      <c r="C42" s="101">
        <v>0</v>
      </c>
      <c r="D42" s="101">
        <v>60</v>
      </c>
      <c r="E42" s="4">
        <f>(AVERAGE('[1]soil moisture 2008'!$S$11,'[1]soil moisture 2008'!$S$13,'[1]soil moisture 2008'!$S$20))/100</f>
        <v>0.12999074074074074</v>
      </c>
    </row>
    <row r="43" spans="1:5" x14ac:dyDescent="0.3">
      <c r="A43" s="4">
        <v>5</v>
      </c>
      <c r="B43" s="24">
        <v>39646</v>
      </c>
      <c r="C43" s="85">
        <v>0</v>
      </c>
      <c r="D43" s="85">
        <v>60</v>
      </c>
      <c r="E43" s="4">
        <f>(AVERAGE('[1]soil moisture 2008'!T$14,'[1]soil moisture 2008'!T$17,'[1]soil moisture 2008'!T$19))/100</f>
        <v>0.15025925925925926</v>
      </c>
    </row>
    <row r="44" spans="1:5" x14ac:dyDescent="0.3">
      <c r="A44" s="100">
        <v>6</v>
      </c>
      <c r="B44" s="24">
        <v>39646</v>
      </c>
      <c r="C44" s="101">
        <v>0</v>
      </c>
      <c r="D44" s="101">
        <v>60</v>
      </c>
      <c r="E44" s="4">
        <f>(AVERAGE('[1]soil moisture 2008'!$T$10,'[1]soil moisture 2008'!$T$12,'[1]soil moisture 2008'!$T$21))/100</f>
        <v>0.17553703703703705</v>
      </c>
    </row>
    <row r="45" spans="1:5" x14ac:dyDescent="0.3">
      <c r="A45" s="4">
        <v>7</v>
      </c>
      <c r="B45" s="24">
        <v>39646</v>
      </c>
      <c r="C45" s="85">
        <v>0</v>
      </c>
      <c r="D45" s="85">
        <v>60</v>
      </c>
      <c r="E45" s="4">
        <f>(AVERAGE('[1]soil moisture 2008'!$U$15,'[1]soil moisture 2008'!$U$16,'[1]soil moisture 2008'!$U$18))/100</f>
        <v>9.1620370370370366E-2</v>
      </c>
    </row>
    <row r="46" spans="1:5" x14ac:dyDescent="0.3">
      <c r="A46" s="84">
        <v>8</v>
      </c>
      <c r="B46" s="24">
        <v>39646</v>
      </c>
      <c r="C46" s="101">
        <v>0</v>
      </c>
      <c r="D46" s="101">
        <v>60</v>
      </c>
      <c r="E46" s="4">
        <f>(AVERAGE('[1]soil moisture 2008'!$T$11,'[1]soil moisture 2008'!$T$13,'[1]soil moisture 2008'!$T$20))/100</f>
        <v>0.13856481481481481</v>
      </c>
    </row>
    <row r="47" spans="1:5" x14ac:dyDescent="0.3">
      <c r="A47" s="4">
        <v>5</v>
      </c>
      <c r="B47" s="24">
        <v>39650</v>
      </c>
      <c r="C47" s="85">
        <v>0</v>
      </c>
      <c r="D47" s="85">
        <v>60</v>
      </c>
      <c r="E47" s="4">
        <f>(AVERAGE('[1]soil moisture 2008'!U$14,'[1]soil moisture 2008'!U$17,'[1]soil moisture 2008'!U$19))/100</f>
        <v>0.14270370370370369</v>
      </c>
    </row>
    <row r="48" spans="1:5" x14ac:dyDescent="0.3">
      <c r="A48" s="100">
        <v>6</v>
      </c>
      <c r="B48" s="24">
        <v>39650</v>
      </c>
      <c r="C48" s="101">
        <v>0</v>
      </c>
      <c r="D48" s="101">
        <v>60</v>
      </c>
      <c r="E48" s="4">
        <f>(AVERAGE('[1]soil moisture 2008'!$U$10,'[1]soil moisture 2008'!$U$12,'[1]soil moisture 2008'!$U$21))/100</f>
        <v>0.16931481481481481</v>
      </c>
    </row>
    <row r="49" spans="1:5" x14ac:dyDescent="0.3">
      <c r="A49" s="4">
        <v>7</v>
      </c>
      <c r="B49" s="24">
        <v>39650</v>
      </c>
      <c r="C49" s="85">
        <v>0</v>
      </c>
      <c r="D49" s="85">
        <v>60</v>
      </c>
      <c r="E49" s="4">
        <f>(AVERAGE('[1]soil moisture 2008'!$V$15,'[1]soil moisture 2008'!$V$16,'[1]soil moisture 2008'!$V$18))/100</f>
        <v>8.1101851851851856E-2</v>
      </c>
    </row>
    <row r="50" spans="1:5" x14ac:dyDescent="0.3">
      <c r="A50" s="84">
        <v>8</v>
      </c>
      <c r="B50" s="24">
        <v>39650</v>
      </c>
      <c r="C50" s="101">
        <v>0</v>
      </c>
      <c r="D50" s="101">
        <v>60</v>
      </c>
      <c r="E50" s="4">
        <f>(AVERAGE('[1]soil moisture 2008'!$U$11,'[1]soil moisture 2008'!$U$13,'[1]soil moisture 2008'!$U$20))/100</f>
        <v>0.11911111111111111</v>
      </c>
    </row>
    <row r="51" spans="1:5" x14ac:dyDescent="0.3">
      <c r="A51" s="4">
        <v>5</v>
      </c>
      <c r="B51" s="24">
        <v>39653</v>
      </c>
      <c r="C51" s="85">
        <v>0</v>
      </c>
      <c r="D51" s="85">
        <v>60</v>
      </c>
      <c r="E51" s="4">
        <f>(AVERAGE('[1]soil moisture 2008'!V$14,'[1]soil moisture 2008'!V$17,'[1]soil moisture 2008'!V$19))/100</f>
        <v>0.15857407407407409</v>
      </c>
    </row>
    <row r="52" spans="1:5" x14ac:dyDescent="0.3">
      <c r="A52" s="100">
        <v>6</v>
      </c>
      <c r="B52" s="24">
        <v>39653</v>
      </c>
      <c r="C52" s="101">
        <v>0</v>
      </c>
      <c r="D52" s="101">
        <v>60</v>
      </c>
      <c r="E52" s="4">
        <f>(AVERAGE('[1]soil moisture 2008'!$V$10,'[1]soil moisture 2008'!$V$12,'[1]soil moisture 2008'!$V$21))/100</f>
        <v>0.18390740740740744</v>
      </c>
    </row>
    <row r="53" spans="1:5" x14ac:dyDescent="0.3">
      <c r="A53" s="4">
        <v>7</v>
      </c>
      <c r="B53" s="24">
        <v>39653</v>
      </c>
      <c r="C53" s="85">
        <v>0</v>
      </c>
      <c r="D53" s="85">
        <v>60</v>
      </c>
      <c r="E53" s="4">
        <f>(AVERAGE('[1]soil moisture 2008'!$W$15,'[1]soil moisture 2008'!$W$16,'[1]soil moisture 2008'!$W$18))/100</f>
        <v>7.269444444444445E-2</v>
      </c>
    </row>
    <row r="54" spans="1:5" x14ac:dyDescent="0.3">
      <c r="A54" s="84">
        <v>8</v>
      </c>
      <c r="B54" s="24">
        <v>39653</v>
      </c>
      <c r="C54" s="101">
        <v>0</v>
      </c>
      <c r="D54" s="101">
        <v>60</v>
      </c>
      <c r="E54" s="4">
        <f>(AVERAGE('[1]soil moisture 2008'!$V$11,'[1]soil moisture 2008'!$V$13,'[1]soil moisture 2008'!$V$20))/100</f>
        <v>0.11266666666666665</v>
      </c>
    </row>
    <row r="55" spans="1:5" x14ac:dyDescent="0.3">
      <c r="A55" s="4">
        <v>5</v>
      </c>
      <c r="B55" s="24">
        <v>39657</v>
      </c>
      <c r="C55" s="85">
        <v>0</v>
      </c>
      <c r="D55" s="85">
        <v>60</v>
      </c>
      <c r="E55" s="4">
        <f>(AVERAGE('[1]soil moisture 2008'!W$14,'[1]soil moisture 2008'!W$17,'[1]soil moisture 2008'!W$19))/100</f>
        <v>0.14350000000000002</v>
      </c>
    </row>
    <row r="56" spans="1:5" x14ac:dyDescent="0.3">
      <c r="A56" s="100">
        <v>6</v>
      </c>
      <c r="B56" s="24">
        <v>39657</v>
      </c>
      <c r="C56" s="101">
        <v>0</v>
      </c>
      <c r="D56" s="101">
        <v>60</v>
      </c>
      <c r="E56" s="4">
        <f>(AVERAGE('[1]soil moisture 2008'!$W$10,'[1]soil moisture 2008'!$W$12,'[1]soil moisture 2008'!$W$21))/100</f>
        <v>0.17351851851851852</v>
      </c>
    </row>
    <row r="57" spans="1:5" x14ac:dyDescent="0.3">
      <c r="A57" s="4">
        <v>7</v>
      </c>
      <c r="B57" s="24">
        <v>39657</v>
      </c>
      <c r="C57" s="85">
        <v>0</v>
      </c>
      <c r="D57" s="85">
        <v>60</v>
      </c>
      <c r="E57" s="4">
        <f>(AVERAGE('[1]soil moisture 2008'!$X$15,'[1]soil moisture 2008'!$X$16,'[1]soil moisture 2008'!$X$18))/100</f>
        <v>9.718518518518518E-2</v>
      </c>
    </row>
    <row r="58" spans="1:5" x14ac:dyDescent="0.3">
      <c r="A58" s="84">
        <v>8</v>
      </c>
      <c r="B58" s="24">
        <v>39657</v>
      </c>
      <c r="C58" s="101">
        <v>0</v>
      </c>
      <c r="D58" s="101">
        <v>60</v>
      </c>
      <c r="E58" s="4">
        <f>(AVERAGE('[1]soil moisture 2008'!$W$11,'[1]soil moisture 2008'!$W$13,'[1]soil moisture 2008'!$W$20))/100</f>
        <v>9.3453703703703705E-2</v>
      </c>
    </row>
    <row r="59" spans="1:5" x14ac:dyDescent="0.3">
      <c r="A59" s="4">
        <v>5</v>
      </c>
      <c r="B59" s="24">
        <v>39660</v>
      </c>
      <c r="C59" s="85">
        <v>0</v>
      </c>
      <c r="D59" s="85">
        <v>60</v>
      </c>
      <c r="E59" s="4">
        <f>(AVERAGE('[1]soil moisture 2008'!X$14,'[1]soil moisture 2008'!X$17,'[1]soil moisture 2008'!X$19))/100</f>
        <v>0.15690740740740741</v>
      </c>
    </row>
    <row r="60" spans="1:5" x14ac:dyDescent="0.3">
      <c r="A60" s="100">
        <v>6</v>
      </c>
      <c r="B60" s="24">
        <v>39660</v>
      </c>
      <c r="C60" s="101">
        <v>0</v>
      </c>
      <c r="D60" s="101">
        <v>60</v>
      </c>
      <c r="E60" s="4">
        <f>(AVERAGE('[1]soil moisture 2008'!$X$10,'[1]soil moisture 2008'!$X$12,'[1]soil moisture 2008'!$X$21))/100</f>
        <v>0.18642592592592591</v>
      </c>
    </row>
    <row r="61" spans="1:5" x14ac:dyDescent="0.3">
      <c r="A61" s="4">
        <v>7</v>
      </c>
      <c r="B61" s="24">
        <v>39660</v>
      </c>
      <c r="C61" s="85">
        <v>0</v>
      </c>
      <c r="D61" s="85">
        <v>60</v>
      </c>
      <c r="E61" s="4">
        <f>(AVERAGE('[1]soil moisture 2008'!$Y$15,'[1]soil moisture 2008'!$Y$16,'[1]soil moisture 2008'!$Y$18))/100</f>
        <v>0.11078703703703704</v>
      </c>
    </row>
    <row r="62" spans="1:5" x14ac:dyDescent="0.3">
      <c r="A62" s="84">
        <v>8</v>
      </c>
      <c r="B62" s="24">
        <v>39660</v>
      </c>
      <c r="C62" s="101">
        <v>0</v>
      </c>
      <c r="D62" s="101">
        <v>60</v>
      </c>
      <c r="E62" s="4">
        <f>(AVERAGE('[1]soil moisture 2008'!$X$11,'[1]soil moisture 2008'!$X$13,'[1]soil moisture 2008'!$X$20))/100</f>
        <v>0.11696296296296296</v>
      </c>
    </row>
    <row r="63" spans="1:5" x14ac:dyDescent="0.3">
      <c r="A63" s="4">
        <v>5</v>
      </c>
      <c r="B63" s="24">
        <v>39664</v>
      </c>
      <c r="C63" s="85">
        <v>0</v>
      </c>
      <c r="D63" s="85">
        <v>60</v>
      </c>
      <c r="E63" s="4">
        <f>(AVERAGE('[1]soil moisture 2008'!Y$14,'[1]soil moisture 2008'!Y$17,'[1]soil moisture 2008'!Y$19))/100</f>
        <v>0.18687037037037041</v>
      </c>
    </row>
    <row r="64" spans="1:5" x14ac:dyDescent="0.3">
      <c r="A64" s="100">
        <v>6</v>
      </c>
      <c r="B64" s="24">
        <v>39664</v>
      </c>
      <c r="C64" s="101">
        <v>0</v>
      </c>
      <c r="D64" s="101">
        <v>60</v>
      </c>
      <c r="E64" s="4">
        <f>(AVERAGE('[1]soil moisture 2008'!$Y$10,'[1]soil moisture 2008'!$Y$12,'[1]soil moisture 2008'!$Y$21))/100</f>
        <v>0.19864814814814813</v>
      </c>
    </row>
    <row r="65" spans="1:5" x14ac:dyDescent="0.3">
      <c r="A65" s="4">
        <v>7</v>
      </c>
      <c r="B65" s="24">
        <v>39664</v>
      </c>
      <c r="C65" s="85">
        <v>0</v>
      </c>
      <c r="D65" s="85">
        <v>60</v>
      </c>
      <c r="E65" s="4">
        <f>(AVERAGE('[1]soil moisture 2008'!$Z$15,'[1]soil moisture 2008'!$Z$16,'[1]soil moisture 2008'!$Z$18))/100</f>
        <v>9.2499999999999999E-2</v>
      </c>
    </row>
    <row r="66" spans="1:5" x14ac:dyDescent="0.3">
      <c r="A66" s="84">
        <v>8</v>
      </c>
      <c r="B66" s="24">
        <v>39664</v>
      </c>
      <c r="C66" s="101">
        <v>0</v>
      </c>
      <c r="D66" s="101">
        <v>60</v>
      </c>
      <c r="E66" s="4">
        <f>(AVERAGE('[1]soil moisture 2008'!$Y$11,'[1]soil moisture 2008'!$Y$13,'[1]soil moisture 2008'!$Y$20))/100</f>
        <v>0.13792592592592592</v>
      </c>
    </row>
    <row r="67" spans="1:5" x14ac:dyDescent="0.3">
      <c r="A67" s="4">
        <v>5</v>
      </c>
      <c r="B67" s="24">
        <v>39667</v>
      </c>
      <c r="C67" s="85">
        <v>0</v>
      </c>
      <c r="D67" s="85">
        <v>60</v>
      </c>
      <c r="E67" s="4">
        <f>(AVERAGE('[1]soil moisture 2008'!Z$14,'[1]soil moisture 2008'!Z$17,'[1]soil moisture 2008'!Z$19))/100</f>
        <v>0.15822222222222224</v>
      </c>
    </row>
    <row r="68" spans="1:5" x14ac:dyDescent="0.3">
      <c r="A68" s="100">
        <v>6</v>
      </c>
      <c r="B68" s="24">
        <v>39667</v>
      </c>
      <c r="C68" s="101">
        <v>0</v>
      </c>
      <c r="D68" s="101">
        <v>60</v>
      </c>
      <c r="E68" s="4">
        <f>(AVERAGE('[1]soil moisture 2008'!$Z$10,'[1]soil moisture 2008'!$Z$12,'[1]soil moisture 2008'!$Z$21))/100</f>
        <v>0.18038888888888888</v>
      </c>
    </row>
    <row r="69" spans="1:5" x14ac:dyDescent="0.3">
      <c r="A69" s="4">
        <v>7</v>
      </c>
      <c r="B69" s="24">
        <v>39667</v>
      </c>
      <c r="C69" s="85">
        <v>0</v>
      </c>
      <c r="D69" s="85">
        <v>60</v>
      </c>
      <c r="E69" s="4">
        <f>(AVERAGE('[1]soil moisture 2008'!$AA$15,'[1]soil moisture 2008'!$AA$16,'[1]soil moisture 2008'!$AA$18))/100</f>
        <v>8.6879629629629612E-2</v>
      </c>
    </row>
    <row r="70" spans="1:5" x14ac:dyDescent="0.3">
      <c r="A70" s="84">
        <v>8</v>
      </c>
      <c r="B70" s="24">
        <v>39667</v>
      </c>
      <c r="C70" s="101">
        <v>0</v>
      </c>
      <c r="D70" s="101">
        <v>60</v>
      </c>
      <c r="E70" s="4">
        <f>(AVERAGE('[1]soil moisture 2008'!$Z$11,'[1]soil moisture 2008'!$Z$13,'[1]soil moisture 2008'!$Z$20))/100</f>
        <v>0.12244444444444445</v>
      </c>
    </row>
    <row r="71" spans="1:5" x14ac:dyDescent="0.3">
      <c r="A71" s="4">
        <v>5</v>
      </c>
      <c r="B71" s="24">
        <v>39671</v>
      </c>
      <c r="C71" s="85">
        <v>0</v>
      </c>
      <c r="D71" s="85">
        <v>60</v>
      </c>
      <c r="E71" s="4">
        <f>(AVERAGE('[1]soil moisture 2008'!AA$14,'[1]soil moisture 2008'!AA$17,'[1]soil moisture 2008'!AA$19))/100</f>
        <v>0.1477037037037037</v>
      </c>
    </row>
    <row r="72" spans="1:5" x14ac:dyDescent="0.3">
      <c r="A72" s="100">
        <v>6</v>
      </c>
      <c r="B72" s="24">
        <v>39671</v>
      </c>
      <c r="C72" s="101">
        <v>0</v>
      </c>
      <c r="D72" s="101">
        <v>60</v>
      </c>
      <c r="E72" s="4">
        <f>(AVERAGE('[1]soil moisture 2008'!$AA$10,'[1]soil moisture 2008'!$AA$12,'[1]soil moisture 2008'!$AA$21))/100</f>
        <v>0.16722222222222224</v>
      </c>
    </row>
    <row r="73" spans="1:5" x14ac:dyDescent="0.3">
      <c r="A73" s="4">
        <v>7</v>
      </c>
      <c r="B73" s="24">
        <v>39671</v>
      </c>
      <c r="C73" s="85">
        <v>0</v>
      </c>
      <c r="D73" s="85">
        <v>60</v>
      </c>
      <c r="E73" s="4">
        <f>(AVERAGE('[1]soil moisture 2008'!$AB$15,'[1]soil moisture 2008'!$AB$16,'[1]soil moisture 2008'!$AB$18))/100</f>
        <v>0.10870370370370372</v>
      </c>
    </row>
    <row r="74" spans="1:5" x14ac:dyDescent="0.3">
      <c r="A74" s="84">
        <v>8</v>
      </c>
      <c r="B74" s="24">
        <v>39671</v>
      </c>
      <c r="C74" s="101">
        <v>0</v>
      </c>
      <c r="D74" s="101">
        <v>60</v>
      </c>
      <c r="E74" s="4">
        <f>(AVERAGE('[1]soil moisture 2008'!$AA$11,'[1]soil moisture 2008'!$AA$13,'[1]soil moisture 2008'!$AA$20))/100</f>
        <v>0.11468518518518517</v>
      </c>
    </row>
    <row r="75" spans="1:5" x14ac:dyDescent="0.3">
      <c r="A75" s="4">
        <v>5</v>
      </c>
      <c r="B75" s="24">
        <v>39674</v>
      </c>
      <c r="C75" s="85">
        <v>0</v>
      </c>
      <c r="D75" s="85">
        <v>60</v>
      </c>
      <c r="E75" s="4">
        <f>(AVERAGE('[1]soil moisture 2008'!AB$14,'[1]soil moisture 2008'!AB$17,'[1]soil moisture 2008'!AB$19))/100</f>
        <v>0.18575925925925926</v>
      </c>
    </row>
    <row r="76" spans="1:5" x14ac:dyDescent="0.3">
      <c r="A76" s="100">
        <v>6</v>
      </c>
      <c r="B76" s="24">
        <v>39674</v>
      </c>
      <c r="C76" s="101">
        <v>0</v>
      </c>
      <c r="D76" s="101">
        <v>60</v>
      </c>
      <c r="E76" s="4">
        <f>(AVERAGE('[1]soil moisture 2008'!$AB$10,'[1]soil moisture 2008'!$AB$12,'[1]soil moisture 2008'!$AB$21))/100</f>
        <v>0.20285185185185184</v>
      </c>
    </row>
    <row r="77" spans="1:5" x14ac:dyDescent="0.3">
      <c r="A77" s="4">
        <v>7</v>
      </c>
      <c r="B77" s="24">
        <v>39674</v>
      </c>
      <c r="C77" s="85">
        <v>0</v>
      </c>
      <c r="D77" s="85">
        <v>60</v>
      </c>
      <c r="E77" s="4">
        <f>(AVERAGE('[1]soil moisture 2008'!$AC$15,'[1]soil moisture 2008'!$AC$16,'[1]soil moisture 2008'!$AC$18))/100</f>
        <v>8.5990740740740743E-2</v>
      </c>
    </row>
    <row r="78" spans="1:5" x14ac:dyDescent="0.3">
      <c r="A78" s="84">
        <v>8</v>
      </c>
      <c r="B78" s="24">
        <v>39674</v>
      </c>
      <c r="C78" s="101">
        <v>0</v>
      </c>
      <c r="D78" s="101">
        <v>60</v>
      </c>
      <c r="E78" s="4">
        <f>(AVERAGE('[1]soil moisture 2008'!$AB$11,'[1]soil moisture 2008'!$AB$13,'[1]soil moisture 2008'!$AB$20))/100</f>
        <v>0.1348425925925926</v>
      </c>
    </row>
    <row r="79" spans="1:5" x14ac:dyDescent="0.3">
      <c r="A79" s="4">
        <v>5</v>
      </c>
      <c r="B79" s="24">
        <v>39678</v>
      </c>
      <c r="C79" s="85">
        <v>0</v>
      </c>
      <c r="D79" s="85">
        <v>60</v>
      </c>
      <c r="E79" s="4">
        <f>(AVERAGE('[1]soil moisture 2008'!AC$14,'[1]soil moisture 2008'!AC$17,'[1]soil moisture 2008'!AC$19))/100</f>
        <v>0.16288888888888889</v>
      </c>
    </row>
    <row r="80" spans="1:5" x14ac:dyDescent="0.3">
      <c r="A80" s="100">
        <v>6</v>
      </c>
      <c r="B80" s="24">
        <v>39678</v>
      </c>
      <c r="C80" s="101">
        <v>0</v>
      </c>
      <c r="D80" s="101">
        <v>60</v>
      </c>
      <c r="E80" s="4">
        <f>(AVERAGE('[1]soil moisture 2008'!$AC$10,'[1]soil moisture 2008'!$AC$12,'[1]soil moisture 2008'!$AC$21))/100</f>
        <v>0.1799074074074074</v>
      </c>
    </row>
    <row r="81" spans="1:5" x14ac:dyDescent="0.3">
      <c r="A81" s="4">
        <v>7</v>
      </c>
      <c r="B81" s="24">
        <v>39678</v>
      </c>
      <c r="C81" s="85">
        <v>0</v>
      </c>
      <c r="D81" s="85">
        <v>60</v>
      </c>
      <c r="E81" s="4">
        <f>(AVERAGE('[1]soil moisture 2008'!$AD$15,'[1]soil moisture 2008'!$AD$16,'[1]soil moisture 2008'!$AD$18))/100</f>
        <v>8.3972222222222198E-2</v>
      </c>
    </row>
    <row r="82" spans="1:5" x14ac:dyDescent="0.3">
      <c r="A82" s="84">
        <v>8</v>
      </c>
      <c r="B82" s="24">
        <v>39678</v>
      </c>
      <c r="C82" s="101">
        <v>0</v>
      </c>
      <c r="D82" s="101">
        <v>60</v>
      </c>
      <c r="E82" s="4">
        <f>(AVERAGE('[1]soil moisture 2008'!$AC$11,'[1]soil moisture 2008'!$AC$13,'[1]soil moisture 2008'!$AC$20))/100</f>
        <v>0.11521296296296298</v>
      </c>
    </row>
    <row r="83" spans="1:5" x14ac:dyDescent="0.3">
      <c r="A83" s="4">
        <v>5</v>
      </c>
      <c r="B83" s="24">
        <v>39681</v>
      </c>
      <c r="C83" s="85">
        <v>0</v>
      </c>
      <c r="D83" s="85">
        <v>60</v>
      </c>
      <c r="E83" s="4">
        <f>(AVERAGE('[1]soil moisture 2008'!AD$14,'[1]soil moisture 2008'!AD$17,'[1]soil moisture 2008'!AD$19))/100</f>
        <v>0.15714814814814815</v>
      </c>
    </row>
    <row r="84" spans="1:5" x14ac:dyDescent="0.3">
      <c r="A84" s="100">
        <v>6</v>
      </c>
      <c r="B84" s="24">
        <v>39681</v>
      </c>
      <c r="C84" s="101">
        <v>0</v>
      </c>
      <c r="D84" s="101">
        <v>60</v>
      </c>
      <c r="E84" s="4">
        <f>(AVERAGE('[1]soil moisture 2008'!$AD$10,'[1]soil moisture 2008'!$AD$12,'[1]soil moisture 2008'!$AD$21))/100</f>
        <v>0.18170370370370376</v>
      </c>
    </row>
    <row r="85" spans="1:5" x14ac:dyDescent="0.3">
      <c r="A85" s="4">
        <v>7</v>
      </c>
      <c r="B85" s="24">
        <v>39681</v>
      </c>
      <c r="C85" s="85">
        <v>0</v>
      </c>
      <c r="D85" s="85">
        <v>60</v>
      </c>
      <c r="E85" s="4">
        <f>(AVERAGE('[1]soil moisture 2008'!$AD$15,'[1]soil moisture 2008'!$AD$16,'[1]soil moisture 2008'!$AD$18))/100</f>
        <v>8.3972222222222198E-2</v>
      </c>
    </row>
    <row r="86" spans="1:5" x14ac:dyDescent="0.3">
      <c r="A86" s="84">
        <v>8</v>
      </c>
      <c r="B86" s="24">
        <v>39681</v>
      </c>
      <c r="C86" s="101">
        <v>0</v>
      </c>
      <c r="D86" s="101">
        <v>60</v>
      </c>
      <c r="E86" s="4">
        <f>(AVERAGE('[1]soil moisture 2008'!$AD$11,'[1]soil moisture 2008'!$AD$13,'[1]soil moisture 2008'!$AD$20))/100</f>
        <v>0.11175925925925924</v>
      </c>
    </row>
    <row r="87" spans="1:5" x14ac:dyDescent="0.3">
      <c r="A87" s="4">
        <v>5</v>
      </c>
      <c r="B87" s="24">
        <v>39685</v>
      </c>
      <c r="C87" s="85">
        <v>0</v>
      </c>
      <c r="D87" s="85">
        <v>60</v>
      </c>
      <c r="E87" s="4">
        <f>(AVERAGE('[1]soil moisture 2008'!AE$14,'[1]soil moisture 2008'!AE$17,'[1]soil moisture 2008'!AE$19))/100</f>
        <v>0.18911111111111112</v>
      </c>
    </row>
    <row r="88" spans="1:5" x14ac:dyDescent="0.3">
      <c r="A88" s="100">
        <v>6</v>
      </c>
      <c r="B88" s="24">
        <v>39685</v>
      </c>
      <c r="C88" s="101">
        <v>0</v>
      </c>
      <c r="D88" s="101">
        <v>60</v>
      </c>
      <c r="E88" s="4">
        <f>(AVERAGE('[1]soil moisture 2008'!$AE$10,'[1]soil moisture 2008'!$AE$12,'[1]soil moisture 2008'!$AE$21))/100</f>
        <v>0.20407407407407407</v>
      </c>
    </row>
    <row r="89" spans="1:5" x14ac:dyDescent="0.3">
      <c r="A89" s="4">
        <v>7</v>
      </c>
      <c r="B89" s="24">
        <v>39685</v>
      </c>
      <c r="C89" s="85">
        <v>0</v>
      </c>
      <c r="D89" s="85">
        <v>60</v>
      </c>
      <c r="E89" s="4">
        <f>(AVERAGE('[1]soil moisture 2008'!$AE$15,'[1]soil moisture 2008'!$AE$16,'[1]soil moisture 2008'!$AE$18))/100</f>
        <v>7.4296296296296291E-2</v>
      </c>
    </row>
    <row r="90" spans="1:5" x14ac:dyDescent="0.3">
      <c r="A90" s="84">
        <v>8</v>
      </c>
      <c r="B90" s="24">
        <v>39685</v>
      </c>
      <c r="C90" s="101">
        <v>0</v>
      </c>
      <c r="D90" s="101">
        <v>60</v>
      </c>
      <c r="E90" s="4">
        <f>(AVERAGE('[1]soil moisture 2008'!$AE$11,'[1]soil moisture 2008'!$AE$13,'[1]soil moisture 2008'!$AE$20))/100</f>
        <v>0.10214814814814815</v>
      </c>
    </row>
    <row r="91" spans="1:5" x14ac:dyDescent="0.3">
      <c r="A91" s="4">
        <v>5</v>
      </c>
      <c r="B91" s="24">
        <v>39688</v>
      </c>
      <c r="C91" s="85">
        <v>0</v>
      </c>
      <c r="D91" s="85">
        <v>60</v>
      </c>
      <c r="E91" s="4">
        <f>(AVERAGE('[1]soil moisture 2008'!AF$14,'[1]soil moisture 2008'!AF$17,'[1]soil moisture 2008'!AF$19))/100</f>
        <v>0.18281481481481482</v>
      </c>
    </row>
    <row r="92" spans="1:5" x14ac:dyDescent="0.3">
      <c r="A92" s="100">
        <v>6</v>
      </c>
      <c r="B92" s="24">
        <v>39688</v>
      </c>
      <c r="C92" s="101">
        <v>0</v>
      </c>
      <c r="D92" s="101">
        <v>60</v>
      </c>
      <c r="E92" s="4">
        <f>(AVERAGE('[1]soil moisture 2008'!$AF$10,'[1]soil moisture 2008'!$AF$12,'[1]soil moisture 2008'!$AF$21))/100</f>
        <v>0.19729629629629628</v>
      </c>
    </row>
    <row r="93" spans="1:5" x14ac:dyDescent="0.3">
      <c r="A93" s="4">
        <v>7</v>
      </c>
      <c r="B93" s="24">
        <v>39688</v>
      </c>
      <c r="C93" s="85">
        <v>0</v>
      </c>
      <c r="D93" s="85">
        <v>60</v>
      </c>
      <c r="E93" s="4">
        <f>(AVERAGE('[1]soil moisture 2008'!$AF$15,'[1]soil moisture 2008'!$AF$16,'[1]soil moisture 2008'!$AF$18))/100</f>
        <v>7.3555555555555568E-2</v>
      </c>
    </row>
    <row r="94" spans="1:5" x14ac:dyDescent="0.3">
      <c r="A94" s="84">
        <v>8</v>
      </c>
      <c r="B94" s="24">
        <v>39688</v>
      </c>
      <c r="C94" s="101">
        <v>0</v>
      </c>
      <c r="D94" s="101">
        <v>60</v>
      </c>
      <c r="E94" s="4">
        <f>(AVERAGE('[1]soil moisture 2008'!$AF$11,'[1]soil moisture 2008'!$AF$13,'[1]soil moisture 2008'!$AF$20))/100</f>
        <v>0.10132407407407407</v>
      </c>
    </row>
    <row r="95" spans="1:5" x14ac:dyDescent="0.3">
      <c r="A95" s="4"/>
      <c r="B95" s="24"/>
      <c r="C95" s="85"/>
      <c r="D95" s="85"/>
      <c r="E95" s="4"/>
    </row>
    <row r="96" spans="1:5" x14ac:dyDescent="0.3">
      <c r="A96" s="100"/>
      <c r="B96" s="24"/>
      <c r="C96" s="101"/>
      <c r="D96" s="101"/>
      <c r="E96" s="4"/>
    </row>
    <row r="97" spans="1:5" x14ac:dyDescent="0.3">
      <c r="A97" s="4"/>
      <c r="B97" s="24"/>
      <c r="C97" s="85"/>
      <c r="D97" s="85"/>
      <c r="E97" s="4"/>
    </row>
    <row r="98" spans="1:5" x14ac:dyDescent="0.3">
      <c r="A98" s="84"/>
      <c r="B98" s="24"/>
      <c r="C98" s="101"/>
      <c r="D98" s="101"/>
      <c r="E98" s="4"/>
    </row>
    <row r="99" spans="1:5" x14ac:dyDescent="0.3">
      <c r="A99" s="4"/>
      <c r="B99" s="24"/>
      <c r="C99" s="85"/>
      <c r="D99" s="85"/>
      <c r="E99" s="4"/>
    </row>
    <row r="100" spans="1:5" x14ac:dyDescent="0.3">
      <c r="A100" s="100"/>
      <c r="B100" s="24"/>
      <c r="C100" s="101"/>
      <c r="D100" s="101"/>
      <c r="E100" s="4"/>
    </row>
    <row r="101" spans="1:5" x14ac:dyDescent="0.3">
      <c r="A101" s="4"/>
      <c r="B101" s="24"/>
      <c r="C101" s="85"/>
      <c r="D101" s="85"/>
      <c r="E101" s="4"/>
    </row>
    <row r="102" spans="1:5" x14ac:dyDescent="0.3">
      <c r="A102" s="84"/>
      <c r="B102" s="24"/>
      <c r="C102" s="101"/>
      <c r="D102" s="101"/>
      <c r="E102" s="4"/>
    </row>
    <row r="103" spans="1:5" x14ac:dyDescent="0.3">
      <c r="A103" s="4"/>
      <c r="B103" s="24"/>
      <c r="C103" s="85"/>
      <c r="D103" s="85"/>
      <c r="E103" s="4"/>
    </row>
    <row r="104" spans="1:5" x14ac:dyDescent="0.3">
      <c r="A104" s="100"/>
      <c r="B104" s="24"/>
      <c r="C104" s="101"/>
      <c r="D104" s="101"/>
      <c r="E104" s="4"/>
    </row>
    <row r="105" spans="1:5" x14ac:dyDescent="0.3">
      <c r="A105" s="4"/>
      <c r="B105" s="24"/>
      <c r="C105" s="85"/>
      <c r="D105" s="85"/>
      <c r="E105" s="4"/>
    </row>
    <row r="106" spans="1:5" x14ac:dyDescent="0.3">
      <c r="A106" s="84"/>
      <c r="B106" s="24"/>
      <c r="C106" s="101"/>
      <c r="D106" s="101"/>
      <c r="E106" s="4"/>
    </row>
    <row r="107" spans="1:5" x14ac:dyDescent="0.3">
      <c r="A107" s="4"/>
      <c r="B107" s="24"/>
      <c r="C107" s="85"/>
      <c r="D107" s="85"/>
      <c r="E107" s="4"/>
    </row>
    <row r="108" spans="1:5" x14ac:dyDescent="0.3">
      <c r="A108" s="100"/>
      <c r="B108" s="24"/>
      <c r="C108" s="101"/>
      <c r="D108" s="101"/>
      <c r="E108" s="4"/>
    </row>
    <row r="109" spans="1:5" x14ac:dyDescent="0.3">
      <c r="A109" s="4"/>
      <c r="B109" s="24"/>
      <c r="C109" s="85"/>
      <c r="D109" s="85"/>
      <c r="E109" s="4"/>
    </row>
    <row r="110" spans="1:5" x14ac:dyDescent="0.3">
      <c r="A110" s="84"/>
      <c r="B110" s="24"/>
      <c r="C110" s="101"/>
      <c r="D110" s="101"/>
      <c r="E110" s="4"/>
    </row>
    <row r="111" spans="1:5" x14ac:dyDescent="0.3">
      <c r="A111" s="4"/>
      <c r="B111" s="24"/>
      <c r="C111" s="85"/>
      <c r="D111" s="85"/>
      <c r="E111" s="4"/>
    </row>
    <row r="112" spans="1:5" x14ac:dyDescent="0.3">
      <c r="A112" s="100"/>
      <c r="B112" s="24"/>
      <c r="C112" s="101"/>
      <c r="D112" s="101"/>
      <c r="E112" s="4"/>
    </row>
    <row r="113" spans="1:5" x14ac:dyDescent="0.3">
      <c r="A113" s="4"/>
      <c r="B113" s="24"/>
      <c r="C113" s="85"/>
      <c r="D113" s="85"/>
      <c r="E113" s="4"/>
    </row>
    <row r="114" spans="1:5" x14ac:dyDescent="0.3">
      <c r="A114" s="84"/>
      <c r="B114" s="24"/>
      <c r="C114" s="101"/>
      <c r="D114" s="101"/>
      <c r="E114" s="4"/>
    </row>
    <row r="115" spans="1:5" x14ac:dyDescent="0.3">
      <c r="A115" s="4"/>
      <c r="B115" s="24"/>
      <c r="C115" s="85"/>
      <c r="D115" s="85"/>
      <c r="E115" s="4"/>
    </row>
    <row r="116" spans="1:5" x14ac:dyDescent="0.3">
      <c r="A116" s="100"/>
      <c r="B116" s="24"/>
      <c r="C116" s="101"/>
      <c r="D116" s="101"/>
      <c r="E116" s="4"/>
    </row>
    <row r="117" spans="1:5" x14ac:dyDescent="0.3">
      <c r="A117" s="4"/>
      <c r="B117" s="24"/>
      <c r="C117" s="85"/>
      <c r="D117" s="85"/>
      <c r="E117" s="4"/>
    </row>
    <row r="118" spans="1:5" x14ac:dyDescent="0.3">
      <c r="A118" s="84"/>
      <c r="B118" s="24"/>
      <c r="C118" s="101"/>
      <c r="D118" s="101"/>
      <c r="E118" s="4"/>
    </row>
    <row r="119" spans="1:5" x14ac:dyDescent="0.3">
      <c r="A119" s="4"/>
      <c r="B119" s="24"/>
      <c r="C119" s="85"/>
      <c r="D119" s="85"/>
      <c r="E119" s="4"/>
    </row>
    <row r="120" spans="1:5" x14ac:dyDescent="0.3">
      <c r="A120" s="100"/>
      <c r="B120" s="24"/>
      <c r="C120" s="101"/>
      <c r="D120" s="101"/>
      <c r="E120" s="4"/>
    </row>
    <row r="121" spans="1:5" x14ac:dyDescent="0.3">
      <c r="A121" s="4"/>
      <c r="B121" s="24"/>
      <c r="C121" s="85"/>
      <c r="D121" s="85"/>
      <c r="E121" s="4"/>
    </row>
    <row r="122" spans="1:5" x14ac:dyDescent="0.3">
      <c r="A122" s="84"/>
      <c r="B122" s="24"/>
      <c r="C122" s="101"/>
      <c r="D122" s="101"/>
      <c r="E122" s="4"/>
    </row>
    <row r="123" spans="1:5" x14ac:dyDescent="0.3">
      <c r="A123" s="4"/>
      <c r="B123" s="24"/>
      <c r="C123" s="85"/>
      <c r="D123" s="85"/>
      <c r="E123" s="4"/>
    </row>
    <row r="124" spans="1:5" x14ac:dyDescent="0.3">
      <c r="A124" s="100"/>
      <c r="B124" s="24"/>
      <c r="C124" s="101"/>
      <c r="D124" s="101"/>
      <c r="E124" s="4"/>
    </row>
    <row r="125" spans="1:5" x14ac:dyDescent="0.3">
      <c r="A125" s="4"/>
      <c r="B125" s="24"/>
      <c r="C125" s="85"/>
      <c r="D125" s="85"/>
      <c r="E125" s="4"/>
    </row>
    <row r="126" spans="1:5" x14ac:dyDescent="0.3">
      <c r="A126" s="84"/>
      <c r="B126" s="24"/>
      <c r="C126" s="101"/>
      <c r="D126" s="101"/>
      <c r="E126" s="4"/>
    </row>
    <row r="127" spans="1:5" x14ac:dyDescent="0.3">
      <c r="A127" s="4"/>
      <c r="B127" s="24"/>
      <c r="C127" s="85"/>
      <c r="D127" s="85"/>
      <c r="E127" s="4"/>
    </row>
    <row r="128" spans="1:5" x14ac:dyDescent="0.3">
      <c r="A128" s="100"/>
      <c r="B128" s="24"/>
      <c r="C128" s="101"/>
      <c r="D128" s="101"/>
      <c r="E128" s="4"/>
    </row>
    <row r="129" spans="1:5" x14ac:dyDescent="0.3">
      <c r="A129" s="4"/>
      <c r="B129" s="24"/>
      <c r="C129" s="85"/>
      <c r="D129" s="85"/>
      <c r="E129" s="4"/>
    </row>
    <row r="130" spans="1:5" x14ac:dyDescent="0.3">
      <c r="A130" s="84"/>
      <c r="B130" s="24"/>
      <c r="C130" s="101"/>
      <c r="D130" s="101"/>
      <c r="E130" s="4"/>
    </row>
    <row r="131" spans="1:5" x14ac:dyDescent="0.3">
      <c r="A131" s="4"/>
      <c r="B131" s="24"/>
      <c r="C131" s="85"/>
      <c r="D131" s="85"/>
      <c r="E131" s="4"/>
    </row>
    <row r="132" spans="1:5" x14ac:dyDescent="0.3">
      <c r="A132" s="100"/>
      <c r="B132" s="24"/>
      <c r="C132" s="101"/>
      <c r="D132" s="101"/>
      <c r="E132" s="4"/>
    </row>
    <row r="133" spans="1:5" x14ac:dyDescent="0.3">
      <c r="A133" s="4"/>
      <c r="B133" s="24"/>
      <c r="C133" s="85"/>
      <c r="D133" s="85"/>
      <c r="E133" s="4"/>
    </row>
    <row r="134" spans="1:5" x14ac:dyDescent="0.3">
      <c r="A134" s="84"/>
      <c r="B134" s="24"/>
      <c r="C134" s="101"/>
      <c r="D134" s="101"/>
      <c r="E134" s="4"/>
    </row>
    <row r="135" spans="1:5" x14ac:dyDescent="0.3">
      <c r="A135" s="4"/>
      <c r="B135" s="24"/>
      <c r="C135" s="85"/>
      <c r="D135" s="85"/>
      <c r="E135" s="4"/>
    </row>
    <row r="136" spans="1:5" x14ac:dyDescent="0.3">
      <c r="A136" s="100"/>
      <c r="B136" s="24"/>
      <c r="C136" s="101"/>
      <c r="D136" s="101"/>
      <c r="E136" s="4"/>
    </row>
    <row r="137" spans="1:5" x14ac:dyDescent="0.3">
      <c r="A137" s="4"/>
      <c r="B137" s="24"/>
      <c r="C137" s="85"/>
      <c r="D137" s="85"/>
      <c r="E137" s="4"/>
    </row>
    <row r="138" spans="1:5" x14ac:dyDescent="0.3">
      <c r="A138" s="84"/>
      <c r="B138" s="24"/>
      <c r="C138" s="101"/>
      <c r="D138" s="101"/>
      <c r="E138" s="4"/>
    </row>
    <row r="139" spans="1:5" x14ac:dyDescent="0.3">
      <c r="A139" s="4"/>
      <c r="B139" s="24"/>
      <c r="C139" s="85"/>
      <c r="D139" s="85"/>
      <c r="E139" s="4"/>
    </row>
    <row r="140" spans="1:5" x14ac:dyDescent="0.3">
      <c r="A140" s="100"/>
      <c r="B140" s="24"/>
      <c r="C140" s="101"/>
      <c r="D140" s="101"/>
      <c r="E140" s="4"/>
    </row>
    <row r="141" spans="1:5" x14ac:dyDescent="0.3">
      <c r="A141" s="4"/>
      <c r="B141" s="24"/>
      <c r="C141" s="85"/>
      <c r="D141" s="85"/>
      <c r="E141" s="4"/>
    </row>
    <row r="142" spans="1:5" x14ac:dyDescent="0.3">
      <c r="A142" s="84"/>
      <c r="B142" s="24"/>
      <c r="C142" s="101"/>
      <c r="D142" s="101"/>
      <c r="E142" s="4"/>
    </row>
    <row r="143" spans="1:5" x14ac:dyDescent="0.3">
      <c r="A143" s="4"/>
      <c r="B143" s="24"/>
      <c r="C143" s="85"/>
      <c r="D143" s="85"/>
      <c r="E143" s="4"/>
    </row>
    <row r="144" spans="1:5" x14ac:dyDescent="0.3">
      <c r="A144" s="100"/>
      <c r="B144" s="24"/>
      <c r="C144" s="101"/>
      <c r="D144" s="101"/>
      <c r="E144" s="4"/>
    </row>
    <row r="145" spans="1:5" x14ac:dyDescent="0.3">
      <c r="A145" s="4"/>
      <c r="B145" s="24"/>
      <c r="C145" s="85"/>
      <c r="D145" s="85"/>
      <c r="E145" s="4"/>
    </row>
    <row r="146" spans="1:5" x14ac:dyDescent="0.3">
      <c r="A146" s="84"/>
      <c r="B146" s="24"/>
      <c r="C146" s="101"/>
      <c r="D146" s="101"/>
      <c r="E146" s="4"/>
    </row>
    <row r="147" spans="1:5" x14ac:dyDescent="0.3">
      <c r="A147" s="4"/>
      <c r="B147" s="24"/>
      <c r="C147" s="85"/>
      <c r="D147" s="85"/>
      <c r="E147" s="4"/>
    </row>
    <row r="148" spans="1:5" x14ac:dyDescent="0.3">
      <c r="A148" s="100"/>
      <c r="B148" s="24"/>
      <c r="C148" s="101"/>
      <c r="D148" s="101"/>
      <c r="E148" s="4"/>
    </row>
    <row r="149" spans="1:5" x14ac:dyDescent="0.3">
      <c r="A149" s="4"/>
      <c r="B149" s="24"/>
      <c r="C149" s="85"/>
      <c r="D149" s="85"/>
      <c r="E149" s="4"/>
    </row>
    <row r="150" spans="1:5" x14ac:dyDescent="0.3">
      <c r="A150" s="84"/>
      <c r="B150" s="24"/>
      <c r="C150" s="101"/>
      <c r="D150" s="101"/>
      <c r="E150" s="4"/>
    </row>
    <row r="151" spans="1:5" x14ac:dyDescent="0.3">
      <c r="A151" s="4"/>
      <c r="B151" s="24"/>
      <c r="C151" s="85"/>
      <c r="D151" s="85"/>
      <c r="E151" s="4"/>
    </row>
    <row r="152" spans="1:5" x14ac:dyDescent="0.3">
      <c r="A152" s="100"/>
      <c r="B152" s="24"/>
      <c r="C152" s="101"/>
      <c r="D152" s="101"/>
      <c r="E152" s="4"/>
    </row>
    <row r="153" spans="1:5" x14ac:dyDescent="0.3">
      <c r="A153" s="4"/>
      <c r="B153" s="24"/>
      <c r="C153" s="85"/>
      <c r="D153" s="85"/>
      <c r="E153" s="4"/>
    </row>
    <row r="154" spans="1:5" x14ac:dyDescent="0.3">
      <c r="A154" s="84"/>
      <c r="B154" s="24"/>
      <c r="C154" s="101"/>
      <c r="D154" s="101"/>
      <c r="E154" s="4"/>
    </row>
    <row r="155" spans="1:5" x14ac:dyDescent="0.3">
      <c r="A155" s="4"/>
      <c r="B155" s="24"/>
      <c r="C155" s="85"/>
      <c r="D155" s="85"/>
      <c r="E155" s="4"/>
    </row>
    <row r="156" spans="1:5" x14ac:dyDescent="0.3">
      <c r="A156" s="100"/>
      <c r="B156" s="24"/>
      <c r="C156" s="101"/>
      <c r="D156" s="101"/>
      <c r="E156" s="4"/>
    </row>
    <row r="157" spans="1:5" x14ac:dyDescent="0.3">
      <c r="A157" s="4"/>
      <c r="B157" s="24"/>
      <c r="C157" s="85"/>
      <c r="D157" s="85"/>
      <c r="E157" s="4"/>
    </row>
    <row r="158" spans="1:5" x14ac:dyDescent="0.3">
      <c r="A158" s="84"/>
      <c r="B158" s="24"/>
      <c r="C158" s="101"/>
      <c r="D158" s="101"/>
      <c r="E158" s="4"/>
    </row>
    <row r="159" spans="1:5" x14ac:dyDescent="0.3">
      <c r="A159" s="4"/>
      <c r="B159" s="24"/>
      <c r="C159" s="85"/>
      <c r="D159" s="85"/>
      <c r="E159" s="4"/>
    </row>
    <row r="160" spans="1:5" x14ac:dyDescent="0.3">
      <c r="A160" s="100"/>
      <c r="B160" s="24"/>
      <c r="C160" s="101"/>
      <c r="D160" s="101"/>
      <c r="E160" s="4"/>
    </row>
    <row r="161" spans="1:5" x14ac:dyDescent="0.3">
      <c r="A161" s="4"/>
      <c r="B161" s="24"/>
      <c r="C161" s="85"/>
      <c r="D161" s="85"/>
      <c r="E161" s="4"/>
    </row>
    <row r="162" spans="1:5" x14ac:dyDescent="0.3">
      <c r="A162" s="84"/>
      <c r="B162" s="24"/>
      <c r="C162" s="101"/>
      <c r="D162" s="101"/>
      <c r="E162" s="4"/>
    </row>
    <row r="163" spans="1:5" x14ac:dyDescent="0.3">
      <c r="A163" s="4"/>
      <c r="B163" s="24"/>
      <c r="C163" s="85"/>
      <c r="D163" s="85"/>
      <c r="E163" s="4"/>
    </row>
    <row r="164" spans="1:5" x14ac:dyDescent="0.3">
      <c r="A164" s="100"/>
      <c r="B164" s="24"/>
      <c r="C164" s="101"/>
      <c r="D164" s="101"/>
      <c r="E164" s="4"/>
    </row>
    <row r="165" spans="1:5" x14ac:dyDescent="0.3">
      <c r="A165" s="4"/>
      <c r="B165" s="24"/>
      <c r="C165" s="85"/>
      <c r="D165" s="85"/>
      <c r="E165" s="4"/>
    </row>
    <row r="166" spans="1:5" x14ac:dyDescent="0.3">
      <c r="A166" s="84"/>
      <c r="B166" s="24"/>
      <c r="C166" s="101"/>
      <c r="D166" s="101"/>
      <c r="E166" s="4"/>
    </row>
    <row r="167" spans="1:5" x14ac:dyDescent="0.3">
      <c r="A167" s="4"/>
      <c r="B167" s="24"/>
      <c r="C167" s="85"/>
      <c r="D167" s="85"/>
      <c r="E167" s="4"/>
    </row>
    <row r="168" spans="1:5" x14ac:dyDescent="0.3">
      <c r="A168" s="100"/>
      <c r="B168" s="24"/>
      <c r="C168" s="101"/>
      <c r="D168" s="101"/>
      <c r="E168" s="4"/>
    </row>
    <row r="169" spans="1:5" x14ac:dyDescent="0.3">
      <c r="A169" s="4"/>
      <c r="B169" s="24"/>
      <c r="C169" s="85"/>
      <c r="D169" s="85"/>
      <c r="E169" s="4"/>
    </row>
    <row r="170" spans="1:5" x14ac:dyDescent="0.3">
      <c r="A170" s="84"/>
      <c r="B170" s="24"/>
      <c r="C170" s="101"/>
      <c r="D170" s="101"/>
      <c r="E170" s="4"/>
    </row>
    <row r="171" spans="1:5" x14ac:dyDescent="0.3">
      <c r="A171" s="4"/>
      <c r="B171" s="24"/>
      <c r="C171" s="85"/>
      <c r="D171" s="85"/>
      <c r="E171" s="4"/>
    </row>
    <row r="172" spans="1:5" x14ac:dyDescent="0.3">
      <c r="A172" s="100"/>
      <c r="B172" s="24"/>
      <c r="C172" s="101"/>
      <c r="D172" s="101"/>
      <c r="E172" s="4"/>
    </row>
    <row r="173" spans="1:5" x14ac:dyDescent="0.3">
      <c r="A173" s="4"/>
      <c r="B173" s="24"/>
      <c r="C173" s="85"/>
      <c r="D173" s="85"/>
      <c r="E173" s="4"/>
    </row>
    <row r="174" spans="1:5" x14ac:dyDescent="0.3">
      <c r="A174" s="84"/>
      <c r="B174" s="24"/>
      <c r="C174" s="101"/>
      <c r="D174" s="101"/>
      <c r="E174" s="4"/>
    </row>
    <row r="175" spans="1:5" x14ac:dyDescent="0.3">
      <c r="A175" s="4"/>
      <c r="B175" s="24"/>
      <c r="C175" s="85"/>
      <c r="D175" s="85"/>
      <c r="E175" s="4"/>
    </row>
    <row r="176" spans="1:5" x14ac:dyDescent="0.3">
      <c r="A176" s="100"/>
      <c r="B176" s="24"/>
      <c r="C176" s="101"/>
      <c r="D176" s="101"/>
      <c r="E176" s="4"/>
    </row>
    <row r="177" spans="1:5" x14ac:dyDescent="0.3">
      <c r="A177" s="4"/>
      <c r="B177" s="24"/>
      <c r="C177" s="85"/>
      <c r="D177" s="85"/>
      <c r="E177" s="4"/>
    </row>
    <row r="178" spans="1:5" x14ac:dyDescent="0.3">
      <c r="A178" s="84"/>
      <c r="B178" s="24"/>
      <c r="C178" s="101"/>
      <c r="D178" s="101"/>
      <c r="E178" s="4"/>
    </row>
    <row r="179" spans="1:5" x14ac:dyDescent="0.3">
      <c r="A179" s="4"/>
      <c r="B179" s="24"/>
      <c r="C179" s="85"/>
      <c r="D179" s="85"/>
      <c r="E179" s="4"/>
    </row>
    <row r="180" spans="1:5" x14ac:dyDescent="0.3">
      <c r="A180" s="100"/>
      <c r="B180" s="24"/>
      <c r="C180" s="101"/>
      <c r="D180" s="101"/>
      <c r="E180" s="4"/>
    </row>
    <row r="181" spans="1:5" x14ac:dyDescent="0.3">
      <c r="A181" s="4"/>
      <c r="B181" s="24"/>
      <c r="C181" s="85"/>
      <c r="D181" s="85"/>
      <c r="E181" s="4"/>
    </row>
    <row r="182" spans="1:5" x14ac:dyDescent="0.3">
      <c r="A182" s="84"/>
      <c r="B182" s="24"/>
      <c r="C182" s="101"/>
      <c r="D182" s="101"/>
      <c r="E182" s="4"/>
    </row>
    <row r="183" spans="1:5" x14ac:dyDescent="0.3">
      <c r="C183" s="35"/>
      <c r="D183" s="33"/>
    </row>
    <row r="184" spans="1:5" x14ac:dyDescent="0.3">
      <c r="C184" s="35"/>
      <c r="D184" s="33"/>
    </row>
    <row r="185" spans="1:5" x14ac:dyDescent="0.3">
      <c r="C185" s="35"/>
      <c r="D185" s="33"/>
    </row>
    <row r="186" spans="1:5" x14ac:dyDescent="0.3">
      <c r="C186" s="35"/>
      <c r="D186" s="33"/>
    </row>
    <row r="187" spans="1:5" x14ac:dyDescent="0.3">
      <c r="C187" s="35"/>
      <c r="D187" s="33"/>
    </row>
    <row r="188" spans="1:5" x14ac:dyDescent="0.3">
      <c r="C188" s="35"/>
      <c r="D188" s="33"/>
    </row>
    <row r="189" spans="1:5" x14ac:dyDescent="0.3">
      <c r="C189" s="35"/>
      <c r="D189" s="33"/>
    </row>
    <row r="190" spans="1:5" x14ac:dyDescent="0.3">
      <c r="C190" s="35"/>
      <c r="D190" s="33"/>
    </row>
    <row r="191" spans="1:5" x14ac:dyDescent="0.3">
      <c r="C191" s="35"/>
      <c r="D191" s="33"/>
    </row>
    <row r="192" spans="1:5" x14ac:dyDescent="0.3">
      <c r="C192" s="35"/>
      <c r="D192" s="33"/>
    </row>
    <row r="193" spans="3:4" x14ac:dyDescent="0.3">
      <c r="C193" s="35"/>
      <c r="D193" s="33"/>
    </row>
    <row r="194" spans="3:4" x14ac:dyDescent="0.3">
      <c r="C194" s="35"/>
      <c r="D194" s="33"/>
    </row>
  </sheetData>
  <sortState xmlns:xlrd2="http://schemas.microsoft.com/office/spreadsheetml/2017/richdata2" ref="A3:H77">
    <sortCondition ref="A3:A77"/>
    <sortCondition ref="C3:C77"/>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1"/>
  <sheetViews>
    <sheetView topLeftCell="A5" workbookViewId="0">
      <selection activeCell="B5" sqref="B5"/>
    </sheetView>
  </sheetViews>
  <sheetFormatPr defaultColWidth="9.21875" defaultRowHeight="14.4" x14ac:dyDescent="0.3"/>
  <cols>
    <col min="1" max="1" width="23.77734375" style="20" customWidth="1"/>
    <col min="2" max="2" width="87.21875" style="29" customWidth="1"/>
  </cols>
  <sheetData>
    <row r="1" spans="1:3" ht="18" x14ac:dyDescent="0.3">
      <c r="A1" s="17" t="s">
        <v>53</v>
      </c>
      <c r="B1" s="27"/>
    </row>
    <row r="2" spans="1:3" x14ac:dyDescent="0.3">
      <c r="A2" s="18" t="s">
        <v>54</v>
      </c>
      <c r="B2" s="27" t="s">
        <v>346</v>
      </c>
    </row>
    <row r="3" spans="1:3" x14ac:dyDescent="0.3">
      <c r="A3" s="18" t="s">
        <v>55</v>
      </c>
      <c r="B3" s="28">
        <v>43882</v>
      </c>
    </row>
    <row r="4" spans="1:3" x14ac:dyDescent="0.3">
      <c r="A4" s="108" t="s">
        <v>56</v>
      </c>
      <c r="B4" s="109">
        <v>1</v>
      </c>
    </row>
    <row r="5" spans="1:3" ht="409.6" x14ac:dyDescent="0.3">
      <c r="A5" s="93" t="s">
        <v>57</v>
      </c>
      <c r="B5" s="145" t="s">
        <v>503</v>
      </c>
      <c r="C5" s="137"/>
    </row>
    <row r="6" spans="1:3" x14ac:dyDescent="0.3">
      <c r="A6" s="93" t="s">
        <v>58</v>
      </c>
      <c r="B6" s="109"/>
    </row>
    <row r="7" spans="1:3" ht="15.6" x14ac:dyDescent="0.3">
      <c r="A7" s="93" t="s">
        <v>59</v>
      </c>
      <c r="B7" s="110" t="s">
        <v>346</v>
      </c>
    </row>
    <row r="8" spans="1:3" ht="72" customHeight="1" x14ac:dyDescent="0.3">
      <c r="A8" s="93" t="s">
        <v>60</v>
      </c>
      <c r="B8" s="111" t="s">
        <v>347</v>
      </c>
    </row>
    <row r="9" spans="1:3" ht="15.6" x14ac:dyDescent="0.3">
      <c r="B9" s="30"/>
    </row>
    <row r="11" spans="1:3" x14ac:dyDescent="0.3">
      <c r="A11" s="19"/>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144"/>
  <sheetViews>
    <sheetView zoomScaleNormal="100" workbookViewId="0">
      <pane xSplit="1" ySplit="1" topLeftCell="B2" activePane="bottomRight" state="frozen"/>
      <selection pane="topRight" activeCell="B1" sqref="B1"/>
      <selection pane="bottomLeft" activeCell="A2" sqref="A2"/>
      <selection pane="bottomRight" activeCell="A3" sqref="A3"/>
    </sheetView>
  </sheetViews>
  <sheetFormatPr defaultColWidth="9.21875" defaultRowHeight="13.8" x14ac:dyDescent="0.25"/>
  <cols>
    <col min="1" max="1" width="28.44140625" style="37" bestFit="1" customWidth="1"/>
    <col min="2" max="2" width="14.77734375" style="65" customWidth="1"/>
    <col min="3" max="3" width="27.44140625" style="37" bestFit="1" customWidth="1"/>
    <col min="4" max="4" width="71.77734375" style="56" customWidth="1"/>
    <col min="5" max="5" width="19.77734375" style="37" bestFit="1" customWidth="1"/>
    <col min="6" max="6" width="35.77734375" style="37" bestFit="1" customWidth="1"/>
    <col min="7" max="16384" width="9.21875" style="54"/>
  </cols>
  <sheetData>
    <row r="1" spans="1:8" ht="14.4" thickBot="1" x14ac:dyDescent="0.3">
      <c r="A1" s="149" t="s">
        <v>63</v>
      </c>
      <c r="B1" s="149" t="s">
        <v>305</v>
      </c>
      <c r="C1" s="149" t="s">
        <v>135</v>
      </c>
      <c r="D1" s="150" t="s">
        <v>4</v>
      </c>
      <c r="E1" s="149" t="s">
        <v>64</v>
      </c>
      <c r="F1" s="151" t="s">
        <v>65</v>
      </c>
    </row>
    <row r="2" spans="1:8" x14ac:dyDescent="0.25">
      <c r="A2" s="152" t="s">
        <v>66</v>
      </c>
      <c r="B2" s="153" t="s">
        <v>327</v>
      </c>
      <c r="C2" s="154" t="s">
        <v>323</v>
      </c>
      <c r="D2" s="154" t="s">
        <v>324</v>
      </c>
      <c r="E2" s="154" t="s">
        <v>121</v>
      </c>
      <c r="F2" s="154"/>
      <c r="G2" s="54" t="s">
        <v>460</v>
      </c>
      <c r="H2" s="54" t="s">
        <v>460</v>
      </c>
    </row>
    <row r="3" spans="1:8" x14ac:dyDescent="0.25">
      <c r="A3" s="154"/>
      <c r="B3" s="153" t="s">
        <v>95</v>
      </c>
      <c r="C3" s="154" t="s">
        <v>96</v>
      </c>
      <c r="D3" s="154" t="s">
        <v>97</v>
      </c>
      <c r="E3" s="154" t="s">
        <v>14</v>
      </c>
      <c r="F3" s="154"/>
      <c r="H3" s="54" t="s">
        <v>460</v>
      </c>
    </row>
    <row r="4" spans="1:8" x14ac:dyDescent="0.25">
      <c r="A4" s="154"/>
      <c r="B4" s="153" t="s">
        <v>256</v>
      </c>
      <c r="C4" s="154" t="s">
        <v>257</v>
      </c>
      <c r="D4" s="155" t="s">
        <v>258</v>
      </c>
      <c r="E4" s="154" t="s">
        <v>10</v>
      </c>
      <c r="F4" s="154"/>
      <c r="G4" s="54" t="s">
        <v>460</v>
      </c>
      <c r="H4" s="54" t="s">
        <v>460</v>
      </c>
    </row>
    <row r="5" spans="1:8" x14ac:dyDescent="0.25">
      <c r="A5" s="154"/>
      <c r="B5" s="153" t="s">
        <v>92</v>
      </c>
      <c r="C5" s="154" t="s">
        <v>93</v>
      </c>
      <c r="D5" s="154" t="s">
        <v>94</v>
      </c>
      <c r="E5" s="154" t="s">
        <v>14</v>
      </c>
      <c r="F5" s="154"/>
      <c r="G5" s="54" t="s">
        <v>460</v>
      </c>
      <c r="H5" s="54" t="s">
        <v>460</v>
      </c>
    </row>
    <row r="6" spans="1:8" x14ac:dyDescent="0.25">
      <c r="A6" s="154"/>
      <c r="B6" s="153" t="s">
        <v>98</v>
      </c>
      <c r="C6" s="154" t="s">
        <v>6</v>
      </c>
      <c r="D6" s="154" t="s">
        <v>99</v>
      </c>
      <c r="E6" s="154" t="s">
        <v>14</v>
      </c>
      <c r="F6" s="154"/>
    </row>
    <row r="7" spans="1:8" x14ac:dyDescent="0.25">
      <c r="A7" s="154"/>
      <c r="B7" s="153" t="s">
        <v>307</v>
      </c>
      <c r="C7" s="154" t="s">
        <v>308</v>
      </c>
      <c r="D7" s="154" t="s">
        <v>309</v>
      </c>
      <c r="E7" s="154" t="s">
        <v>14</v>
      </c>
      <c r="F7" s="154"/>
    </row>
    <row r="8" spans="1:8" x14ac:dyDescent="0.25">
      <c r="A8" s="154"/>
      <c r="B8" s="156" t="s">
        <v>16</v>
      </c>
      <c r="C8" s="157" t="s">
        <v>226</v>
      </c>
      <c r="D8" s="154" t="s">
        <v>71</v>
      </c>
      <c r="E8" s="154" t="s">
        <v>10</v>
      </c>
      <c r="F8" s="154"/>
    </row>
    <row r="9" spans="1:8" x14ac:dyDescent="0.25">
      <c r="A9" s="158"/>
      <c r="B9" s="159" t="s">
        <v>243</v>
      </c>
      <c r="C9" s="157" t="s">
        <v>227</v>
      </c>
      <c r="D9" s="154" t="s">
        <v>72</v>
      </c>
      <c r="E9" s="154" t="s">
        <v>14</v>
      </c>
      <c r="F9" s="154"/>
      <c r="G9" s="54" t="s">
        <v>460</v>
      </c>
      <c r="H9" s="54" t="s">
        <v>460</v>
      </c>
    </row>
    <row r="10" spans="1:8" x14ac:dyDescent="0.25">
      <c r="A10" s="158"/>
      <c r="B10" s="153" t="s">
        <v>100</v>
      </c>
      <c r="C10" s="154" t="s">
        <v>101</v>
      </c>
      <c r="D10" s="154" t="s">
        <v>102</v>
      </c>
      <c r="E10" s="154" t="s">
        <v>103</v>
      </c>
      <c r="F10" s="160"/>
    </row>
    <row r="11" spans="1:8" x14ac:dyDescent="0.25">
      <c r="A11" s="158"/>
      <c r="B11" s="153" t="s">
        <v>104</v>
      </c>
      <c r="C11" s="154" t="s">
        <v>105</v>
      </c>
      <c r="D11" s="154" t="s">
        <v>106</v>
      </c>
      <c r="E11" s="154" t="s">
        <v>103</v>
      </c>
      <c r="F11" s="160"/>
      <c r="G11" s="54" t="s">
        <v>460</v>
      </c>
      <c r="H11" s="54" t="s">
        <v>460</v>
      </c>
    </row>
    <row r="12" spans="1:8" x14ac:dyDescent="0.25">
      <c r="A12" s="158"/>
      <c r="B12" s="153" t="s">
        <v>107</v>
      </c>
      <c r="C12" s="154" t="s">
        <v>108</v>
      </c>
      <c r="D12" s="154" t="s">
        <v>109</v>
      </c>
      <c r="E12" s="154" t="s">
        <v>48</v>
      </c>
      <c r="F12" s="160"/>
      <c r="G12" s="54" t="s">
        <v>460</v>
      </c>
      <c r="H12" s="54" t="s">
        <v>460</v>
      </c>
    </row>
    <row r="13" spans="1:8" x14ac:dyDescent="0.25">
      <c r="A13" s="158"/>
      <c r="B13" s="153" t="s">
        <v>37</v>
      </c>
      <c r="C13" s="154" t="s">
        <v>110</v>
      </c>
      <c r="D13" s="154" t="s">
        <v>111</v>
      </c>
      <c r="E13" s="154" t="s">
        <v>14</v>
      </c>
      <c r="F13" s="161"/>
    </row>
    <row r="14" spans="1:8" ht="14.4" thickBot="1" x14ac:dyDescent="0.3">
      <c r="A14" s="162"/>
      <c r="B14" s="163" t="s">
        <v>112</v>
      </c>
      <c r="C14" s="164" t="s">
        <v>113</v>
      </c>
      <c r="D14" s="164" t="s">
        <v>114</v>
      </c>
      <c r="E14" s="164" t="s">
        <v>14</v>
      </c>
      <c r="F14" s="165"/>
    </row>
    <row r="15" spans="1:8" x14ac:dyDescent="0.25">
      <c r="A15" s="152" t="s">
        <v>67</v>
      </c>
      <c r="B15" s="153" t="s">
        <v>327</v>
      </c>
      <c r="C15" s="154" t="s">
        <v>323</v>
      </c>
      <c r="D15" s="154" t="s">
        <v>324</v>
      </c>
      <c r="E15" s="154" t="s">
        <v>121</v>
      </c>
      <c r="F15" s="161"/>
    </row>
    <row r="16" spans="1:8" x14ac:dyDescent="0.25">
      <c r="A16" s="154"/>
      <c r="B16" s="156" t="s">
        <v>272</v>
      </c>
      <c r="C16" s="166" t="s">
        <v>271</v>
      </c>
      <c r="D16" s="166" t="s">
        <v>296</v>
      </c>
      <c r="E16" s="166" t="s">
        <v>21</v>
      </c>
      <c r="F16" s="160" t="s">
        <v>461</v>
      </c>
    </row>
    <row r="17" spans="1:8" x14ac:dyDescent="0.25">
      <c r="A17" s="154"/>
      <c r="B17" s="167" t="s">
        <v>259</v>
      </c>
      <c r="C17" s="154" t="s">
        <v>261</v>
      </c>
      <c r="D17" s="168" t="s">
        <v>263</v>
      </c>
      <c r="E17" s="168" t="s">
        <v>21</v>
      </c>
      <c r="F17" s="166"/>
    </row>
    <row r="18" spans="1:8" x14ac:dyDescent="0.25">
      <c r="A18" s="154"/>
      <c r="B18" s="167" t="s">
        <v>260</v>
      </c>
      <c r="C18" s="154" t="s">
        <v>262</v>
      </c>
      <c r="D18" s="168" t="s">
        <v>264</v>
      </c>
      <c r="E18" s="168" t="s">
        <v>1</v>
      </c>
      <c r="F18" s="166" t="s">
        <v>462</v>
      </c>
      <c r="G18" s="54" t="s">
        <v>460</v>
      </c>
      <c r="H18" s="54" t="s">
        <v>460</v>
      </c>
    </row>
    <row r="19" spans="1:8" x14ac:dyDescent="0.25">
      <c r="A19" s="154"/>
      <c r="B19" s="153" t="s">
        <v>198</v>
      </c>
      <c r="C19" s="154" t="s">
        <v>197</v>
      </c>
      <c r="D19" s="168" t="s">
        <v>199</v>
      </c>
      <c r="E19" s="168" t="s">
        <v>10</v>
      </c>
      <c r="F19" s="166" t="s">
        <v>463</v>
      </c>
    </row>
    <row r="20" spans="1:8" x14ac:dyDescent="0.25">
      <c r="A20" s="154"/>
      <c r="B20" s="153" t="s">
        <v>294</v>
      </c>
      <c r="C20" s="154" t="s">
        <v>295</v>
      </c>
      <c r="D20" s="168" t="s">
        <v>298</v>
      </c>
      <c r="E20" s="168" t="s">
        <v>21</v>
      </c>
      <c r="F20" s="166"/>
    </row>
    <row r="21" spans="1:8" ht="28.8" x14ac:dyDescent="0.25">
      <c r="A21" s="154"/>
      <c r="B21" s="167" t="s">
        <v>238</v>
      </c>
      <c r="C21" s="154" t="s">
        <v>218</v>
      </c>
      <c r="D21" s="168" t="s">
        <v>7</v>
      </c>
      <c r="E21" s="168" t="s">
        <v>10</v>
      </c>
      <c r="F21" s="31" t="s">
        <v>464</v>
      </c>
    </row>
    <row r="22" spans="1:8" x14ac:dyDescent="0.25">
      <c r="A22" s="154"/>
      <c r="B22" s="167" t="s">
        <v>239</v>
      </c>
      <c r="C22" s="154" t="s">
        <v>219</v>
      </c>
      <c r="D22" s="168" t="s">
        <v>8</v>
      </c>
      <c r="E22" s="168" t="s">
        <v>11</v>
      </c>
      <c r="F22" s="166"/>
    </row>
    <row r="23" spans="1:8" x14ac:dyDescent="0.25">
      <c r="A23" s="154"/>
      <c r="B23" s="167" t="s">
        <v>265</v>
      </c>
      <c r="C23" s="154" t="s">
        <v>267</v>
      </c>
      <c r="D23" s="168" t="s">
        <v>269</v>
      </c>
      <c r="E23" s="168" t="s">
        <v>0</v>
      </c>
      <c r="F23" s="160"/>
    </row>
    <row r="24" spans="1:8" x14ac:dyDescent="0.25">
      <c r="A24" s="154"/>
      <c r="B24" s="167" t="s">
        <v>266</v>
      </c>
      <c r="C24" s="154" t="s">
        <v>268</v>
      </c>
      <c r="D24" s="168" t="s">
        <v>270</v>
      </c>
      <c r="E24" s="168" t="s">
        <v>162</v>
      </c>
      <c r="F24" s="160"/>
    </row>
    <row r="25" spans="1:8" x14ac:dyDescent="0.25">
      <c r="A25" s="154"/>
      <c r="B25" s="167" t="s">
        <v>240</v>
      </c>
      <c r="C25" s="154" t="s">
        <v>220</v>
      </c>
      <c r="D25" s="168" t="s">
        <v>9</v>
      </c>
      <c r="E25" s="168" t="s">
        <v>0</v>
      </c>
      <c r="F25" s="160"/>
    </row>
    <row r="26" spans="1:8" x14ac:dyDescent="0.25">
      <c r="A26" s="154"/>
      <c r="B26" s="167" t="s">
        <v>241</v>
      </c>
      <c r="C26" s="154" t="s">
        <v>221</v>
      </c>
      <c r="D26" s="169" t="s">
        <v>45</v>
      </c>
      <c r="E26" s="170" t="s">
        <v>0</v>
      </c>
      <c r="F26" s="160" t="s">
        <v>465</v>
      </c>
    </row>
    <row r="27" spans="1:8" x14ac:dyDescent="0.25">
      <c r="A27" s="157"/>
      <c r="B27" s="171" t="s">
        <v>242</v>
      </c>
      <c r="C27" s="157" t="s">
        <v>222</v>
      </c>
      <c r="D27" s="172" t="s">
        <v>44</v>
      </c>
      <c r="E27" s="168" t="s">
        <v>1</v>
      </c>
      <c r="F27" s="160" t="s">
        <v>466</v>
      </c>
    </row>
    <row r="28" spans="1:8" x14ac:dyDescent="0.25">
      <c r="A28" s="157"/>
      <c r="B28" s="171" t="s">
        <v>237</v>
      </c>
      <c r="C28" s="157" t="s">
        <v>217</v>
      </c>
      <c r="D28" s="172" t="s">
        <v>297</v>
      </c>
      <c r="E28" s="168" t="s">
        <v>21</v>
      </c>
      <c r="F28" s="160"/>
    </row>
    <row r="29" spans="1:8" x14ac:dyDescent="0.25">
      <c r="A29" s="157"/>
      <c r="B29" s="171" t="s">
        <v>288</v>
      </c>
      <c r="C29" s="157" t="s">
        <v>289</v>
      </c>
      <c r="D29" s="172" t="s">
        <v>292</v>
      </c>
      <c r="E29" s="168" t="s">
        <v>0</v>
      </c>
      <c r="F29" s="160" t="s">
        <v>400</v>
      </c>
    </row>
    <row r="30" spans="1:8" ht="14.4" thickBot="1" x14ac:dyDescent="0.3">
      <c r="A30" s="164"/>
      <c r="B30" s="174" t="s">
        <v>290</v>
      </c>
      <c r="C30" s="164" t="s">
        <v>291</v>
      </c>
      <c r="D30" s="175" t="s">
        <v>293</v>
      </c>
      <c r="E30" s="176" t="s">
        <v>2</v>
      </c>
      <c r="F30" s="173" t="s">
        <v>401</v>
      </c>
    </row>
    <row r="31" spans="1:8" ht="14.4" thickBot="1" x14ac:dyDescent="0.3">
      <c r="A31" s="57" t="s">
        <v>402</v>
      </c>
      <c r="B31" s="177" t="s">
        <v>327</v>
      </c>
      <c r="C31" s="46" t="s">
        <v>323</v>
      </c>
      <c r="D31" s="37" t="s">
        <v>324</v>
      </c>
      <c r="E31" s="48"/>
      <c r="F31" s="47"/>
    </row>
    <row r="32" spans="1:8" ht="14.4" x14ac:dyDescent="0.3">
      <c r="A32"/>
      <c r="B32" s="178" t="s">
        <v>237</v>
      </c>
      <c r="C32" s="46" t="s">
        <v>217</v>
      </c>
      <c r="D32" s="86" t="s">
        <v>297</v>
      </c>
      <c r="E32" s="48" t="s">
        <v>21</v>
      </c>
      <c r="F32" s="47"/>
    </row>
    <row r="33" spans="1:6" ht="14.4" x14ac:dyDescent="0.3">
      <c r="A33"/>
      <c r="B33" s="179" t="s">
        <v>318</v>
      </c>
      <c r="C33" s="54" t="s">
        <v>200</v>
      </c>
      <c r="D33" s="86" t="s">
        <v>313</v>
      </c>
      <c r="E33" s="48" t="s">
        <v>1</v>
      </c>
      <c r="F33" s="47"/>
    </row>
    <row r="34" spans="1:6" ht="14.4" x14ac:dyDescent="0.3">
      <c r="A34"/>
      <c r="B34" s="178" t="s">
        <v>319</v>
      </c>
      <c r="C34" s="54" t="s">
        <v>166</v>
      </c>
      <c r="D34" s="86" t="s">
        <v>12</v>
      </c>
      <c r="E34" s="48" t="s">
        <v>1</v>
      </c>
      <c r="F34" s="47"/>
    </row>
    <row r="35" spans="1:6" ht="14.4" x14ac:dyDescent="0.3">
      <c r="A35"/>
      <c r="B35" s="180" t="s">
        <v>320</v>
      </c>
      <c r="C35" s="54" t="s">
        <v>315</v>
      </c>
      <c r="D35" s="86" t="s">
        <v>403</v>
      </c>
      <c r="E35" s="48" t="s">
        <v>161</v>
      </c>
      <c r="F35" s="47"/>
    </row>
    <row r="36" spans="1:6" ht="14.4" x14ac:dyDescent="0.3">
      <c r="A36"/>
      <c r="B36" s="78" t="s">
        <v>321</v>
      </c>
      <c r="C36" s="54" t="s">
        <v>316</v>
      </c>
      <c r="D36" s="86" t="s">
        <v>404</v>
      </c>
      <c r="E36" s="48" t="s">
        <v>405</v>
      </c>
      <c r="F36" s="47"/>
    </row>
    <row r="37" spans="1:6" ht="15" thickBot="1" x14ac:dyDescent="0.35">
      <c r="A37" s="99"/>
      <c r="B37" s="62" t="s">
        <v>322</v>
      </c>
      <c r="C37" s="53" t="s">
        <v>317</v>
      </c>
      <c r="D37" s="50" t="s">
        <v>406</v>
      </c>
      <c r="E37" s="51" t="s">
        <v>405</v>
      </c>
      <c r="F37" s="52"/>
    </row>
    <row r="38" spans="1:6" ht="14.4" thickBot="1" x14ac:dyDescent="0.3">
      <c r="A38" s="181" t="s">
        <v>68</v>
      </c>
      <c r="B38" s="153" t="s">
        <v>327</v>
      </c>
      <c r="C38" s="154" t="s">
        <v>323</v>
      </c>
      <c r="D38" s="154" t="s">
        <v>324</v>
      </c>
      <c r="E38" s="154" t="s">
        <v>121</v>
      </c>
      <c r="F38" s="154"/>
    </row>
    <row r="39" spans="1:6" ht="14.4" thickBot="1" x14ac:dyDescent="0.3">
      <c r="A39" s="154"/>
      <c r="B39" s="182" t="s">
        <v>116</v>
      </c>
      <c r="C39" s="154" t="s">
        <v>225</v>
      </c>
      <c r="D39" s="183" t="s">
        <v>69</v>
      </c>
      <c r="E39" s="184" t="s">
        <v>21</v>
      </c>
      <c r="F39" s="154" t="s">
        <v>70</v>
      </c>
    </row>
    <row r="40" spans="1:6" ht="14.4" thickBot="1" x14ac:dyDescent="0.3">
      <c r="A40" s="185"/>
      <c r="B40" s="186" t="s">
        <v>50</v>
      </c>
      <c r="C40" s="154" t="s">
        <v>228</v>
      </c>
      <c r="D40" s="183" t="s">
        <v>49</v>
      </c>
      <c r="E40" s="184" t="s">
        <v>47</v>
      </c>
      <c r="F40" s="154"/>
    </row>
    <row r="41" spans="1:6" ht="14.4" thickBot="1" x14ac:dyDescent="0.3">
      <c r="A41" s="187"/>
      <c r="B41" s="188" t="s">
        <v>17</v>
      </c>
      <c r="C41" s="164" t="s">
        <v>229</v>
      </c>
      <c r="D41" s="189" t="s">
        <v>15</v>
      </c>
      <c r="E41" s="190" t="s">
        <v>18</v>
      </c>
      <c r="F41" s="191"/>
    </row>
    <row r="42" spans="1:6" x14ac:dyDescent="0.25">
      <c r="A42" s="152" t="s">
        <v>42</v>
      </c>
      <c r="B42" s="153" t="s">
        <v>327</v>
      </c>
      <c r="C42" s="154" t="s">
        <v>323</v>
      </c>
      <c r="D42" s="154" t="s">
        <v>324</v>
      </c>
      <c r="E42" s="154" t="s">
        <v>121</v>
      </c>
      <c r="F42" s="166"/>
    </row>
    <row r="43" spans="1:6" x14ac:dyDescent="0.25">
      <c r="A43" s="166"/>
      <c r="B43" s="192" t="s">
        <v>244</v>
      </c>
      <c r="C43" s="154" t="s">
        <v>230</v>
      </c>
      <c r="D43" s="193" t="s">
        <v>74</v>
      </c>
      <c r="E43" s="193" t="s">
        <v>21</v>
      </c>
      <c r="F43" s="166" t="s">
        <v>70</v>
      </c>
    </row>
    <row r="44" spans="1:6" x14ac:dyDescent="0.25">
      <c r="A44" s="166"/>
      <c r="B44" s="192" t="s">
        <v>19</v>
      </c>
      <c r="C44" s="154" t="s">
        <v>231</v>
      </c>
      <c r="D44" s="193" t="s">
        <v>76</v>
      </c>
      <c r="E44" s="194" t="s">
        <v>73</v>
      </c>
      <c r="F44" s="166"/>
    </row>
    <row r="45" spans="1:6" x14ac:dyDescent="0.25">
      <c r="A45" s="166"/>
      <c r="B45" s="192" t="s">
        <v>20</v>
      </c>
      <c r="C45" s="154" t="s">
        <v>232</v>
      </c>
      <c r="D45" s="193" t="s">
        <v>75</v>
      </c>
      <c r="E45" s="193" t="s">
        <v>18</v>
      </c>
      <c r="F45" s="166"/>
    </row>
    <row r="46" spans="1:6" ht="14.4" thickBot="1" x14ac:dyDescent="0.3">
      <c r="A46" s="191"/>
      <c r="B46" s="195" t="s">
        <v>196</v>
      </c>
      <c r="C46" s="164" t="s">
        <v>233</v>
      </c>
      <c r="D46" s="190" t="s">
        <v>77</v>
      </c>
      <c r="E46" s="190" t="s">
        <v>0</v>
      </c>
      <c r="F46" s="191"/>
    </row>
    <row r="47" spans="1:6" x14ac:dyDescent="0.25">
      <c r="A47" s="152" t="s">
        <v>43</v>
      </c>
      <c r="B47" s="153" t="s">
        <v>327</v>
      </c>
      <c r="C47" s="196" t="s">
        <v>119</v>
      </c>
      <c r="D47" s="196" t="s">
        <v>120</v>
      </c>
      <c r="E47" s="196" t="s">
        <v>121</v>
      </c>
      <c r="F47" s="166"/>
    </row>
    <row r="48" spans="1:6" ht="14.4" thickBot="1" x14ac:dyDescent="0.3">
      <c r="A48" s="154"/>
      <c r="B48" s="197" t="s">
        <v>117</v>
      </c>
      <c r="C48" s="196" t="s">
        <v>234</v>
      </c>
      <c r="D48" s="198" t="s">
        <v>78</v>
      </c>
      <c r="E48" s="198" t="s">
        <v>21</v>
      </c>
      <c r="F48" s="154" t="s">
        <v>70</v>
      </c>
    </row>
    <row r="49" spans="1:6" ht="14.4" thickBot="1" x14ac:dyDescent="0.3">
      <c r="A49" s="154"/>
      <c r="B49" s="199" t="s">
        <v>32</v>
      </c>
      <c r="C49" s="154" t="s">
        <v>235</v>
      </c>
      <c r="D49" s="184" t="s">
        <v>79</v>
      </c>
      <c r="E49" s="200" t="s">
        <v>73</v>
      </c>
      <c r="F49" s="154"/>
    </row>
    <row r="50" spans="1:6" x14ac:dyDescent="0.25">
      <c r="A50" s="157"/>
      <c r="B50" s="192" t="s">
        <v>51</v>
      </c>
      <c r="C50" s="166" t="s">
        <v>236</v>
      </c>
      <c r="D50" s="193" t="s">
        <v>80</v>
      </c>
      <c r="E50" s="193" t="s">
        <v>2</v>
      </c>
      <c r="F50" s="157"/>
    </row>
    <row r="51" spans="1:6" x14ac:dyDescent="0.25">
      <c r="A51" s="157"/>
      <c r="B51" s="192" t="s">
        <v>273</v>
      </c>
      <c r="C51" s="166" t="s">
        <v>277</v>
      </c>
      <c r="D51" s="193" t="s">
        <v>279</v>
      </c>
      <c r="E51" s="193" t="s">
        <v>2</v>
      </c>
      <c r="F51" s="157"/>
    </row>
    <row r="52" spans="1:6" ht="14.4" thickBot="1" x14ac:dyDescent="0.3">
      <c r="A52" s="164"/>
      <c r="B52" s="201" t="s">
        <v>274</v>
      </c>
      <c r="C52" s="191" t="s">
        <v>276</v>
      </c>
      <c r="D52" s="190" t="s">
        <v>278</v>
      </c>
      <c r="E52" s="190" t="s">
        <v>2</v>
      </c>
      <c r="F52" s="164"/>
    </row>
    <row r="53" spans="1:6" x14ac:dyDescent="0.25">
      <c r="A53" s="152" t="s">
        <v>86</v>
      </c>
      <c r="B53" s="202" t="s">
        <v>112</v>
      </c>
      <c r="C53" s="154" t="s">
        <v>113</v>
      </c>
      <c r="D53" s="154" t="s">
        <v>114</v>
      </c>
      <c r="E53" s="154" t="s">
        <v>14</v>
      </c>
      <c r="F53" s="154"/>
    </row>
    <row r="54" spans="1:6" x14ac:dyDescent="0.25">
      <c r="A54" s="154"/>
      <c r="B54" s="202" t="s">
        <v>245</v>
      </c>
      <c r="C54" s="154" t="s">
        <v>154</v>
      </c>
      <c r="D54" s="154" t="s">
        <v>155</v>
      </c>
      <c r="E54" s="154" t="s">
        <v>14</v>
      </c>
      <c r="F54" s="154"/>
    </row>
    <row r="55" spans="1:6" x14ac:dyDescent="0.25">
      <c r="A55" s="154"/>
      <c r="B55" s="202" t="s">
        <v>280</v>
      </c>
      <c r="C55" s="154" t="s">
        <v>281</v>
      </c>
      <c r="D55" s="154" t="s">
        <v>282</v>
      </c>
      <c r="E55" s="154" t="s">
        <v>14</v>
      </c>
      <c r="F55" s="154"/>
    </row>
    <row r="56" spans="1:6" x14ac:dyDescent="0.25">
      <c r="A56" s="154"/>
      <c r="B56" s="202" t="s">
        <v>87</v>
      </c>
      <c r="C56" s="154" t="s">
        <v>156</v>
      </c>
      <c r="D56" s="154" t="s">
        <v>157</v>
      </c>
      <c r="E56" s="154" t="s">
        <v>10</v>
      </c>
      <c r="F56" s="154" t="s">
        <v>467</v>
      </c>
    </row>
    <row r="57" spans="1:6" x14ac:dyDescent="0.25">
      <c r="A57" s="154"/>
      <c r="B57" s="202" t="s">
        <v>246</v>
      </c>
      <c r="C57" s="154" t="s">
        <v>158</v>
      </c>
      <c r="D57" s="154" t="s">
        <v>159</v>
      </c>
      <c r="E57" s="154" t="s">
        <v>14</v>
      </c>
      <c r="F57" s="154"/>
    </row>
    <row r="58" spans="1:6" x14ac:dyDescent="0.25">
      <c r="A58" s="154"/>
      <c r="B58" s="203" t="s">
        <v>98</v>
      </c>
      <c r="C58" s="154" t="s">
        <v>6</v>
      </c>
      <c r="D58" s="154" t="s">
        <v>160</v>
      </c>
      <c r="E58" s="154" t="s">
        <v>14</v>
      </c>
      <c r="F58" s="154"/>
    </row>
    <row r="59" spans="1:6" ht="187.8" thickBot="1" x14ac:dyDescent="0.3">
      <c r="A59" s="164"/>
      <c r="B59" s="174" t="s">
        <v>118</v>
      </c>
      <c r="C59" s="227" t="s">
        <v>163</v>
      </c>
      <c r="D59" s="164" t="s">
        <v>164</v>
      </c>
      <c r="E59" s="227" t="s">
        <v>1</v>
      </c>
      <c r="F59" s="31" t="s">
        <v>468</v>
      </c>
    </row>
    <row r="60" spans="1:6" ht="14.4" thickBot="1" x14ac:dyDescent="0.3">
      <c r="A60" s="152" t="s">
        <v>88</v>
      </c>
      <c r="B60" s="202" t="s">
        <v>112</v>
      </c>
      <c r="C60" s="154" t="s">
        <v>113</v>
      </c>
      <c r="D60" s="154" t="s">
        <v>114</v>
      </c>
      <c r="E60" s="154" t="s">
        <v>14</v>
      </c>
      <c r="F60" s="154"/>
    </row>
    <row r="61" spans="1:6" ht="14.4" thickBot="1" x14ac:dyDescent="0.3">
      <c r="A61" s="204"/>
      <c r="B61" s="205" t="s">
        <v>312</v>
      </c>
      <c r="C61" s="196" t="s">
        <v>200</v>
      </c>
      <c r="D61" s="196" t="s">
        <v>313</v>
      </c>
      <c r="E61" s="206" t="s">
        <v>1</v>
      </c>
      <c r="F61" s="196"/>
    </row>
    <row r="62" spans="1:6" ht="29.4" thickBot="1" x14ac:dyDescent="0.3">
      <c r="A62" s="204"/>
      <c r="B62" s="186" t="s">
        <v>165</v>
      </c>
      <c r="C62" s="207" t="s">
        <v>166</v>
      </c>
      <c r="D62" s="206"/>
      <c r="E62" s="206" t="s">
        <v>1</v>
      </c>
      <c r="F62" s="40" t="s">
        <v>302</v>
      </c>
    </row>
    <row r="63" spans="1:6" ht="14.4" thickBot="1" x14ac:dyDescent="0.3">
      <c r="A63" s="204"/>
      <c r="B63" s="205" t="s">
        <v>247</v>
      </c>
      <c r="C63" s="206" t="s">
        <v>172</v>
      </c>
      <c r="D63" s="206" t="s">
        <v>173</v>
      </c>
      <c r="E63" s="206" t="s">
        <v>169</v>
      </c>
      <c r="F63" s="235" t="s">
        <v>469</v>
      </c>
    </row>
    <row r="64" spans="1:6" ht="14.55" customHeight="1" thickBot="1" x14ac:dyDescent="0.3">
      <c r="A64" s="204"/>
      <c r="B64" s="186" t="s">
        <v>248</v>
      </c>
      <c r="C64" s="206" t="s">
        <v>170</v>
      </c>
      <c r="D64" s="206" t="s">
        <v>171</v>
      </c>
      <c r="E64" s="206" t="s">
        <v>169</v>
      </c>
      <c r="F64" s="235"/>
    </row>
    <row r="65" spans="1:6" ht="14.4" thickBot="1" x14ac:dyDescent="0.3">
      <c r="A65" s="204"/>
      <c r="B65" s="186" t="s">
        <v>89</v>
      </c>
      <c r="C65" s="196" t="s">
        <v>167</v>
      </c>
      <c r="D65" s="196" t="s">
        <v>168</v>
      </c>
      <c r="E65" s="206" t="s">
        <v>169</v>
      </c>
      <c r="F65" s="235"/>
    </row>
    <row r="66" spans="1:6" ht="72.599999999999994" thickBot="1" x14ac:dyDescent="0.3">
      <c r="A66" s="204"/>
      <c r="B66" s="186" t="s">
        <v>249</v>
      </c>
      <c r="C66" s="207" t="s">
        <v>174</v>
      </c>
      <c r="D66" s="206" t="s">
        <v>175</v>
      </c>
      <c r="E66" s="206" t="s">
        <v>176</v>
      </c>
      <c r="F66" s="40" t="s">
        <v>470</v>
      </c>
    </row>
    <row r="67" spans="1:6" ht="29.4" thickBot="1" x14ac:dyDescent="0.3">
      <c r="A67" s="204"/>
      <c r="B67" s="186" t="s">
        <v>90</v>
      </c>
      <c r="C67" s="196" t="s">
        <v>177</v>
      </c>
      <c r="D67" s="196" t="s">
        <v>178</v>
      </c>
      <c r="E67" s="196" t="s">
        <v>179</v>
      </c>
      <c r="F67" s="94" t="s">
        <v>471</v>
      </c>
    </row>
    <row r="68" spans="1:6" ht="14.4" thickBot="1" x14ac:dyDescent="0.3">
      <c r="A68" s="204"/>
      <c r="B68" s="186" t="s">
        <v>22</v>
      </c>
      <c r="C68" s="207" t="s">
        <v>180</v>
      </c>
      <c r="D68" s="206" t="s">
        <v>181</v>
      </c>
      <c r="E68" s="206" t="s">
        <v>0</v>
      </c>
      <c r="F68" s="196" t="s">
        <v>472</v>
      </c>
    </row>
    <row r="69" spans="1:6" x14ac:dyDescent="0.25">
      <c r="A69" s="204"/>
      <c r="B69" s="186" t="s">
        <v>23</v>
      </c>
      <c r="C69" s="207" t="s">
        <v>182</v>
      </c>
      <c r="D69" s="207" t="s">
        <v>183</v>
      </c>
      <c r="E69" s="208" t="s">
        <v>0</v>
      </c>
      <c r="F69" s="196"/>
    </row>
    <row r="70" spans="1:6" x14ac:dyDescent="0.25">
      <c r="A70" s="204"/>
      <c r="B70" s="186" t="s">
        <v>216</v>
      </c>
      <c r="C70" s="196" t="s">
        <v>215</v>
      </c>
      <c r="D70" s="196" t="s">
        <v>251</v>
      </c>
      <c r="E70" s="208" t="s">
        <v>0</v>
      </c>
      <c r="F70" s="196" t="s">
        <v>473</v>
      </c>
    </row>
    <row r="71" spans="1:6" x14ac:dyDescent="0.25">
      <c r="A71" s="204"/>
      <c r="B71" s="186" t="s">
        <v>24</v>
      </c>
      <c r="C71" s="196" t="s">
        <v>184</v>
      </c>
      <c r="D71" s="196" t="s">
        <v>185</v>
      </c>
      <c r="E71" s="196" t="s">
        <v>0</v>
      </c>
      <c r="F71" s="196" t="s">
        <v>474</v>
      </c>
    </row>
    <row r="72" spans="1:6" ht="28.8" x14ac:dyDescent="0.25">
      <c r="A72" s="204"/>
      <c r="B72" s="186" t="s">
        <v>91</v>
      </c>
      <c r="C72" s="196" t="s">
        <v>186</v>
      </c>
      <c r="D72" s="196" t="s">
        <v>187</v>
      </c>
      <c r="E72" s="196" t="s">
        <v>0</v>
      </c>
      <c r="F72" s="40" t="s">
        <v>475</v>
      </c>
    </row>
    <row r="73" spans="1:6" x14ac:dyDescent="0.25">
      <c r="A73" s="204"/>
      <c r="B73" s="186" t="s">
        <v>283</v>
      </c>
      <c r="C73" s="207" t="s">
        <v>188</v>
      </c>
      <c r="D73" s="209" t="s">
        <v>189</v>
      </c>
      <c r="E73" s="209" t="s">
        <v>162</v>
      </c>
      <c r="F73" s="196" t="s">
        <v>476</v>
      </c>
    </row>
    <row r="74" spans="1:6" ht="14.4" thickBot="1" x14ac:dyDescent="0.3">
      <c r="A74" s="210"/>
      <c r="B74" s="188" t="s">
        <v>284</v>
      </c>
      <c r="C74" s="211" t="s">
        <v>285</v>
      </c>
      <c r="D74" s="212" t="s">
        <v>286</v>
      </c>
      <c r="E74" s="212" t="s">
        <v>287</v>
      </c>
      <c r="F74" s="191" t="s">
        <v>477</v>
      </c>
    </row>
    <row r="75" spans="1:6" x14ac:dyDescent="0.25">
      <c r="A75" s="152" t="s">
        <v>81</v>
      </c>
      <c r="B75" s="186" t="s">
        <v>37</v>
      </c>
      <c r="C75" s="196" t="s">
        <v>110</v>
      </c>
      <c r="D75" s="196" t="s">
        <v>111</v>
      </c>
      <c r="E75" s="196" t="s">
        <v>14</v>
      </c>
      <c r="F75" s="196"/>
    </row>
    <row r="76" spans="1:6" x14ac:dyDescent="0.25">
      <c r="A76" s="213"/>
      <c r="B76" s="186" t="s">
        <v>33</v>
      </c>
      <c r="C76" s="196" t="s">
        <v>191</v>
      </c>
      <c r="D76" s="196" t="s">
        <v>192</v>
      </c>
      <c r="E76" s="196" t="s">
        <v>14</v>
      </c>
      <c r="F76" s="196"/>
    </row>
    <row r="77" spans="1:6" x14ac:dyDescent="0.25">
      <c r="A77" s="213"/>
      <c r="B77" s="186" t="s">
        <v>34</v>
      </c>
      <c r="C77" s="196" t="s">
        <v>123</v>
      </c>
      <c r="D77" s="196" t="s">
        <v>124</v>
      </c>
      <c r="E77" s="196" t="s">
        <v>103</v>
      </c>
      <c r="F77" s="196"/>
    </row>
    <row r="78" spans="1:6" x14ac:dyDescent="0.25">
      <c r="A78" s="213"/>
      <c r="B78" s="186" t="s">
        <v>35</v>
      </c>
      <c r="C78" s="196" t="s">
        <v>125</v>
      </c>
      <c r="D78" s="196" t="s">
        <v>126</v>
      </c>
      <c r="E78" s="196" t="s">
        <v>103</v>
      </c>
      <c r="F78" s="196"/>
    </row>
    <row r="79" spans="1:6" x14ac:dyDescent="0.25">
      <c r="A79" s="213"/>
      <c r="B79" s="186" t="s">
        <v>36</v>
      </c>
      <c r="C79" s="196" t="s">
        <v>127</v>
      </c>
      <c r="D79" s="196" t="s">
        <v>128</v>
      </c>
      <c r="E79" s="196" t="s">
        <v>48</v>
      </c>
      <c r="F79" s="196"/>
    </row>
    <row r="80" spans="1:6" x14ac:dyDescent="0.25">
      <c r="A80" s="213"/>
      <c r="B80" s="186" t="s">
        <v>82</v>
      </c>
      <c r="C80" s="196" t="s">
        <v>129</v>
      </c>
      <c r="D80" s="196" t="s">
        <v>130</v>
      </c>
      <c r="E80" s="196" t="s">
        <v>48</v>
      </c>
      <c r="F80" s="196"/>
    </row>
    <row r="81" spans="1:6" x14ac:dyDescent="0.25">
      <c r="A81" s="213"/>
      <c r="B81" s="186" t="s">
        <v>83</v>
      </c>
      <c r="C81" s="196" t="s">
        <v>131</v>
      </c>
      <c r="D81" s="196" t="s">
        <v>132</v>
      </c>
      <c r="E81" s="196" t="s">
        <v>48</v>
      </c>
      <c r="F81" s="196"/>
    </row>
    <row r="82" spans="1:6" ht="14.4" thickBot="1" x14ac:dyDescent="0.3">
      <c r="A82" s="214"/>
      <c r="B82" s="188" t="s">
        <v>52</v>
      </c>
      <c r="C82" s="191" t="s">
        <v>133</v>
      </c>
      <c r="D82" s="191" t="s">
        <v>134</v>
      </c>
      <c r="E82" s="191" t="s">
        <v>13</v>
      </c>
      <c r="F82" s="191"/>
    </row>
    <row r="83" spans="1:6" x14ac:dyDescent="0.25">
      <c r="A83" s="152" t="s">
        <v>84</v>
      </c>
      <c r="B83" s="186" t="s">
        <v>37</v>
      </c>
      <c r="C83" s="196" t="s">
        <v>110</v>
      </c>
      <c r="D83" s="196" t="s">
        <v>111</v>
      </c>
      <c r="E83" s="196" t="s">
        <v>14</v>
      </c>
      <c r="F83" s="196"/>
    </row>
    <row r="84" spans="1:6" x14ac:dyDescent="0.25">
      <c r="A84" s="213"/>
      <c r="B84" s="186" t="s">
        <v>25</v>
      </c>
      <c r="C84" s="196" t="s">
        <v>136</v>
      </c>
      <c r="D84" s="196" t="s">
        <v>137</v>
      </c>
      <c r="E84" s="196" t="s">
        <v>21</v>
      </c>
      <c r="F84" s="196" t="s">
        <v>70</v>
      </c>
    </row>
    <row r="85" spans="1:6" x14ac:dyDescent="0.25">
      <c r="A85" s="213"/>
      <c r="B85" s="186" t="s">
        <v>26</v>
      </c>
      <c r="C85" s="196" t="s">
        <v>138</v>
      </c>
      <c r="D85" s="196" t="s">
        <v>139</v>
      </c>
      <c r="E85" s="196" t="s">
        <v>223</v>
      </c>
      <c r="F85" s="196"/>
    </row>
    <row r="86" spans="1:6" x14ac:dyDescent="0.25">
      <c r="A86" s="213"/>
      <c r="B86" s="186" t="s">
        <v>27</v>
      </c>
      <c r="C86" s="196" t="s">
        <v>140</v>
      </c>
      <c r="D86" s="196" t="s">
        <v>141</v>
      </c>
      <c r="E86" s="196" t="s">
        <v>190</v>
      </c>
      <c r="F86" s="196"/>
    </row>
    <row r="87" spans="1:6" x14ac:dyDescent="0.25">
      <c r="A87" s="213"/>
      <c r="B87" s="186" t="s">
        <v>28</v>
      </c>
      <c r="C87" s="196" t="s">
        <v>142</v>
      </c>
      <c r="D87" s="196" t="s">
        <v>143</v>
      </c>
      <c r="E87" s="196" t="s">
        <v>190</v>
      </c>
      <c r="F87" s="196"/>
    </row>
    <row r="88" spans="1:6" x14ac:dyDescent="0.25">
      <c r="A88" s="213"/>
      <c r="B88" s="205" t="s">
        <v>29</v>
      </c>
      <c r="C88" s="196" t="s">
        <v>144</v>
      </c>
      <c r="D88" s="196" t="s">
        <v>145</v>
      </c>
      <c r="E88" s="196" t="s">
        <v>146</v>
      </c>
      <c r="F88" s="196"/>
    </row>
    <row r="89" spans="1:6" x14ac:dyDescent="0.25">
      <c r="A89" s="213"/>
      <c r="B89" s="205" t="s">
        <v>31</v>
      </c>
      <c r="C89" s="207" t="s">
        <v>150</v>
      </c>
      <c r="D89" s="196" t="s">
        <v>151</v>
      </c>
      <c r="E89" s="196" t="s">
        <v>190</v>
      </c>
      <c r="F89" s="196"/>
    </row>
    <row r="90" spans="1:6" x14ac:dyDescent="0.25">
      <c r="A90" s="213"/>
      <c r="B90" s="205" t="s">
        <v>252</v>
      </c>
      <c r="C90" s="207" t="s">
        <v>253</v>
      </c>
      <c r="D90" s="196" t="s">
        <v>254</v>
      </c>
      <c r="E90" s="196" t="s">
        <v>255</v>
      </c>
      <c r="F90" s="196"/>
    </row>
    <row r="91" spans="1:6" x14ac:dyDescent="0.25">
      <c r="A91" s="213"/>
      <c r="B91" s="205" t="s">
        <v>30</v>
      </c>
      <c r="C91" s="207" t="s">
        <v>147</v>
      </c>
      <c r="D91" s="207" t="s">
        <v>148</v>
      </c>
      <c r="E91" s="196" t="s">
        <v>149</v>
      </c>
      <c r="F91" s="196"/>
    </row>
    <row r="92" spans="1:6" x14ac:dyDescent="0.25">
      <c r="A92" s="213"/>
      <c r="B92" s="205" t="s">
        <v>85</v>
      </c>
      <c r="C92" s="207" t="s">
        <v>152</v>
      </c>
      <c r="D92" s="166" t="s">
        <v>153</v>
      </c>
      <c r="E92" s="166" t="s">
        <v>0</v>
      </c>
      <c r="F92" s="196"/>
    </row>
    <row r="93" spans="1:6" ht="14.4" thickBot="1" x14ac:dyDescent="0.3">
      <c r="A93" s="214"/>
      <c r="B93" s="188"/>
      <c r="C93" s="191" t="s">
        <v>490</v>
      </c>
      <c r="D93" s="53" t="s">
        <v>491</v>
      </c>
      <c r="E93" s="53" t="s">
        <v>13</v>
      </c>
      <c r="F93" s="191"/>
    </row>
    <row r="94" spans="1:6" x14ac:dyDescent="0.25">
      <c r="A94" s="152" t="s">
        <v>325</v>
      </c>
      <c r="B94" s="153" t="s">
        <v>327</v>
      </c>
      <c r="C94" s="154" t="s">
        <v>323</v>
      </c>
      <c r="D94" s="154" t="s">
        <v>324</v>
      </c>
      <c r="E94" s="196" t="s">
        <v>121</v>
      </c>
      <c r="F94" s="196"/>
    </row>
    <row r="95" spans="1:6" x14ac:dyDescent="0.25">
      <c r="A95" s="152"/>
      <c r="B95" s="205" t="s">
        <v>194</v>
      </c>
      <c r="C95" s="166" t="s">
        <v>195</v>
      </c>
      <c r="D95" s="215" t="s">
        <v>193</v>
      </c>
      <c r="E95" s="168" t="s">
        <v>11</v>
      </c>
      <c r="F95" s="166"/>
    </row>
    <row r="96" spans="1:6" x14ac:dyDescent="0.25">
      <c r="A96" s="152"/>
      <c r="B96" s="79" t="s">
        <v>352</v>
      </c>
      <c r="C96" s="37" t="s">
        <v>348</v>
      </c>
      <c r="D96" s="37" t="s">
        <v>407</v>
      </c>
      <c r="E96" s="115" t="s">
        <v>21</v>
      </c>
      <c r="F96" s="115"/>
    </row>
    <row r="97" spans="1:6" x14ac:dyDescent="0.25">
      <c r="A97" s="152"/>
      <c r="B97" s="79" t="s">
        <v>353</v>
      </c>
      <c r="C97" s="37" t="s">
        <v>349</v>
      </c>
      <c r="D97" s="37" t="s">
        <v>408</v>
      </c>
      <c r="E97" s="115" t="s">
        <v>21</v>
      </c>
      <c r="F97" s="115"/>
    </row>
    <row r="98" spans="1:6" x14ac:dyDescent="0.25">
      <c r="A98" s="152"/>
      <c r="B98" s="79" t="s">
        <v>354</v>
      </c>
      <c r="C98" s="37" t="s">
        <v>350</v>
      </c>
      <c r="D98" s="37" t="s">
        <v>409</v>
      </c>
      <c r="E98" s="115" t="s">
        <v>21</v>
      </c>
      <c r="F98" s="115"/>
    </row>
    <row r="99" spans="1:6" x14ac:dyDescent="0.25">
      <c r="A99" s="152"/>
      <c r="B99" s="79" t="s">
        <v>355</v>
      </c>
      <c r="C99" s="37" t="s">
        <v>351</v>
      </c>
      <c r="D99" s="37" t="s">
        <v>410</v>
      </c>
      <c r="E99" s="115" t="s">
        <v>21</v>
      </c>
      <c r="F99" s="115"/>
    </row>
    <row r="100" spans="1:6" ht="14.4" thickBot="1" x14ac:dyDescent="0.3">
      <c r="A100" s="214"/>
      <c r="B100" s="87" t="s">
        <v>411</v>
      </c>
      <c r="C100" s="53" t="s">
        <v>412</v>
      </c>
      <c r="D100" s="53" t="s">
        <v>413</v>
      </c>
      <c r="E100" s="53" t="s">
        <v>121</v>
      </c>
      <c r="F100" s="53"/>
    </row>
    <row r="101" spans="1:6" x14ac:dyDescent="0.25">
      <c r="A101" s="22" t="s">
        <v>414</v>
      </c>
      <c r="B101" s="66" t="s">
        <v>327</v>
      </c>
      <c r="C101" s="37" t="s">
        <v>323</v>
      </c>
      <c r="D101" s="37" t="s">
        <v>324</v>
      </c>
      <c r="E101" s="115" t="s">
        <v>121</v>
      </c>
    </row>
    <row r="102" spans="1:6" x14ac:dyDescent="0.25">
      <c r="A102" s="22"/>
      <c r="B102" s="216"/>
      <c r="C102" s="37" t="s">
        <v>392</v>
      </c>
      <c r="D102" s="37" t="s">
        <v>415</v>
      </c>
      <c r="E102" s="115" t="s">
        <v>121</v>
      </c>
    </row>
    <row r="103" spans="1:6" x14ac:dyDescent="0.25">
      <c r="B103" s="66" t="s">
        <v>46</v>
      </c>
      <c r="C103" s="112" t="s">
        <v>46</v>
      </c>
      <c r="D103" s="115" t="s">
        <v>115</v>
      </c>
    </row>
    <row r="104" spans="1:6" x14ac:dyDescent="0.25">
      <c r="B104" s="217" t="s">
        <v>394</v>
      </c>
      <c r="C104" s="112" t="s">
        <v>393</v>
      </c>
      <c r="D104" s="115" t="s">
        <v>416</v>
      </c>
      <c r="E104" s="37" t="s">
        <v>121</v>
      </c>
    </row>
    <row r="105" spans="1:6" x14ac:dyDescent="0.25">
      <c r="B105" s="66" t="s">
        <v>373</v>
      </c>
      <c r="C105" s="37" t="s">
        <v>356</v>
      </c>
      <c r="D105" s="56" t="s">
        <v>417</v>
      </c>
      <c r="E105" s="37" t="s">
        <v>418</v>
      </c>
    </row>
    <row r="106" spans="1:6" x14ac:dyDescent="0.25">
      <c r="B106" s="66" t="s">
        <v>374</v>
      </c>
      <c r="C106" s="37" t="s">
        <v>357</v>
      </c>
      <c r="D106" s="56" t="s">
        <v>419</v>
      </c>
      <c r="E106" s="37" t="s">
        <v>161</v>
      </c>
    </row>
    <row r="107" spans="1:6" x14ac:dyDescent="0.25">
      <c r="B107" s="216"/>
      <c r="C107" s="37" t="s">
        <v>358</v>
      </c>
      <c r="D107" s="56" t="s">
        <v>420</v>
      </c>
    </row>
    <row r="108" spans="1:6" x14ac:dyDescent="0.25">
      <c r="B108" s="66" t="s">
        <v>375</v>
      </c>
      <c r="C108" s="37" t="s">
        <v>359</v>
      </c>
      <c r="D108" s="56" t="s">
        <v>421</v>
      </c>
      <c r="E108" s="37" t="s">
        <v>422</v>
      </c>
    </row>
    <row r="109" spans="1:6" x14ac:dyDescent="0.25">
      <c r="B109" s="216"/>
      <c r="C109" s="37" t="s">
        <v>360</v>
      </c>
      <c r="D109" s="56" t="s">
        <v>423</v>
      </c>
      <c r="E109" s="37" t="s">
        <v>405</v>
      </c>
    </row>
    <row r="110" spans="1:6" x14ac:dyDescent="0.25">
      <c r="B110" s="217" t="s">
        <v>376</v>
      </c>
      <c r="C110" s="37" t="s">
        <v>424</v>
      </c>
      <c r="D110" s="56" t="s">
        <v>425</v>
      </c>
      <c r="E110" s="37" t="s">
        <v>426</v>
      </c>
    </row>
    <row r="111" spans="1:6" x14ac:dyDescent="0.25">
      <c r="B111" s="66" t="s">
        <v>377</v>
      </c>
      <c r="C111" s="37" t="s">
        <v>427</v>
      </c>
      <c r="D111" s="56" t="s">
        <v>428</v>
      </c>
      <c r="E111" s="37" t="s">
        <v>429</v>
      </c>
    </row>
    <row r="112" spans="1:6" x14ac:dyDescent="0.25">
      <c r="B112" s="217" t="s">
        <v>378</v>
      </c>
      <c r="C112" s="37" t="s">
        <v>430</v>
      </c>
      <c r="D112" s="56" t="s">
        <v>431</v>
      </c>
      <c r="E112" s="37" t="s">
        <v>2</v>
      </c>
    </row>
    <row r="113" spans="2:6" x14ac:dyDescent="0.25">
      <c r="B113" s="217" t="s">
        <v>379</v>
      </c>
      <c r="C113" s="37" t="s">
        <v>432</v>
      </c>
      <c r="D113" s="56" t="s">
        <v>433</v>
      </c>
      <c r="E113" s="37" t="s">
        <v>405</v>
      </c>
    </row>
    <row r="114" spans="2:6" x14ac:dyDescent="0.25">
      <c r="B114" s="66" t="s">
        <v>380</v>
      </c>
      <c r="C114" s="37" t="s">
        <v>434</v>
      </c>
      <c r="D114" s="56" t="s">
        <v>435</v>
      </c>
      <c r="E114" s="37" t="s">
        <v>405</v>
      </c>
    </row>
    <row r="115" spans="2:6" x14ac:dyDescent="0.25">
      <c r="B115" s="216"/>
      <c r="C115" s="37" t="s">
        <v>363</v>
      </c>
      <c r="D115" s="56" t="s">
        <v>436</v>
      </c>
      <c r="E115" s="37" t="s">
        <v>405</v>
      </c>
    </row>
    <row r="116" spans="2:6" x14ac:dyDescent="0.25">
      <c r="B116" s="66" t="s">
        <v>381</v>
      </c>
      <c r="C116" s="37" t="s">
        <v>437</v>
      </c>
      <c r="D116" s="56" t="s">
        <v>438</v>
      </c>
      <c r="E116" s="37" t="s">
        <v>405</v>
      </c>
    </row>
    <row r="117" spans="2:6" x14ac:dyDescent="0.25">
      <c r="B117" s="217" t="s">
        <v>382</v>
      </c>
      <c r="C117" s="37" t="s">
        <v>439</v>
      </c>
      <c r="D117" s="56" t="s">
        <v>440</v>
      </c>
      <c r="E117" s="37" t="s">
        <v>405</v>
      </c>
    </row>
    <row r="118" spans="2:6" x14ac:dyDescent="0.25">
      <c r="B118" s="66" t="s">
        <v>383</v>
      </c>
      <c r="C118" s="37" t="s">
        <v>441</v>
      </c>
      <c r="D118" s="56" t="s">
        <v>442</v>
      </c>
      <c r="E118" s="37" t="s">
        <v>405</v>
      </c>
    </row>
    <row r="119" spans="2:6" x14ac:dyDescent="0.25">
      <c r="B119" s="217" t="s">
        <v>384</v>
      </c>
      <c r="C119" s="37" t="s">
        <v>443</v>
      </c>
      <c r="D119" s="56" t="s">
        <v>444</v>
      </c>
      <c r="E119" s="37" t="s">
        <v>405</v>
      </c>
    </row>
    <row r="120" spans="2:6" ht="14.4" x14ac:dyDescent="0.3">
      <c r="B120" s="231"/>
      <c r="C120" s="1" t="s">
        <v>494</v>
      </c>
      <c r="D120" s="56" t="s">
        <v>495</v>
      </c>
      <c r="E120" s="37" t="s">
        <v>0</v>
      </c>
    </row>
    <row r="121" spans="2:6" ht="14.4" x14ac:dyDescent="0.3">
      <c r="B121" s="231"/>
      <c r="C121" s="1" t="s">
        <v>496</v>
      </c>
      <c r="D121" s="56" t="s">
        <v>497</v>
      </c>
      <c r="E121" s="37" t="s">
        <v>0</v>
      </c>
    </row>
    <row r="122" spans="2:6" x14ac:dyDescent="0.25">
      <c r="B122" s="217" t="s">
        <v>385</v>
      </c>
      <c r="C122" s="37" t="s">
        <v>498</v>
      </c>
      <c r="D122" s="56" t="s">
        <v>445</v>
      </c>
      <c r="E122" s="37" t="s">
        <v>0</v>
      </c>
    </row>
    <row r="123" spans="2:6" x14ac:dyDescent="0.25">
      <c r="B123" s="217" t="s">
        <v>386</v>
      </c>
      <c r="C123" s="37" t="s">
        <v>446</v>
      </c>
      <c r="D123" s="56" t="s">
        <v>447</v>
      </c>
      <c r="E123" s="37" t="s">
        <v>0</v>
      </c>
      <c r="F123" s="54"/>
    </row>
    <row r="124" spans="2:6" x14ac:dyDescent="0.25">
      <c r="B124" s="217" t="s">
        <v>387</v>
      </c>
      <c r="C124" s="37" t="s">
        <v>448</v>
      </c>
      <c r="D124" s="56" t="s">
        <v>449</v>
      </c>
      <c r="E124" s="37" t="s">
        <v>0</v>
      </c>
      <c r="F124" s="54"/>
    </row>
    <row r="125" spans="2:6" ht="14.4" x14ac:dyDescent="0.3">
      <c r="B125" s="218"/>
      <c r="C125" s="1" t="s">
        <v>367</v>
      </c>
      <c r="D125" s="56" t="s">
        <v>450</v>
      </c>
      <c r="E125" s="37" t="s">
        <v>0</v>
      </c>
      <c r="F125" s="54"/>
    </row>
    <row r="126" spans="2:6" ht="14.4" x14ac:dyDescent="0.3">
      <c r="B126" s="231"/>
      <c r="C126" s="1" t="s">
        <v>499</v>
      </c>
      <c r="D126" s="56" t="s">
        <v>500</v>
      </c>
      <c r="E126" s="37" t="s">
        <v>405</v>
      </c>
      <c r="F126" s="54"/>
    </row>
    <row r="127" spans="2:6" ht="14.4" x14ac:dyDescent="0.3">
      <c r="B127" s="231"/>
      <c r="C127" s="1" t="s">
        <v>501</v>
      </c>
      <c r="D127" s="56" t="s">
        <v>502</v>
      </c>
      <c r="E127" s="37" t="s">
        <v>405</v>
      </c>
      <c r="F127" s="54"/>
    </row>
    <row r="128" spans="2:6" ht="14.4" x14ac:dyDescent="0.3">
      <c r="B128" s="219" t="s">
        <v>388</v>
      </c>
      <c r="C128" s="1" t="s">
        <v>368</v>
      </c>
      <c r="D128" s="56" t="s">
        <v>451</v>
      </c>
      <c r="E128" s="37" t="s">
        <v>405</v>
      </c>
    </row>
    <row r="129" spans="1:6" ht="14.4" x14ac:dyDescent="0.3">
      <c r="B129" s="140" t="s">
        <v>389</v>
      </c>
      <c r="C129" s="1" t="s">
        <v>369</v>
      </c>
      <c r="D129" s="56" t="s">
        <v>452</v>
      </c>
      <c r="E129" s="37" t="s">
        <v>405</v>
      </c>
    </row>
    <row r="130" spans="1:6" ht="14.4" x14ac:dyDescent="0.3">
      <c r="B130" s="140" t="s">
        <v>390</v>
      </c>
      <c r="C130" s="1" t="s">
        <v>370</v>
      </c>
      <c r="D130" s="56" t="s">
        <v>453</v>
      </c>
      <c r="E130" s="37" t="s">
        <v>405</v>
      </c>
    </row>
    <row r="131" spans="1:6" ht="14.4" x14ac:dyDescent="0.3">
      <c r="B131" s="140" t="s">
        <v>391</v>
      </c>
      <c r="C131" s="1" t="s">
        <v>371</v>
      </c>
      <c r="D131" s="56" t="s">
        <v>454</v>
      </c>
      <c r="E131" s="37" t="s">
        <v>405</v>
      </c>
    </row>
    <row r="132" spans="1:6" ht="14.4" x14ac:dyDescent="0.3">
      <c r="B132" s="218"/>
      <c r="C132" s="1" t="s">
        <v>372</v>
      </c>
      <c r="D132" s="56" t="s">
        <v>455</v>
      </c>
      <c r="E132" s="37" t="s">
        <v>405</v>
      </c>
    </row>
    <row r="133" spans="1:6" x14ac:dyDescent="0.25">
      <c r="B133" s="220"/>
      <c r="C133" s="37" t="s">
        <v>395</v>
      </c>
      <c r="D133" s="56" t="s">
        <v>456</v>
      </c>
      <c r="E133" s="37" t="s">
        <v>405</v>
      </c>
    </row>
    <row r="134" spans="1:6" x14ac:dyDescent="0.25">
      <c r="B134" s="220"/>
      <c r="C134" s="37" t="s">
        <v>396</v>
      </c>
      <c r="D134" s="56" t="s">
        <v>457</v>
      </c>
      <c r="E134" s="37" t="s">
        <v>405</v>
      </c>
    </row>
    <row r="135" spans="1:6" x14ac:dyDescent="0.25">
      <c r="B135" s="220"/>
      <c r="C135" s="37" t="s">
        <v>397</v>
      </c>
      <c r="D135" s="56" t="s">
        <v>458</v>
      </c>
      <c r="E135" s="37" t="s">
        <v>405</v>
      </c>
    </row>
    <row r="136" spans="1:6" ht="14.4" thickBot="1" x14ac:dyDescent="0.3">
      <c r="B136" s="65" t="s">
        <v>399</v>
      </c>
      <c r="C136" s="37" t="s">
        <v>398</v>
      </c>
      <c r="E136" s="37" t="s">
        <v>459</v>
      </c>
    </row>
    <row r="137" spans="1:6" x14ac:dyDescent="0.25">
      <c r="A137" s="221" t="s">
        <v>326</v>
      </c>
      <c r="B137" s="222" t="s">
        <v>327</v>
      </c>
      <c r="C137" s="223" t="s">
        <v>323</v>
      </c>
      <c r="D137" s="223" t="s">
        <v>324</v>
      </c>
      <c r="E137" s="224" t="s">
        <v>121</v>
      </c>
      <c r="F137" s="224"/>
    </row>
    <row r="138" spans="1:6" x14ac:dyDescent="0.25">
      <c r="A138" s="204"/>
      <c r="B138" s="182" t="s">
        <v>46</v>
      </c>
      <c r="C138" s="225" t="s">
        <v>46</v>
      </c>
      <c r="D138" s="196" t="s">
        <v>115</v>
      </c>
      <c r="E138" s="196" t="s">
        <v>21</v>
      </c>
      <c r="F138" s="196" t="s">
        <v>70</v>
      </c>
    </row>
    <row r="139" spans="1:6" x14ac:dyDescent="0.25">
      <c r="A139" s="204"/>
      <c r="B139" s="186" t="s">
        <v>311</v>
      </c>
      <c r="C139" s="196" t="s">
        <v>200</v>
      </c>
      <c r="D139" s="196" t="s">
        <v>203</v>
      </c>
      <c r="E139" s="196" t="s">
        <v>1</v>
      </c>
      <c r="F139" s="196"/>
    </row>
    <row r="140" spans="1:6" x14ac:dyDescent="0.25">
      <c r="A140" s="204"/>
      <c r="B140" s="186" t="s">
        <v>310</v>
      </c>
      <c r="C140" s="196" t="s">
        <v>166</v>
      </c>
      <c r="D140" s="196" t="s">
        <v>204</v>
      </c>
      <c r="E140" s="196" t="s">
        <v>1</v>
      </c>
      <c r="F140" s="196"/>
    </row>
    <row r="141" spans="1:6" x14ac:dyDescent="0.25">
      <c r="A141" s="204"/>
      <c r="B141" s="186" t="s">
        <v>202</v>
      </c>
      <c r="C141" s="196" t="s">
        <v>201</v>
      </c>
      <c r="D141" s="196" t="s">
        <v>205</v>
      </c>
      <c r="E141" s="196" t="s">
        <v>169</v>
      </c>
      <c r="F141" s="196"/>
    </row>
    <row r="142" spans="1:6" x14ac:dyDescent="0.25">
      <c r="A142" s="204"/>
      <c r="B142" s="186" t="s">
        <v>209</v>
      </c>
      <c r="C142" s="196" t="s">
        <v>214</v>
      </c>
      <c r="D142" s="196" t="s">
        <v>208</v>
      </c>
      <c r="E142" s="196" t="s">
        <v>224</v>
      </c>
      <c r="F142" s="196"/>
    </row>
    <row r="143" spans="1:6" x14ac:dyDescent="0.25">
      <c r="A143" s="204"/>
      <c r="B143" s="186" t="s">
        <v>210</v>
      </c>
      <c r="C143" s="226" t="s">
        <v>212</v>
      </c>
      <c r="D143" s="154" t="s">
        <v>206</v>
      </c>
      <c r="E143" s="154" t="s">
        <v>224</v>
      </c>
      <c r="F143" s="154"/>
    </row>
    <row r="144" spans="1:6" ht="14.4" thickBot="1" x14ac:dyDescent="0.3">
      <c r="A144" s="210"/>
      <c r="B144" s="188" t="s">
        <v>211</v>
      </c>
      <c r="C144" s="164" t="s">
        <v>213</v>
      </c>
      <c r="D144" s="164" t="s">
        <v>207</v>
      </c>
      <c r="E144" s="164" t="s">
        <v>224</v>
      </c>
      <c r="F144" s="164"/>
    </row>
  </sheetData>
  <mergeCells count="1">
    <mergeCell ref="F63:F65"/>
  </mergeCells>
  <hyperlinks>
    <hyperlink ref="E44" r:id="rId1" display="http://research.agmip.org/display/dev/Lookup+codes+for+management+variables" xr:uid="{00000000-0004-0000-0200-000000000000}"/>
    <hyperlink ref="E49" r:id="rId2" display="http://research.agmip.org/display/dev/Lookup+codes+for+management+variables" xr:uid="{00000000-0004-0000-0200-000001000000}"/>
  </hyperlinks>
  <pageMargins left="0.7" right="0.7" top="0.75" bottom="0.75" header="0.3" footer="0.3"/>
  <pageSetup paperSize="9" orientation="portrait"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38"/>
  <sheetViews>
    <sheetView workbookViewId="0">
      <pane ySplit="1" topLeftCell="A2" activePane="bottomLeft" state="frozen"/>
      <selection pane="bottomLeft" activeCell="C13" sqref="C13"/>
    </sheetView>
  </sheetViews>
  <sheetFormatPr defaultColWidth="8.77734375" defaultRowHeight="14.4" x14ac:dyDescent="0.3"/>
  <cols>
    <col min="1" max="1" width="26.44140625" style="20" customWidth="1"/>
    <col min="2" max="2" width="33" style="20" bestFit="1" customWidth="1"/>
    <col min="3" max="3" width="101.77734375" style="31" customWidth="1"/>
    <col min="4" max="4" width="13.5546875" style="20" bestFit="1" customWidth="1"/>
    <col min="5" max="5" width="14.21875" style="20" customWidth="1"/>
    <col min="6" max="16384" width="8.77734375" style="20"/>
  </cols>
  <sheetData>
    <row r="1" spans="1:5" ht="15" thickBot="1" x14ac:dyDescent="0.35">
      <c r="A1" s="91" t="s">
        <v>38</v>
      </c>
      <c r="B1" s="91" t="s">
        <v>299</v>
      </c>
      <c r="C1" s="102" t="s">
        <v>39</v>
      </c>
      <c r="D1" s="91" t="s">
        <v>41</v>
      </c>
      <c r="E1" s="91" t="s">
        <v>40</v>
      </c>
    </row>
    <row r="2" spans="1:5" x14ac:dyDescent="0.25">
      <c r="A2" s="236" t="s">
        <v>67</v>
      </c>
      <c r="B2" s="180" t="s">
        <v>288</v>
      </c>
      <c r="C2" s="31" t="s">
        <v>478</v>
      </c>
    </row>
    <row r="3" spans="1:5" x14ac:dyDescent="0.25">
      <c r="A3" s="237"/>
      <c r="B3" s="229" t="s">
        <v>241</v>
      </c>
      <c r="C3" s="31" t="s">
        <v>478</v>
      </c>
    </row>
    <row r="4" spans="1:5" x14ac:dyDescent="0.25">
      <c r="A4" s="237"/>
      <c r="B4" s="180" t="s">
        <v>290</v>
      </c>
      <c r="C4" s="31" t="s">
        <v>478</v>
      </c>
    </row>
    <row r="5" spans="1:5" x14ac:dyDescent="0.25">
      <c r="A5" s="237" t="s">
        <v>88</v>
      </c>
      <c r="B5" s="180" t="s">
        <v>24</v>
      </c>
      <c r="C5" s="31" t="s">
        <v>478</v>
      </c>
    </row>
    <row r="6" spans="1:5" x14ac:dyDescent="0.25">
      <c r="A6" s="237"/>
      <c r="B6" s="180" t="s">
        <v>216</v>
      </c>
      <c r="C6" s="31" t="s">
        <v>478</v>
      </c>
    </row>
    <row r="7" spans="1:5" x14ac:dyDescent="0.25">
      <c r="A7" s="237" t="s">
        <v>84</v>
      </c>
      <c r="B7" s="180" t="s">
        <v>29</v>
      </c>
      <c r="C7" s="20" t="s">
        <v>479</v>
      </c>
    </row>
    <row r="8" spans="1:5" ht="43.2" x14ac:dyDescent="0.3">
      <c r="A8" s="237"/>
      <c r="B8" s="20" t="s">
        <v>492</v>
      </c>
      <c r="C8" s="31" t="s">
        <v>480</v>
      </c>
    </row>
    <row r="9" spans="1:5" ht="15.6" x14ac:dyDescent="0.3">
      <c r="A9" s="237"/>
      <c r="B9" s="19" t="s">
        <v>252</v>
      </c>
      <c r="C9" s="31" t="s">
        <v>504</v>
      </c>
    </row>
    <row r="10" spans="1:5" x14ac:dyDescent="0.3">
      <c r="A10" s="228" t="s">
        <v>81</v>
      </c>
      <c r="B10" s="19" t="s">
        <v>52</v>
      </c>
      <c r="C10" s="20" t="s">
        <v>493</v>
      </c>
    </row>
    <row r="11" spans="1:5" x14ac:dyDescent="0.3">
      <c r="C11" s="20"/>
    </row>
    <row r="12" spans="1:5" ht="17.25" customHeight="1" x14ac:dyDescent="0.3">
      <c r="C12" s="20"/>
    </row>
    <row r="13" spans="1:5" x14ac:dyDescent="0.3">
      <c r="C13" s="20"/>
    </row>
    <row r="14" spans="1:5" x14ac:dyDescent="0.3">
      <c r="C14" s="20"/>
    </row>
    <row r="15" spans="1:5" x14ac:dyDescent="0.3">
      <c r="C15" s="20"/>
    </row>
    <row r="16" spans="1:5" x14ac:dyDescent="0.3">
      <c r="C16" s="20"/>
    </row>
    <row r="17" spans="3:3" ht="17.25" customHeight="1" x14ac:dyDescent="0.3">
      <c r="C17" s="20"/>
    </row>
    <row r="18" spans="3:3" ht="17.25" customHeight="1" x14ac:dyDescent="0.3">
      <c r="C18" s="20"/>
    </row>
    <row r="19" spans="3:3" x14ac:dyDescent="0.3">
      <c r="C19" s="20"/>
    </row>
    <row r="20" spans="3:3" x14ac:dyDescent="0.3">
      <c r="C20" s="20"/>
    </row>
    <row r="21" spans="3:3" x14ac:dyDescent="0.3">
      <c r="C21" s="20"/>
    </row>
    <row r="22" spans="3:3" x14ac:dyDescent="0.3">
      <c r="C22" s="20"/>
    </row>
    <row r="23" spans="3:3" x14ac:dyDescent="0.3">
      <c r="C23" s="20"/>
    </row>
    <row r="24" spans="3:3" s="98" customFormat="1" x14ac:dyDescent="0.3"/>
    <row r="25" spans="3:3" x14ac:dyDescent="0.3">
      <c r="C25" s="20"/>
    </row>
    <row r="26" spans="3:3" x14ac:dyDescent="0.3">
      <c r="C26" s="20"/>
    </row>
    <row r="27" spans="3:3" x14ac:dyDescent="0.3">
      <c r="C27" s="20"/>
    </row>
    <row r="28" spans="3:3" x14ac:dyDescent="0.3">
      <c r="C28" s="20"/>
    </row>
    <row r="29" spans="3:3" x14ac:dyDescent="0.3">
      <c r="C29" s="20"/>
    </row>
    <row r="30" spans="3:3" x14ac:dyDescent="0.3">
      <c r="C30" s="20"/>
    </row>
    <row r="31" spans="3:3" x14ac:dyDescent="0.3">
      <c r="C31" s="20"/>
    </row>
    <row r="32" spans="3:3" x14ac:dyDescent="0.3">
      <c r="C32" s="20"/>
    </row>
    <row r="33" spans="3:3" x14ac:dyDescent="0.3">
      <c r="C33" s="20"/>
    </row>
    <row r="34" spans="3:3" x14ac:dyDescent="0.3">
      <c r="C34" s="20"/>
    </row>
    <row r="35" spans="3:3" x14ac:dyDescent="0.3">
      <c r="C35" s="20"/>
    </row>
    <row r="36" spans="3:3" x14ac:dyDescent="0.3">
      <c r="C36" s="20"/>
    </row>
    <row r="37" spans="3:3" x14ac:dyDescent="0.3">
      <c r="C37" s="20"/>
    </row>
    <row r="38" spans="3:3" x14ac:dyDescent="0.3">
      <c r="C38" s="20"/>
    </row>
  </sheetData>
  <mergeCells count="3">
    <mergeCell ref="A2:A4"/>
    <mergeCell ref="A5:A6"/>
    <mergeCell ref="A7:A9"/>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M10"/>
  <sheetViews>
    <sheetView topLeftCell="D1" zoomScale="85" zoomScaleNormal="85" workbookViewId="0">
      <pane ySplit="2" topLeftCell="A3" activePane="bottomLeft" state="frozen"/>
      <selection pane="bottomLeft" activeCell="E3" sqref="E3"/>
    </sheetView>
  </sheetViews>
  <sheetFormatPr defaultColWidth="9.21875" defaultRowHeight="14.4" x14ac:dyDescent="0.3"/>
  <cols>
    <col min="1" max="1" width="19.21875" bestFit="1" customWidth="1"/>
    <col min="2" max="2" width="23" bestFit="1" customWidth="1"/>
    <col min="3" max="3" width="14.44140625" bestFit="1" customWidth="1"/>
    <col min="4" max="4" width="28.77734375" bestFit="1" customWidth="1"/>
    <col min="5" max="5" width="23" bestFit="1" customWidth="1"/>
    <col min="6" max="6" width="44.21875" style="106" bestFit="1" customWidth="1"/>
    <col min="7" max="7" width="18.77734375" style="106" bestFit="1" customWidth="1"/>
    <col min="8" max="8" width="14.5546875" bestFit="1" customWidth="1"/>
    <col min="9" max="9" width="13.44140625" bestFit="1" customWidth="1"/>
    <col min="10" max="10" width="15.21875" bestFit="1" customWidth="1"/>
    <col min="11" max="11" width="15" bestFit="1" customWidth="1"/>
    <col min="12" max="13" width="12.21875" bestFit="1" customWidth="1"/>
    <col min="14" max="14" width="22.77734375" bestFit="1" customWidth="1"/>
    <col min="15" max="15" width="14.44140625" bestFit="1" customWidth="1"/>
  </cols>
  <sheetData>
    <row r="1" spans="1:13" s="8" customFormat="1" x14ac:dyDescent="0.3">
      <c r="A1" s="46" t="s">
        <v>323</v>
      </c>
      <c r="B1" s="54" t="s">
        <v>96</v>
      </c>
      <c r="C1" s="46" t="s">
        <v>257</v>
      </c>
      <c r="D1" s="46" t="s">
        <v>93</v>
      </c>
      <c r="E1" s="46" t="s">
        <v>6</v>
      </c>
      <c r="F1" s="117" t="s">
        <v>308</v>
      </c>
      <c r="G1" s="117" t="s">
        <v>226</v>
      </c>
      <c r="H1" s="8" t="s">
        <v>227</v>
      </c>
      <c r="I1" s="46" t="s">
        <v>101</v>
      </c>
      <c r="J1" s="46" t="s">
        <v>105</v>
      </c>
      <c r="K1" s="46" t="s">
        <v>108</v>
      </c>
      <c r="L1" s="46" t="s">
        <v>110</v>
      </c>
      <c r="M1" s="46" t="s">
        <v>113</v>
      </c>
    </row>
    <row r="2" spans="1:13" s="58" customFormat="1" ht="15" thickBot="1" x14ac:dyDescent="0.35">
      <c r="A2" s="113" t="s">
        <v>327</v>
      </c>
      <c r="B2" s="62" t="s">
        <v>95</v>
      </c>
      <c r="C2" s="45" t="s">
        <v>256</v>
      </c>
      <c r="D2" s="45" t="s">
        <v>92</v>
      </c>
      <c r="E2" s="45" t="s">
        <v>98</v>
      </c>
      <c r="F2" s="60" t="s">
        <v>307</v>
      </c>
      <c r="G2" s="60" t="s">
        <v>16</v>
      </c>
      <c r="H2" s="116" t="s">
        <v>243</v>
      </c>
      <c r="I2" s="45" t="s">
        <v>100</v>
      </c>
      <c r="J2" s="45" t="s">
        <v>104</v>
      </c>
      <c r="K2" s="45" t="s">
        <v>107</v>
      </c>
      <c r="L2" s="59" t="s">
        <v>37</v>
      </c>
      <c r="M2" s="45" t="s">
        <v>112</v>
      </c>
    </row>
    <row r="3" spans="1:13" s="9" customFormat="1" x14ac:dyDescent="0.3">
      <c r="A3" s="3">
        <v>1</v>
      </c>
      <c r="B3" t="s">
        <v>329</v>
      </c>
      <c r="C3" s="7" t="s">
        <v>332</v>
      </c>
      <c r="D3" s="7" t="s">
        <v>333</v>
      </c>
      <c r="E3" s="3" t="s">
        <v>328</v>
      </c>
      <c r="F3" s="106" t="s">
        <v>342</v>
      </c>
      <c r="G3" s="106" t="s">
        <v>330</v>
      </c>
      <c r="H3" t="s">
        <v>331</v>
      </c>
      <c r="I3">
        <v>10.45</v>
      </c>
      <c r="J3">
        <v>52.29</v>
      </c>
      <c r="K3" s="8">
        <v>81</v>
      </c>
      <c r="L3" s="88" t="s">
        <v>481</v>
      </c>
      <c r="M3" s="8">
        <v>1</v>
      </c>
    </row>
    <row r="4" spans="1:13" s="9" customFormat="1" x14ac:dyDescent="0.3">
      <c r="A4" s="3">
        <v>2</v>
      </c>
      <c r="B4" t="s">
        <v>329</v>
      </c>
      <c r="C4" s="7" t="s">
        <v>332</v>
      </c>
      <c r="D4" s="7" t="s">
        <v>333</v>
      </c>
      <c r="E4" s="3" t="s">
        <v>328</v>
      </c>
      <c r="F4" s="106" t="s">
        <v>343</v>
      </c>
      <c r="G4" s="106" t="s">
        <v>330</v>
      </c>
      <c r="H4" t="s">
        <v>331</v>
      </c>
      <c r="I4">
        <v>10.45</v>
      </c>
      <c r="J4">
        <v>52.29</v>
      </c>
      <c r="K4" s="8">
        <v>81</v>
      </c>
      <c r="L4" s="88" t="s">
        <v>482</v>
      </c>
      <c r="M4" s="8">
        <v>1</v>
      </c>
    </row>
    <row r="5" spans="1:13" s="9" customFormat="1" x14ac:dyDescent="0.3">
      <c r="A5" s="3">
        <v>3</v>
      </c>
      <c r="B5" t="s">
        <v>329</v>
      </c>
      <c r="C5" s="7" t="s">
        <v>332</v>
      </c>
      <c r="D5" s="7" t="s">
        <v>333</v>
      </c>
      <c r="E5" s="3" t="s">
        <v>328</v>
      </c>
      <c r="F5" s="106" t="s">
        <v>344</v>
      </c>
      <c r="G5" s="106" t="s">
        <v>330</v>
      </c>
      <c r="H5" t="s">
        <v>331</v>
      </c>
      <c r="I5">
        <v>10.45</v>
      </c>
      <c r="J5">
        <v>52.29</v>
      </c>
      <c r="K5" s="8">
        <v>81</v>
      </c>
      <c r="L5" s="88" t="s">
        <v>483</v>
      </c>
      <c r="M5" s="8">
        <v>1</v>
      </c>
    </row>
    <row r="6" spans="1:13" x14ac:dyDescent="0.3">
      <c r="A6" s="3">
        <v>4</v>
      </c>
      <c r="B6" t="s">
        <v>329</v>
      </c>
      <c r="C6" s="7" t="s">
        <v>332</v>
      </c>
      <c r="D6" s="7" t="s">
        <v>333</v>
      </c>
      <c r="E6" s="3" t="s">
        <v>328</v>
      </c>
      <c r="F6" s="106" t="s">
        <v>345</v>
      </c>
      <c r="G6" s="106" t="s">
        <v>330</v>
      </c>
      <c r="H6" t="s">
        <v>331</v>
      </c>
      <c r="I6">
        <v>10.45</v>
      </c>
      <c r="J6">
        <v>52.29</v>
      </c>
      <c r="K6" s="8">
        <v>81</v>
      </c>
      <c r="L6" s="88" t="s">
        <v>484</v>
      </c>
      <c r="M6" s="8">
        <v>1</v>
      </c>
    </row>
    <row r="7" spans="1:13" x14ac:dyDescent="0.3">
      <c r="A7" s="3">
        <v>5</v>
      </c>
      <c r="B7" t="s">
        <v>329</v>
      </c>
      <c r="C7" t="s">
        <v>332</v>
      </c>
      <c r="D7" s="7" t="s">
        <v>333</v>
      </c>
      <c r="E7" s="3" t="s">
        <v>328</v>
      </c>
      <c r="F7" s="106" t="s">
        <v>338</v>
      </c>
      <c r="G7" s="106" t="s">
        <v>330</v>
      </c>
      <c r="H7" t="s">
        <v>331</v>
      </c>
      <c r="I7">
        <v>10.45</v>
      </c>
      <c r="J7">
        <v>52.29</v>
      </c>
      <c r="K7" s="8">
        <v>81</v>
      </c>
      <c r="L7" s="88" t="s">
        <v>481</v>
      </c>
      <c r="M7" s="8">
        <v>1</v>
      </c>
    </row>
    <row r="8" spans="1:13" x14ac:dyDescent="0.3">
      <c r="A8" s="3">
        <v>6</v>
      </c>
      <c r="B8" t="s">
        <v>329</v>
      </c>
      <c r="C8" t="s">
        <v>332</v>
      </c>
      <c r="D8" s="7" t="s">
        <v>333</v>
      </c>
      <c r="E8" s="3" t="s">
        <v>328</v>
      </c>
      <c r="F8" s="106" t="s">
        <v>339</v>
      </c>
      <c r="G8" s="106" t="s">
        <v>330</v>
      </c>
      <c r="H8" t="s">
        <v>331</v>
      </c>
      <c r="I8">
        <v>10.45</v>
      </c>
      <c r="J8">
        <v>52.29</v>
      </c>
      <c r="K8" s="8">
        <v>81</v>
      </c>
      <c r="L8" s="88" t="s">
        <v>482</v>
      </c>
      <c r="M8" s="8">
        <v>1</v>
      </c>
    </row>
    <row r="9" spans="1:13" x14ac:dyDescent="0.3">
      <c r="A9" s="3">
        <v>7</v>
      </c>
      <c r="B9" t="s">
        <v>329</v>
      </c>
      <c r="C9" t="s">
        <v>332</v>
      </c>
      <c r="D9" s="7" t="s">
        <v>333</v>
      </c>
      <c r="E9" s="3" t="s">
        <v>328</v>
      </c>
      <c r="F9" s="106" t="s">
        <v>340</v>
      </c>
      <c r="G9" s="106" t="s">
        <v>330</v>
      </c>
      <c r="H9" t="s">
        <v>331</v>
      </c>
      <c r="I9">
        <v>10.45</v>
      </c>
      <c r="J9">
        <v>52.29</v>
      </c>
      <c r="K9" s="8">
        <v>81</v>
      </c>
      <c r="L9" s="88" t="s">
        <v>483</v>
      </c>
      <c r="M9" s="8">
        <v>1</v>
      </c>
    </row>
    <row r="10" spans="1:13" x14ac:dyDescent="0.3">
      <c r="A10" s="3">
        <v>8</v>
      </c>
      <c r="B10" t="s">
        <v>329</v>
      </c>
      <c r="C10" t="s">
        <v>332</v>
      </c>
      <c r="D10" s="7" t="s">
        <v>333</v>
      </c>
      <c r="E10" s="3" t="s">
        <v>328</v>
      </c>
      <c r="F10" s="106" t="s">
        <v>341</v>
      </c>
      <c r="G10" s="106" t="s">
        <v>330</v>
      </c>
      <c r="H10" t="s">
        <v>331</v>
      </c>
      <c r="I10">
        <v>10.45</v>
      </c>
      <c r="J10">
        <v>52.29</v>
      </c>
      <c r="K10" s="8">
        <v>81</v>
      </c>
      <c r="L10" s="88" t="s">
        <v>484</v>
      </c>
      <c r="M10" s="8">
        <v>1</v>
      </c>
    </row>
  </sheetData>
  <sortState xmlns:xlrd2="http://schemas.microsoft.com/office/spreadsheetml/2017/richdata2" ref="A3:O338">
    <sortCondition ref="A3:A338"/>
  </sortState>
  <pageMargins left="0.7" right="0.7" top="0.75" bottom="0.75" header="0.3" footer="0.3"/>
  <pageSetup paperSize="9"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4" tint="0.39997558519241921"/>
  </sheetPr>
  <dimension ref="A1:P13"/>
  <sheetViews>
    <sheetView zoomScale="70" zoomScaleNormal="70" workbookViewId="0">
      <pane ySplit="2" topLeftCell="A3" activePane="bottomLeft" state="frozen"/>
      <selection pane="bottomLeft" activeCell="C28" sqref="C28"/>
    </sheetView>
  </sheetViews>
  <sheetFormatPr defaultColWidth="9.21875" defaultRowHeight="14.4" x14ac:dyDescent="0.3"/>
  <cols>
    <col min="1" max="1" width="19" style="1" bestFit="1" customWidth="1"/>
    <col min="2" max="2" width="37.77734375" style="7" bestFit="1" customWidth="1"/>
    <col min="3" max="3" width="12.77734375" style="1" bestFit="1" customWidth="1"/>
    <col min="4" max="4" width="25" style="1" bestFit="1" customWidth="1"/>
    <col min="5" max="5" width="18.5546875" style="1" bestFit="1" customWidth="1"/>
    <col min="6" max="6" width="26.21875" style="1" bestFit="1" customWidth="1"/>
    <col min="7" max="7" width="26.77734375" style="1" bestFit="1" customWidth="1"/>
    <col min="8" max="8" width="27.21875" style="1" bestFit="1" customWidth="1"/>
    <col min="9" max="10" width="25.77734375" style="1" customWidth="1"/>
    <col min="11" max="11" width="16.21875" style="1" bestFit="1" customWidth="1"/>
    <col min="12" max="12" width="21.77734375" style="1" bestFit="1" customWidth="1"/>
    <col min="13" max="13" width="24.21875" style="1" bestFit="1" customWidth="1"/>
    <col min="14" max="14" width="22.77734375" style="24" bestFit="1" customWidth="1"/>
    <col min="15" max="15" width="24.77734375" style="1" customWidth="1"/>
    <col min="16" max="16" width="18.77734375" style="1" bestFit="1" customWidth="1"/>
    <col min="17" max="16384" width="9.21875" style="1"/>
  </cols>
  <sheetData>
    <row r="1" spans="1:16" x14ac:dyDescent="0.3">
      <c r="A1" s="46" t="s">
        <v>323</v>
      </c>
      <c r="B1" s="46" t="s">
        <v>271</v>
      </c>
      <c r="C1" s="54" t="s">
        <v>261</v>
      </c>
      <c r="D1" s="54" t="s">
        <v>262</v>
      </c>
      <c r="E1" s="46" t="s">
        <v>197</v>
      </c>
      <c r="F1" s="46" t="s">
        <v>295</v>
      </c>
      <c r="G1" s="46" t="s">
        <v>218</v>
      </c>
      <c r="H1" s="46" t="s">
        <v>219</v>
      </c>
      <c r="I1" s="46" t="s">
        <v>267</v>
      </c>
      <c r="J1" s="46" t="s">
        <v>268</v>
      </c>
      <c r="K1" s="46" t="s">
        <v>220</v>
      </c>
      <c r="L1" s="46" t="s">
        <v>221</v>
      </c>
      <c r="M1" s="46" t="s">
        <v>222</v>
      </c>
      <c r="N1" s="46" t="s">
        <v>217</v>
      </c>
      <c r="O1" s="54" t="s">
        <v>289</v>
      </c>
      <c r="P1" s="54" t="s">
        <v>291</v>
      </c>
    </row>
    <row r="2" spans="1:16" s="7" customFormat="1" ht="15" thickBot="1" x14ac:dyDescent="0.35">
      <c r="A2" s="113" t="s">
        <v>327</v>
      </c>
      <c r="B2" s="87" t="s">
        <v>272</v>
      </c>
      <c r="C2" s="49" t="s">
        <v>259</v>
      </c>
      <c r="D2" s="49" t="s">
        <v>260</v>
      </c>
      <c r="E2" s="62" t="s">
        <v>198</v>
      </c>
      <c r="F2" s="62" t="s">
        <v>294</v>
      </c>
      <c r="G2" s="49" t="s">
        <v>238</v>
      </c>
      <c r="H2" s="49" t="s">
        <v>239</v>
      </c>
      <c r="I2" s="49" t="s">
        <v>265</v>
      </c>
      <c r="J2" s="49" t="s">
        <v>266</v>
      </c>
      <c r="K2" s="49" t="s">
        <v>240</v>
      </c>
      <c r="L2" s="61" t="s">
        <v>241</v>
      </c>
      <c r="M2" s="49" t="s">
        <v>242</v>
      </c>
      <c r="N2" s="60" t="s">
        <v>237</v>
      </c>
      <c r="O2" s="49" t="s">
        <v>288</v>
      </c>
      <c r="P2" s="49" t="s">
        <v>290</v>
      </c>
    </row>
    <row r="3" spans="1:16" x14ac:dyDescent="0.3">
      <c r="A3" s="1">
        <v>1</v>
      </c>
      <c r="B3" s="2">
        <f>Plantings!B3-30</f>
        <v>39172</v>
      </c>
      <c r="C3" s="2">
        <v>39188</v>
      </c>
      <c r="D3" s="1">
        <v>25</v>
      </c>
      <c r="E3" s="1" t="s">
        <v>314</v>
      </c>
      <c r="F3" s="2"/>
      <c r="G3" s="1" t="s">
        <v>334</v>
      </c>
      <c r="H3" s="1">
        <v>250</v>
      </c>
      <c r="J3" s="1">
        <v>30</v>
      </c>
      <c r="K3" s="12"/>
      <c r="L3" s="1">
        <v>100</v>
      </c>
      <c r="M3" s="1">
        <v>25</v>
      </c>
      <c r="N3" s="2"/>
      <c r="O3" s="1">
        <v>70</v>
      </c>
      <c r="P3" s="1">
        <v>40</v>
      </c>
    </row>
    <row r="4" spans="1:16" x14ac:dyDescent="0.3">
      <c r="A4" s="1">
        <v>2</v>
      </c>
      <c r="B4" s="2">
        <f>Plantings!B4-30</f>
        <v>39172</v>
      </c>
      <c r="C4" s="2">
        <v>39188</v>
      </c>
      <c r="D4" s="1">
        <v>25</v>
      </c>
      <c r="E4" s="1" t="s">
        <v>314</v>
      </c>
      <c r="F4" s="2"/>
      <c r="G4" s="1" t="s">
        <v>334</v>
      </c>
      <c r="H4" s="1">
        <v>250</v>
      </c>
      <c r="J4" s="1">
        <v>30</v>
      </c>
      <c r="L4" s="1">
        <v>100</v>
      </c>
      <c r="M4" s="1">
        <v>25</v>
      </c>
      <c r="N4" s="2"/>
      <c r="O4" s="1">
        <v>70</v>
      </c>
      <c r="P4" s="1">
        <v>40</v>
      </c>
    </row>
    <row r="5" spans="1:16" x14ac:dyDescent="0.3">
      <c r="A5" s="7">
        <v>3</v>
      </c>
      <c r="B5" s="2">
        <f>Plantings!B5-30</f>
        <v>39172</v>
      </c>
      <c r="C5" s="2">
        <v>39188</v>
      </c>
      <c r="D5" s="1">
        <v>25</v>
      </c>
      <c r="E5" s="1" t="s">
        <v>314</v>
      </c>
      <c r="F5" s="2"/>
      <c r="G5" s="1" t="s">
        <v>334</v>
      </c>
      <c r="H5" s="1">
        <v>250</v>
      </c>
      <c r="J5" s="1">
        <v>30</v>
      </c>
      <c r="K5" s="13"/>
      <c r="L5" s="1">
        <v>100</v>
      </c>
      <c r="M5" s="1">
        <v>25</v>
      </c>
      <c r="N5" s="2"/>
      <c r="O5" s="1">
        <v>70</v>
      </c>
      <c r="P5" s="1">
        <v>40</v>
      </c>
    </row>
    <row r="6" spans="1:16" x14ac:dyDescent="0.3">
      <c r="A6" s="7">
        <v>4</v>
      </c>
      <c r="B6" s="2">
        <f>Plantings!B6-30</f>
        <v>39172</v>
      </c>
      <c r="C6" s="2">
        <v>39188</v>
      </c>
      <c r="D6" s="1">
        <v>25</v>
      </c>
      <c r="E6" s="1" t="s">
        <v>314</v>
      </c>
      <c r="F6" s="2"/>
      <c r="G6" s="1" t="s">
        <v>334</v>
      </c>
      <c r="H6" s="1">
        <v>250</v>
      </c>
      <c r="J6" s="1">
        <v>30</v>
      </c>
      <c r="L6" s="1">
        <v>100</v>
      </c>
      <c r="M6" s="1">
        <v>25</v>
      </c>
      <c r="N6" s="2"/>
      <c r="O6" s="1">
        <v>70</v>
      </c>
      <c r="P6" s="1">
        <v>40</v>
      </c>
    </row>
    <row r="7" spans="1:16" x14ac:dyDescent="0.3">
      <c r="A7" s="1">
        <v>5</v>
      </c>
      <c r="B7" s="2">
        <f>Plantings!B7-30</f>
        <v>39547</v>
      </c>
      <c r="C7" s="2">
        <v>39565</v>
      </c>
      <c r="D7" s="10">
        <v>25</v>
      </c>
      <c r="E7" s="1" t="s">
        <v>314</v>
      </c>
      <c r="F7" s="2"/>
      <c r="G7" s="10" t="s">
        <v>330</v>
      </c>
      <c r="H7" s="1">
        <v>150</v>
      </c>
      <c r="J7" s="1">
        <v>100</v>
      </c>
      <c r="K7" s="13"/>
      <c r="L7" s="1">
        <v>100</v>
      </c>
      <c r="M7" s="1">
        <v>25</v>
      </c>
      <c r="N7" s="2"/>
      <c r="O7" s="1">
        <v>70</v>
      </c>
      <c r="P7" s="1">
        <v>40</v>
      </c>
    </row>
    <row r="8" spans="1:16" x14ac:dyDescent="0.3">
      <c r="A8" s="1">
        <v>6</v>
      </c>
      <c r="B8" s="2">
        <f>Plantings!B8-30</f>
        <v>39547</v>
      </c>
      <c r="C8" s="2">
        <v>39565</v>
      </c>
      <c r="D8" s="10">
        <v>25</v>
      </c>
      <c r="E8" s="1" t="s">
        <v>314</v>
      </c>
      <c r="F8" s="2"/>
      <c r="G8" s="10" t="s">
        <v>330</v>
      </c>
      <c r="H8" s="1">
        <v>150</v>
      </c>
      <c r="J8" s="1">
        <v>100</v>
      </c>
      <c r="L8" s="1">
        <v>100</v>
      </c>
      <c r="M8" s="1">
        <v>25</v>
      </c>
      <c r="N8" s="2"/>
      <c r="O8" s="1">
        <v>70</v>
      </c>
      <c r="P8" s="1">
        <v>40</v>
      </c>
    </row>
    <row r="9" spans="1:16" x14ac:dyDescent="0.3">
      <c r="A9" s="7">
        <v>7</v>
      </c>
      <c r="B9" s="2">
        <f>Plantings!B9-30</f>
        <v>39547</v>
      </c>
      <c r="C9" s="2">
        <v>39565</v>
      </c>
      <c r="D9" s="10">
        <v>25</v>
      </c>
      <c r="E9" s="1" t="s">
        <v>314</v>
      </c>
      <c r="F9" s="2"/>
      <c r="G9" s="10" t="s">
        <v>330</v>
      </c>
      <c r="H9" s="1">
        <v>150</v>
      </c>
      <c r="J9" s="1">
        <v>100</v>
      </c>
      <c r="L9" s="1">
        <v>100</v>
      </c>
      <c r="M9" s="1">
        <v>25</v>
      </c>
      <c r="N9" s="2"/>
      <c r="O9" s="1">
        <v>70</v>
      </c>
      <c r="P9" s="1">
        <v>40</v>
      </c>
    </row>
    <row r="10" spans="1:16" x14ac:dyDescent="0.3">
      <c r="A10" s="7">
        <v>8</v>
      </c>
      <c r="B10" s="2">
        <f>Plantings!B10-30</f>
        <v>39547</v>
      </c>
      <c r="C10" s="2">
        <v>39565</v>
      </c>
      <c r="D10" s="10">
        <v>25</v>
      </c>
      <c r="E10" s="1" t="s">
        <v>314</v>
      </c>
      <c r="F10" s="2"/>
      <c r="G10" s="10" t="s">
        <v>330</v>
      </c>
      <c r="H10" s="1">
        <v>150</v>
      </c>
      <c r="J10" s="1">
        <v>100</v>
      </c>
      <c r="L10" s="1">
        <v>100</v>
      </c>
      <c r="M10" s="1">
        <v>25</v>
      </c>
      <c r="N10" s="2"/>
      <c r="O10" s="1">
        <v>70</v>
      </c>
      <c r="P10" s="1">
        <v>40</v>
      </c>
    </row>
    <row r="13" spans="1:16" x14ac:dyDescent="0.3">
      <c r="B13" s="144"/>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4"/>
  </sheetPr>
  <dimension ref="A1:H224"/>
  <sheetViews>
    <sheetView topLeftCell="B1" workbookViewId="0">
      <selection activeCell="B3" sqref="B3"/>
    </sheetView>
  </sheetViews>
  <sheetFormatPr defaultColWidth="9.21875" defaultRowHeight="14.4" x14ac:dyDescent="0.3"/>
  <cols>
    <col min="1" max="1" width="19" style="7" bestFit="1" customWidth="1"/>
    <col min="2" max="2" width="21.5546875" style="24" bestFit="1" customWidth="1"/>
    <col min="3" max="3" width="20.21875" style="7" bestFit="1" customWidth="1"/>
    <col min="4" max="4" width="22" style="7" bestFit="1" customWidth="1"/>
    <col min="5" max="5" width="23.21875" style="7" bestFit="1" customWidth="1"/>
    <col min="6" max="6" width="23" style="7" bestFit="1" customWidth="1"/>
    <col min="7" max="7" width="23.21875" style="7" bestFit="1" customWidth="1"/>
    <col min="8" max="16384" width="9.21875" style="7"/>
  </cols>
  <sheetData>
    <row r="1" spans="1:8" x14ac:dyDescent="0.3">
      <c r="A1" s="46" t="s">
        <v>323</v>
      </c>
      <c r="B1" s="46" t="s">
        <v>217</v>
      </c>
      <c r="C1" s="54" t="s">
        <v>200</v>
      </c>
      <c r="D1" s="54" t="s">
        <v>166</v>
      </c>
      <c r="E1" s="54" t="s">
        <v>315</v>
      </c>
      <c r="F1" s="54" t="s">
        <v>316</v>
      </c>
      <c r="G1" s="54" t="s">
        <v>317</v>
      </c>
      <c r="H1" s="122"/>
    </row>
    <row r="2" spans="1:8" ht="15" thickBot="1" x14ac:dyDescent="0.35">
      <c r="A2" s="113" t="s">
        <v>327</v>
      </c>
      <c r="B2" s="60" t="s">
        <v>237</v>
      </c>
      <c r="C2" s="123" t="s">
        <v>318</v>
      </c>
      <c r="D2" s="60" t="s">
        <v>319</v>
      </c>
      <c r="E2" s="49" t="s">
        <v>320</v>
      </c>
      <c r="F2" s="62" t="s">
        <v>321</v>
      </c>
      <c r="G2" s="62" t="s">
        <v>322</v>
      </c>
      <c r="H2" s="122"/>
    </row>
    <row r="3" spans="1:8" x14ac:dyDescent="0.3">
      <c r="A3" s="1">
        <v>1</v>
      </c>
      <c r="C3" s="10">
        <v>0</v>
      </c>
      <c r="D3" s="10">
        <v>20</v>
      </c>
      <c r="E3" s="4">
        <v>0.19</v>
      </c>
      <c r="F3" s="10"/>
      <c r="G3" s="122"/>
    </row>
    <row r="4" spans="1:8" x14ac:dyDescent="0.3">
      <c r="A4" s="1">
        <v>1</v>
      </c>
      <c r="C4" s="10">
        <v>20</v>
      </c>
      <c r="D4" s="10">
        <v>40</v>
      </c>
      <c r="E4" s="4">
        <v>0.24</v>
      </c>
      <c r="F4" s="10"/>
      <c r="G4" s="122"/>
    </row>
    <row r="5" spans="1:8" x14ac:dyDescent="0.3">
      <c r="A5" s="84">
        <v>1</v>
      </c>
      <c r="B5" s="114"/>
      <c r="C5" s="138">
        <v>40</v>
      </c>
      <c r="D5" s="138">
        <v>60</v>
      </c>
      <c r="E5" s="100">
        <v>0.17</v>
      </c>
      <c r="F5" s="138"/>
      <c r="G5" s="139"/>
    </row>
    <row r="6" spans="1:8" x14ac:dyDescent="0.3">
      <c r="A6" s="1">
        <v>2</v>
      </c>
      <c r="C6" s="10">
        <v>0</v>
      </c>
      <c r="D6" s="10">
        <v>20</v>
      </c>
      <c r="E6" s="4">
        <v>0.19</v>
      </c>
      <c r="F6" s="10"/>
      <c r="G6" s="122"/>
    </row>
    <row r="7" spans="1:8" x14ac:dyDescent="0.3">
      <c r="A7" s="1">
        <v>2</v>
      </c>
      <c r="C7" s="10">
        <v>20</v>
      </c>
      <c r="D7" s="10">
        <v>40</v>
      </c>
      <c r="E7" s="4">
        <v>0.24</v>
      </c>
      <c r="F7" s="10"/>
      <c r="G7" s="122"/>
    </row>
    <row r="8" spans="1:8" x14ac:dyDescent="0.3">
      <c r="A8" s="84">
        <v>2</v>
      </c>
      <c r="B8" s="114"/>
      <c r="C8" s="138">
        <v>40</v>
      </c>
      <c r="D8" s="138">
        <v>60</v>
      </c>
      <c r="E8" s="100">
        <v>0.17</v>
      </c>
      <c r="F8" s="138"/>
      <c r="G8" s="139"/>
    </row>
    <row r="9" spans="1:8" x14ac:dyDescent="0.3">
      <c r="A9" s="1">
        <v>3</v>
      </c>
      <c r="C9" s="10">
        <v>0</v>
      </c>
      <c r="D9" s="10">
        <v>20</v>
      </c>
      <c r="E9" s="4">
        <v>0.19</v>
      </c>
      <c r="F9" s="10"/>
      <c r="G9" s="122"/>
    </row>
    <row r="10" spans="1:8" x14ac:dyDescent="0.3">
      <c r="A10" s="1">
        <v>3</v>
      </c>
      <c r="C10" s="10">
        <v>20</v>
      </c>
      <c r="D10" s="10">
        <v>40</v>
      </c>
      <c r="E10" s="4">
        <v>0.24</v>
      </c>
      <c r="F10" s="10"/>
      <c r="G10" s="122"/>
    </row>
    <row r="11" spans="1:8" x14ac:dyDescent="0.3">
      <c r="A11" s="84">
        <v>3</v>
      </c>
      <c r="B11" s="114"/>
      <c r="C11" s="138">
        <v>40</v>
      </c>
      <c r="D11" s="138">
        <v>60</v>
      </c>
      <c r="E11" s="100">
        <v>0.17</v>
      </c>
      <c r="F11" s="138"/>
      <c r="G11" s="139"/>
    </row>
    <row r="12" spans="1:8" x14ac:dyDescent="0.3">
      <c r="A12" s="1">
        <v>4</v>
      </c>
      <c r="C12" s="10">
        <v>0</v>
      </c>
      <c r="D12" s="10">
        <v>20</v>
      </c>
      <c r="E12" s="4">
        <v>0.19</v>
      </c>
      <c r="F12" s="10"/>
      <c r="G12" s="122"/>
    </row>
    <row r="13" spans="1:8" x14ac:dyDescent="0.3">
      <c r="A13" s="1">
        <v>4</v>
      </c>
      <c r="C13" s="10">
        <v>20</v>
      </c>
      <c r="D13" s="10">
        <v>40</v>
      </c>
      <c r="E13" s="4">
        <v>0.24</v>
      </c>
      <c r="F13" s="10"/>
      <c r="G13" s="122"/>
    </row>
    <row r="14" spans="1:8" x14ac:dyDescent="0.3">
      <c r="A14" s="84">
        <v>4</v>
      </c>
      <c r="B14" s="114"/>
      <c r="C14" s="138">
        <v>40</v>
      </c>
      <c r="D14" s="138">
        <v>60</v>
      </c>
      <c r="E14" s="100">
        <v>0.17</v>
      </c>
      <c r="F14" s="138"/>
      <c r="G14" s="139"/>
    </row>
    <row r="15" spans="1:8" x14ac:dyDescent="0.3">
      <c r="A15" s="1">
        <v>5</v>
      </c>
      <c r="C15" s="10">
        <v>0</v>
      </c>
      <c r="D15" s="10">
        <v>20</v>
      </c>
      <c r="E15" s="4">
        <v>0.19</v>
      </c>
      <c r="F15" s="10"/>
      <c r="G15" s="122"/>
    </row>
    <row r="16" spans="1:8" x14ac:dyDescent="0.3">
      <c r="A16" s="1">
        <v>5</v>
      </c>
      <c r="C16" s="10">
        <v>20</v>
      </c>
      <c r="D16" s="10">
        <v>40</v>
      </c>
      <c r="E16" s="4">
        <v>0.24</v>
      </c>
      <c r="F16" s="10"/>
      <c r="G16" s="122"/>
    </row>
    <row r="17" spans="1:8" x14ac:dyDescent="0.3">
      <c r="A17" s="84">
        <v>5</v>
      </c>
      <c r="B17" s="114"/>
      <c r="C17" s="138">
        <v>40</v>
      </c>
      <c r="D17" s="138">
        <v>60</v>
      </c>
      <c r="E17" s="100">
        <v>0.17</v>
      </c>
      <c r="F17" s="138"/>
      <c r="G17" s="139"/>
    </row>
    <row r="18" spans="1:8" x14ac:dyDescent="0.3">
      <c r="A18" s="1">
        <v>6</v>
      </c>
      <c r="C18" s="10">
        <v>0</v>
      </c>
      <c r="D18" s="10">
        <v>20</v>
      </c>
      <c r="E18" s="4">
        <v>0.19</v>
      </c>
      <c r="F18" s="10"/>
      <c r="G18" s="122"/>
    </row>
    <row r="19" spans="1:8" x14ac:dyDescent="0.3">
      <c r="A19" s="1">
        <v>6</v>
      </c>
      <c r="C19" s="10">
        <v>20</v>
      </c>
      <c r="D19" s="10">
        <v>40</v>
      </c>
      <c r="E19" s="4">
        <v>0.24</v>
      </c>
      <c r="F19" s="10"/>
      <c r="G19" s="122"/>
    </row>
    <row r="20" spans="1:8" x14ac:dyDescent="0.3">
      <c r="A20" s="84">
        <v>6</v>
      </c>
      <c r="B20" s="114"/>
      <c r="C20" s="138">
        <v>40</v>
      </c>
      <c r="D20" s="138">
        <v>60</v>
      </c>
      <c r="E20" s="100">
        <v>0.17</v>
      </c>
      <c r="F20" s="138"/>
      <c r="G20" s="139"/>
    </row>
    <row r="21" spans="1:8" x14ac:dyDescent="0.3">
      <c r="A21" s="1">
        <v>7</v>
      </c>
      <c r="C21" s="10">
        <v>0</v>
      </c>
      <c r="D21" s="10">
        <v>20</v>
      </c>
      <c r="E21" s="4">
        <v>0.19</v>
      </c>
      <c r="F21" s="10"/>
      <c r="G21" s="122"/>
    </row>
    <row r="22" spans="1:8" x14ac:dyDescent="0.3">
      <c r="A22" s="1">
        <v>7</v>
      </c>
      <c r="C22" s="10">
        <v>20</v>
      </c>
      <c r="D22" s="10">
        <v>40</v>
      </c>
      <c r="E22" s="4">
        <v>0.24</v>
      </c>
      <c r="F22" s="10"/>
      <c r="G22" s="122"/>
    </row>
    <row r="23" spans="1:8" x14ac:dyDescent="0.3">
      <c r="A23" s="84">
        <v>7</v>
      </c>
      <c r="B23" s="114"/>
      <c r="C23" s="138">
        <v>40</v>
      </c>
      <c r="D23" s="138">
        <v>60</v>
      </c>
      <c r="E23" s="100">
        <v>0.17</v>
      </c>
      <c r="F23" s="138"/>
      <c r="G23" s="139"/>
    </row>
    <row r="24" spans="1:8" x14ac:dyDescent="0.3">
      <c r="A24" s="1">
        <v>8</v>
      </c>
      <c r="C24" s="10">
        <v>0</v>
      </c>
      <c r="D24" s="10">
        <v>20</v>
      </c>
      <c r="E24" s="4">
        <v>0.19</v>
      </c>
      <c r="F24" s="10"/>
      <c r="G24" s="122"/>
    </row>
    <row r="25" spans="1:8" x14ac:dyDescent="0.3">
      <c r="A25" s="1">
        <v>8</v>
      </c>
      <c r="C25" s="10">
        <v>20</v>
      </c>
      <c r="D25" s="10">
        <v>40</v>
      </c>
      <c r="E25" s="4">
        <v>0.24</v>
      </c>
      <c r="F25" s="10"/>
      <c r="G25" s="122"/>
    </row>
    <row r="26" spans="1:8" x14ac:dyDescent="0.3">
      <c r="A26" s="84">
        <v>8</v>
      </c>
      <c r="B26" s="114"/>
      <c r="C26" s="138">
        <v>40</v>
      </c>
      <c r="D26" s="138">
        <v>60</v>
      </c>
      <c r="E26" s="100">
        <v>0.17</v>
      </c>
      <c r="F26" s="138"/>
      <c r="G26" s="139"/>
    </row>
    <row r="27" spans="1:8" x14ac:dyDescent="0.3">
      <c r="C27" s="10"/>
      <c r="D27" s="10"/>
      <c r="E27" s="10"/>
      <c r="F27" s="10"/>
      <c r="G27" s="10"/>
      <c r="H27" s="122"/>
    </row>
    <row r="28" spans="1:8" x14ac:dyDescent="0.3">
      <c r="C28" s="10"/>
      <c r="D28" s="10"/>
      <c r="E28" s="10"/>
      <c r="F28" s="10"/>
      <c r="G28" s="10"/>
      <c r="H28" s="122"/>
    </row>
    <row r="29" spans="1:8" x14ac:dyDescent="0.3">
      <c r="B29" s="124"/>
      <c r="C29" s="10"/>
      <c r="D29" s="10"/>
      <c r="E29" s="10"/>
      <c r="F29" s="10"/>
      <c r="G29" s="10"/>
      <c r="H29" s="122"/>
    </row>
    <row r="30" spans="1:8" x14ac:dyDescent="0.3">
      <c r="C30" s="10"/>
      <c r="D30" s="10"/>
      <c r="E30" s="10"/>
      <c r="F30" s="10"/>
      <c r="G30" s="10"/>
      <c r="H30" s="122"/>
    </row>
    <row r="31" spans="1:8" x14ac:dyDescent="0.3">
      <c r="C31" s="10"/>
      <c r="D31" s="10"/>
      <c r="E31" s="10"/>
      <c r="F31" s="10"/>
      <c r="G31" s="10"/>
      <c r="H31" s="122"/>
    </row>
    <row r="32" spans="1:8" x14ac:dyDescent="0.3">
      <c r="C32" s="10"/>
      <c r="D32" s="10"/>
      <c r="E32" s="10"/>
      <c r="F32" s="10"/>
      <c r="G32" s="10"/>
      <c r="H32" s="122"/>
    </row>
    <row r="33" spans="3:8" x14ac:dyDescent="0.3">
      <c r="C33" s="10"/>
      <c r="D33" s="10"/>
      <c r="E33" s="10"/>
      <c r="F33" s="10"/>
      <c r="G33" s="10"/>
      <c r="H33" s="122"/>
    </row>
    <row r="34" spans="3:8" x14ac:dyDescent="0.3">
      <c r="C34" s="10"/>
      <c r="D34" s="10"/>
      <c r="E34" s="10"/>
      <c r="F34" s="10"/>
      <c r="G34" s="10"/>
      <c r="H34" s="122"/>
    </row>
    <row r="35" spans="3:8" x14ac:dyDescent="0.3">
      <c r="C35" s="10"/>
      <c r="D35" s="10"/>
      <c r="E35" s="10"/>
      <c r="F35" s="10"/>
      <c r="G35" s="10"/>
      <c r="H35" s="122"/>
    </row>
    <row r="36" spans="3:8" x14ac:dyDescent="0.3">
      <c r="C36" s="10"/>
      <c r="D36" s="10"/>
      <c r="E36" s="10"/>
      <c r="F36" s="10"/>
      <c r="G36" s="10"/>
      <c r="H36" s="122"/>
    </row>
    <row r="37" spans="3:8" x14ac:dyDescent="0.3">
      <c r="C37" s="10"/>
      <c r="D37" s="10"/>
      <c r="E37" s="10"/>
      <c r="F37" s="10"/>
      <c r="G37" s="10"/>
      <c r="H37" s="122"/>
    </row>
    <row r="38" spans="3:8" x14ac:dyDescent="0.3">
      <c r="C38" s="10"/>
      <c r="D38" s="10"/>
      <c r="E38" s="10"/>
      <c r="F38" s="10"/>
      <c r="G38" s="10"/>
      <c r="H38" s="122"/>
    </row>
    <row r="39" spans="3:8" x14ac:dyDescent="0.3">
      <c r="C39" s="10"/>
      <c r="D39" s="10"/>
      <c r="E39" s="10"/>
      <c r="F39" s="10"/>
      <c r="G39" s="10"/>
      <c r="H39" s="122"/>
    </row>
    <row r="40" spans="3:8" x14ac:dyDescent="0.3">
      <c r="C40" s="10"/>
      <c r="D40" s="10"/>
      <c r="E40" s="10"/>
      <c r="F40" s="10"/>
      <c r="G40" s="10"/>
      <c r="H40" s="122"/>
    </row>
    <row r="41" spans="3:8" x14ac:dyDescent="0.3">
      <c r="C41" s="10"/>
      <c r="D41" s="10"/>
      <c r="E41" s="10"/>
      <c r="F41" s="10"/>
      <c r="G41" s="10"/>
      <c r="H41" s="122"/>
    </row>
    <row r="42" spans="3:8" x14ac:dyDescent="0.3">
      <c r="C42" s="10"/>
      <c r="D42" s="10"/>
      <c r="E42" s="10"/>
      <c r="F42" s="10"/>
      <c r="G42" s="10"/>
      <c r="H42" s="122"/>
    </row>
    <row r="43" spans="3:8" x14ac:dyDescent="0.3">
      <c r="C43" s="10"/>
      <c r="D43" s="10"/>
      <c r="E43" s="10"/>
      <c r="F43" s="10"/>
      <c r="G43" s="10"/>
      <c r="H43" s="122"/>
    </row>
    <row r="44" spans="3:8" x14ac:dyDescent="0.3">
      <c r="C44" s="10"/>
      <c r="D44" s="10"/>
      <c r="E44" s="10"/>
      <c r="F44" s="10"/>
      <c r="G44" s="10"/>
      <c r="H44" s="122"/>
    </row>
    <row r="45" spans="3:8" x14ac:dyDescent="0.3">
      <c r="C45" s="10"/>
      <c r="D45" s="10"/>
      <c r="E45" s="10"/>
      <c r="F45" s="10"/>
      <c r="G45" s="10"/>
      <c r="H45" s="122"/>
    </row>
    <row r="46" spans="3:8" x14ac:dyDescent="0.3">
      <c r="C46" s="10"/>
      <c r="D46" s="10"/>
      <c r="E46" s="10"/>
      <c r="F46" s="10"/>
      <c r="G46" s="10"/>
      <c r="H46" s="122"/>
    </row>
    <row r="47" spans="3:8" x14ac:dyDescent="0.3">
      <c r="C47" s="10"/>
      <c r="D47" s="10"/>
      <c r="E47" s="10"/>
      <c r="F47" s="10"/>
      <c r="G47" s="10"/>
      <c r="H47" s="122"/>
    </row>
    <row r="48" spans="3:8" x14ac:dyDescent="0.3">
      <c r="C48" s="10"/>
      <c r="D48" s="10"/>
      <c r="E48" s="10"/>
      <c r="F48" s="10"/>
      <c r="G48" s="10"/>
      <c r="H48" s="122"/>
    </row>
    <row r="49" spans="3:8" x14ac:dyDescent="0.3">
      <c r="C49" s="10"/>
      <c r="D49" s="10"/>
      <c r="E49" s="10"/>
      <c r="F49" s="10"/>
      <c r="G49" s="10"/>
      <c r="H49" s="122"/>
    </row>
    <row r="50" spans="3:8" x14ac:dyDescent="0.3">
      <c r="C50" s="10"/>
      <c r="D50" s="10"/>
      <c r="E50" s="10"/>
      <c r="F50" s="10"/>
      <c r="G50" s="10"/>
      <c r="H50" s="122"/>
    </row>
    <row r="51" spans="3:8" x14ac:dyDescent="0.3">
      <c r="C51" s="10"/>
      <c r="D51" s="10"/>
      <c r="E51" s="10"/>
      <c r="F51" s="10"/>
      <c r="G51" s="10"/>
      <c r="H51" s="122"/>
    </row>
    <row r="52" spans="3:8" x14ac:dyDescent="0.3">
      <c r="C52" s="10"/>
      <c r="D52" s="10"/>
      <c r="E52" s="10"/>
      <c r="F52" s="10"/>
      <c r="G52" s="10"/>
      <c r="H52" s="122"/>
    </row>
    <row r="53" spans="3:8" x14ac:dyDescent="0.3">
      <c r="C53" s="10"/>
      <c r="D53" s="10"/>
      <c r="E53" s="10"/>
      <c r="F53" s="10"/>
      <c r="G53" s="10"/>
      <c r="H53" s="122"/>
    </row>
    <row r="54" spans="3:8" x14ac:dyDescent="0.3">
      <c r="C54" s="10"/>
      <c r="D54" s="10"/>
      <c r="E54" s="10"/>
      <c r="F54" s="10"/>
      <c r="G54" s="10"/>
      <c r="H54" s="122"/>
    </row>
    <row r="55" spans="3:8" x14ac:dyDescent="0.3">
      <c r="C55" s="10"/>
      <c r="D55" s="10"/>
      <c r="E55" s="10"/>
      <c r="F55" s="10"/>
      <c r="G55" s="10"/>
      <c r="H55" s="122"/>
    </row>
    <row r="56" spans="3:8" x14ac:dyDescent="0.3">
      <c r="C56" s="10"/>
      <c r="D56" s="10"/>
      <c r="E56" s="10"/>
      <c r="F56" s="10"/>
      <c r="G56" s="10"/>
      <c r="H56" s="122"/>
    </row>
    <row r="57" spans="3:8" x14ac:dyDescent="0.3">
      <c r="C57" s="10"/>
      <c r="D57" s="10"/>
      <c r="E57" s="10"/>
      <c r="F57" s="10"/>
      <c r="G57" s="10"/>
      <c r="H57" s="122"/>
    </row>
    <row r="58" spans="3:8" x14ac:dyDescent="0.3">
      <c r="C58" s="10"/>
      <c r="D58" s="10"/>
      <c r="E58" s="10"/>
      <c r="F58" s="10"/>
      <c r="G58" s="10"/>
      <c r="H58" s="122"/>
    </row>
    <row r="59" spans="3:8" x14ac:dyDescent="0.3">
      <c r="C59" s="10"/>
      <c r="D59" s="10"/>
      <c r="E59" s="10"/>
      <c r="F59" s="10"/>
      <c r="G59" s="10"/>
      <c r="H59" s="122"/>
    </row>
    <row r="60" spans="3:8" x14ac:dyDescent="0.3">
      <c r="C60" s="10"/>
      <c r="D60" s="10"/>
      <c r="E60" s="10"/>
      <c r="F60" s="10"/>
      <c r="G60" s="10"/>
      <c r="H60" s="122"/>
    </row>
    <row r="61" spans="3:8" x14ac:dyDescent="0.3">
      <c r="C61" s="10"/>
      <c r="D61" s="10"/>
      <c r="E61" s="10"/>
      <c r="F61" s="10"/>
      <c r="G61" s="10"/>
      <c r="H61" s="122"/>
    </row>
    <row r="62" spans="3:8" x14ac:dyDescent="0.3">
      <c r="C62" s="10"/>
      <c r="D62" s="10"/>
      <c r="E62" s="10"/>
      <c r="F62" s="10"/>
      <c r="G62" s="10"/>
      <c r="H62" s="122"/>
    </row>
    <row r="63" spans="3:8" x14ac:dyDescent="0.3">
      <c r="C63" s="10"/>
      <c r="D63" s="10"/>
      <c r="E63" s="10"/>
      <c r="F63" s="10"/>
      <c r="G63" s="10"/>
      <c r="H63" s="122"/>
    </row>
    <row r="64" spans="3:8" x14ac:dyDescent="0.3">
      <c r="C64" s="10"/>
      <c r="D64" s="10"/>
      <c r="E64" s="10"/>
      <c r="F64" s="10"/>
      <c r="G64" s="10"/>
      <c r="H64" s="122"/>
    </row>
    <row r="65" spans="3:8" x14ac:dyDescent="0.3">
      <c r="C65" s="10"/>
      <c r="D65" s="10"/>
      <c r="E65" s="10"/>
      <c r="F65" s="10"/>
      <c r="G65" s="10"/>
      <c r="H65" s="122"/>
    </row>
    <row r="66" spans="3:8" x14ac:dyDescent="0.3">
      <c r="C66" s="10"/>
      <c r="D66" s="10"/>
      <c r="E66" s="10"/>
      <c r="F66" s="10"/>
      <c r="G66" s="10"/>
      <c r="H66" s="122"/>
    </row>
    <row r="67" spans="3:8" x14ac:dyDescent="0.3">
      <c r="C67" s="10"/>
      <c r="D67" s="10"/>
      <c r="E67" s="10"/>
      <c r="F67" s="10"/>
      <c r="G67" s="10"/>
      <c r="H67" s="122"/>
    </row>
    <row r="68" spans="3:8" x14ac:dyDescent="0.3">
      <c r="C68" s="10"/>
      <c r="D68" s="10"/>
      <c r="E68" s="10"/>
      <c r="F68" s="10"/>
      <c r="G68" s="10"/>
      <c r="H68" s="122"/>
    </row>
    <row r="69" spans="3:8" x14ac:dyDescent="0.3">
      <c r="C69" s="10"/>
      <c r="D69" s="10"/>
      <c r="E69" s="10"/>
      <c r="F69" s="10"/>
      <c r="G69" s="10"/>
      <c r="H69" s="122"/>
    </row>
    <row r="70" spans="3:8" x14ac:dyDescent="0.3">
      <c r="C70" s="10"/>
      <c r="D70" s="10"/>
      <c r="E70" s="10"/>
      <c r="F70" s="10"/>
      <c r="G70" s="10"/>
      <c r="H70" s="122"/>
    </row>
    <row r="71" spans="3:8" x14ac:dyDescent="0.3">
      <c r="C71" s="10"/>
      <c r="D71" s="10"/>
      <c r="E71" s="10"/>
      <c r="F71" s="10"/>
      <c r="G71" s="10"/>
      <c r="H71" s="122"/>
    </row>
    <row r="72" spans="3:8" x14ac:dyDescent="0.3">
      <c r="C72" s="10"/>
      <c r="D72" s="10"/>
      <c r="E72" s="10"/>
      <c r="F72" s="10"/>
      <c r="G72" s="10"/>
      <c r="H72" s="122"/>
    </row>
    <row r="73" spans="3:8" x14ac:dyDescent="0.3">
      <c r="C73" s="10"/>
      <c r="D73" s="10"/>
      <c r="E73" s="10"/>
      <c r="F73" s="10"/>
      <c r="G73" s="10"/>
      <c r="H73" s="122"/>
    </row>
    <row r="74" spans="3:8" x14ac:dyDescent="0.3">
      <c r="C74" s="10"/>
      <c r="D74" s="10"/>
      <c r="E74" s="10"/>
      <c r="F74" s="10"/>
      <c r="G74" s="10"/>
      <c r="H74" s="122"/>
    </row>
    <row r="75" spans="3:8" x14ac:dyDescent="0.3">
      <c r="C75" s="10"/>
      <c r="D75" s="10"/>
      <c r="E75" s="10"/>
      <c r="F75" s="10"/>
      <c r="G75" s="10"/>
      <c r="H75" s="122"/>
    </row>
    <row r="76" spans="3:8" x14ac:dyDescent="0.3">
      <c r="C76" s="10"/>
      <c r="D76" s="10"/>
      <c r="E76" s="10"/>
      <c r="F76" s="10"/>
      <c r="G76" s="10"/>
      <c r="H76" s="122"/>
    </row>
    <row r="77" spans="3:8" x14ac:dyDescent="0.3">
      <c r="C77" s="10"/>
      <c r="D77" s="10"/>
      <c r="E77" s="10"/>
      <c r="F77" s="10"/>
      <c r="G77" s="10"/>
      <c r="H77" s="122"/>
    </row>
    <row r="78" spans="3:8" x14ac:dyDescent="0.3">
      <c r="C78" s="10"/>
      <c r="D78" s="10"/>
      <c r="E78" s="10"/>
      <c r="F78" s="10"/>
      <c r="G78" s="10"/>
      <c r="H78" s="122"/>
    </row>
    <row r="79" spans="3:8" x14ac:dyDescent="0.3">
      <c r="C79" s="10"/>
      <c r="D79" s="10"/>
      <c r="E79" s="10"/>
      <c r="F79" s="10"/>
      <c r="G79" s="10"/>
      <c r="H79" s="122"/>
    </row>
    <row r="80" spans="3:8" x14ac:dyDescent="0.3">
      <c r="C80" s="10"/>
      <c r="D80" s="10"/>
      <c r="E80" s="10"/>
      <c r="F80" s="10"/>
      <c r="G80" s="10"/>
      <c r="H80" s="122"/>
    </row>
    <row r="81" spans="3:8" x14ac:dyDescent="0.3">
      <c r="C81" s="10"/>
      <c r="D81" s="10"/>
      <c r="E81" s="10"/>
      <c r="F81" s="10"/>
      <c r="G81" s="10"/>
      <c r="H81" s="122"/>
    </row>
    <row r="82" spans="3:8" x14ac:dyDescent="0.3">
      <c r="C82" s="10"/>
      <c r="D82" s="10"/>
      <c r="E82" s="10"/>
      <c r="F82" s="10"/>
      <c r="G82" s="10"/>
      <c r="H82" s="122"/>
    </row>
    <row r="83" spans="3:8" x14ac:dyDescent="0.3">
      <c r="C83" s="10"/>
      <c r="D83" s="10"/>
      <c r="E83" s="10"/>
      <c r="F83" s="10"/>
      <c r="G83" s="10"/>
      <c r="H83" s="122"/>
    </row>
    <row r="84" spans="3:8" x14ac:dyDescent="0.3">
      <c r="C84" s="10"/>
      <c r="D84" s="10"/>
      <c r="E84" s="10"/>
      <c r="F84" s="10"/>
      <c r="G84" s="10"/>
      <c r="H84" s="122"/>
    </row>
    <row r="85" spans="3:8" x14ac:dyDescent="0.3">
      <c r="C85" s="10"/>
      <c r="D85" s="10"/>
      <c r="E85" s="10"/>
      <c r="F85" s="10"/>
      <c r="G85" s="10"/>
      <c r="H85" s="122"/>
    </row>
    <row r="86" spans="3:8" x14ac:dyDescent="0.3">
      <c r="C86" s="10"/>
      <c r="D86" s="10"/>
      <c r="E86" s="10"/>
      <c r="F86" s="10"/>
      <c r="G86" s="10"/>
      <c r="H86" s="122"/>
    </row>
    <row r="87" spans="3:8" x14ac:dyDescent="0.3">
      <c r="C87" s="10"/>
      <c r="D87" s="10"/>
      <c r="E87" s="10"/>
      <c r="F87" s="10"/>
      <c r="G87" s="10"/>
      <c r="H87" s="122"/>
    </row>
    <row r="88" spans="3:8" x14ac:dyDescent="0.3">
      <c r="C88" s="10"/>
      <c r="D88" s="10"/>
      <c r="E88" s="10"/>
      <c r="F88" s="10"/>
      <c r="G88" s="10"/>
      <c r="H88" s="122"/>
    </row>
    <row r="89" spans="3:8" x14ac:dyDescent="0.3">
      <c r="C89" s="10"/>
      <c r="D89" s="10"/>
      <c r="E89" s="10"/>
      <c r="F89" s="10"/>
      <c r="G89" s="10"/>
      <c r="H89" s="122"/>
    </row>
    <row r="90" spans="3:8" x14ac:dyDescent="0.3">
      <c r="C90" s="10"/>
      <c r="D90" s="10"/>
      <c r="E90" s="10"/>
      <c r="F90" s="10"/>
      <c r="G90" s="10"/>
      <c r="H90" s="122"/>
    </row>
    <row r="91" spans="3:8" x14ac:dyDescent="0.3">
      <c r="C91" s="10"/>
      <c r="D91" s="10"/>
      <c r="E91" s="10"/>
      <c r="F91" s="10"/>
      <c r="G91" s="10"/>
      <c r="H91" s="122"/>
    </row>
    <row r="92" spans="3:8" x14ac:dyDescent="0.3">
      <c r="C92" s="10"/>
      <c r="D92" s="10"/>
      <c r="E92" s="10"/>
      <c r="F92" s="10"/>
      <c r="G92" s="10"/>
      <c r="H92" s="122"/>
    </row>
    <row r="93" spans="3:8" x14ac:dyDescent="0.3">
      <c r="C93" s="10"/>
      <c r="D93" s="10"/>
      <c r="E93" s="10"/>
      <c r="F93" s="10"/>
      <c r="G93" s="10"/>
      <c r="H93" s="122"/>
    </row>
    <row r="94" spans="3:8" x14ac:dyDescent="0.3">
      <c r="C94" s="10"/>
      <c r="D94" s="10"/>
      <c r="E94" s="10"/>
      <c r="F94" s="10"/>
      <c r="G94" s="10"/>
      <c r="H94" s="122"/>
    </row>
    <row r="95" spans="3:8" x14ac:dyDescent="0.3">
      <c r="C95" s="10"/>
      <c r="D95" s="10"/>
      <c r="E95" s="10"/>
      <c r="F95" s="10"/>
      <c r="G95" s="10"/>
      <c r="H95" s="122"/>
    </row>
    <row r="96" spans="3:8" x14ac:dyDescent="0.3">
      <c r="C96" s="10"/>
      <c r="D96" s="10"/>
      <c r="E96" s="10"/>
      <c r="F96" s="10"/>
      <c r="G96" s="10"/>
      <c r="H96" s="122"/>
    </row>
    <row r="97" spans="3:8" x14ac:dyDescent="0.3">
      <c r="C97" s="10"/>
      <c r="D97" s="10"/>
      <c r="E97" s="10"/>
      <c r="F97" s="10"/>
      <c r="G97" s="10"/>
      <c r="H97" s="122"/>
    </row>
    <row r="98" spans="3:8" x14ac:dyDescent="0.3">
      <c r="C98" s="10"/>
      <c r="D98" s="10"/>
      <c r="E98" s="10"/>
      <c r="F98" s="10"/>
      <c r="G98" s="10"/>
      <c r="H98" s="122"/>
    </row>
    <row r="99" spans="3:8" x14ac:dyDescent="0.3">
      <c r="C99" s="10"/>
      <c r="D99" s="10"/>
      <c r="E99" s="10"/>
      <c r="F99" s="10"/>
      <c r="G99" s="10"/>
      <c r="H99" s="122"/>
    </row>
    <row r="100" spans="3:8" x14ac:dyDescent="0.3">
      <c r="C100" s="10"/>
      <c r="D100" s="10"/>
      <c r="E100" s="10"/>
      <c r="F100" s="10"/>
      <c r="G100" s="10"/>
      <c r="H100" s="122"/>
    </row>
    <row r="101" spans="3:8" x14ac:dyDescent="0.3">
      <c r="C101" s="10"/>
      <c r="D101" s="10"/>
      <c r="E101" s="10"/>
      <c r="F101" s="10"/>
      <c r="G101" s="10"/>
      <c r="H101" s="122"/>
    </row>
    <row r="102" spans="3:8" x14ac:dyDescent="0.3">
      <c r="C102" s="10"/>
      <c r="D102" s="10"/>
      <c r="E102" s="10"/>
      <c r="F102" s="10"/>
      <c r="G102" s="10"/>
      <c r="H102" s="122"/>
    </row>
    <row r="103" spans="3:8" x14ac:dyDescent="0.3">
      <c r="C103" s="10"/>
      <c r="D103" s="10"/>
      <c r="E103" s="10"/>
      <c r="F103" s="10"/>
      <c r="G103" s="10"/>
      <c r="H103" s="122"/>
    </row>
    <row r="104" spans="3:8" x14ac:dyDescent="0.3">
      <c r="C104" s="10"/>
      <c r="D104" s="10"/>
      <c r="E104" s="10"/>
      <c r="F104" s="10"/>
      <c r="G104" s="10"/>
      <c r="H104" s="122"/>
    </row>
    <row r="105" spans="3:8" x14ac:dyDescent="0.3">
      <c r="C105" s="10"/>
      <c r="D105" s="10"/>
      <c r="E105" s="10"/>
      <c r="F105" s="10"/>
      <c r="G105" s="10"/>
      <c r="H105" s="122"/>
    </row>
    <row r="106" spans="3:8" x14ac:dyDescent="0.3">
      <c r="C106" s="10"/>
      <c r="D106" s="10"/>
      <c r="E106" s="10"/>
      <c r="F106" s="10"/>
      <c r="G106" s="10"/>
      <c r="H106" s="122"/>
    </row>
    <row r="107" spans="3:8" x14ac:dyDescent="0.3">
      <c r="C107" s="10"/>
      <c r="D107" s="10"/>
      <c r="E107" s="10"/>
      <c r="F107" s="10"/>
      <c r="G107" s="10"/>
      <c r="H107" s="122"/>
    </row>
    <row r="108" spans="3:8" x14ac:dyDescent="0.3">
      <c r="C108" s="10"/>
      <c r="D108" s="10"/>
      <c r="E108" s="10"/>
      <c r="F108" s="10"/>
      <c r="G108" s="10"/>
      <c r="H108" s="122"/>
    </row>
    <row r="109" spans="3:8" x14ac:dyDescent="0.3">
      <c r="C109" s="10"/>
      <c r="D109" s="10"/>
      <c r="E109" s="10"/>
      <c r="F109" s="10"/>
      <c r="G109" s="10"/>
      <c r="H109" s="122"/>
    </row>
    <row r="110" spans="3:8" x14ac:dyDescent="0.3">
      <c r="C110" s="10"/>
      <c r="D110" s="10"/>
      <c r="E110" s="10"/>
      <c r="F110" s="10"/>
      <c r="G110" s="10"/>
      <c r="H110" s="122"/>
    </row>
    <row r="111" spans="3:8" x14ac:dyDescent="0.3">
      <c r="C111" s="10"/>
      <c r="D111" s="10"/>
      <c r="E111" s="10"/>
      <c r="F111" s="10"/>
      <c r="G111" s="10"/>
      <c r="H111" s="122"/>
    </row>
    <row r="112" spans="3:8" x14ac:dyDescent="0.3">
      <c r="C112" s="10"/>
      <c r="D112" s="10"/>
      <c r="E112" s="10"/>
      <c r="F112" s="10"/>
      <c r="G112" s="10"/>
      <c r="H112" s="122"/>
    </row>
    <row r="113" spans="3:8" x14ac:dyDescent="0.3">
      <c r="C113" s="10"/>
      <c r="D113" s="10"/>
      <c r="E113" s="10"/>
      <c r="F113" s="10"/>
      <c r="G113" s="10"/>
      <c r="H113" s="122"/>
    </row>
    <row r="114" spans="3:8" x14ac:dyDescent="0.3">
      <c r="C114" s="10"/>
      <c r="D114" s="10"/>
      <c r="E114" s="10"/>
      <c r="F114" s="10"/>
      <c r="G114" s="10"/>
      <c r="H114" s="122"/>
    </row>
    <row r="115" spans="3:8" x14ac:dyDescent="0.3">
      <c r="C115" s="10"/>
      <c r="D115" s="10"/>
      <c r="E115" s="10"/>
      <c r="F115" s="10"/>
      <c r="G115" s="10"/>
      <c r="H115" s="122"/>
    </row>
    <row r="116" spans="3:8" x14ac:dyDescent="0.3">
      <c r="C116" s="10"/>
      <c r="D116" s="10"/>
      <c r="E116" s="10"/>
      <c r="F116" s="10"/>
      <c r="G116" s="10"/>
      <c r="H116" s="122"/>
    </row>
    <row r="117" spans="3:8" x14ac:dyDescent="0.3">
      <c r="C117" s="10"/>
      <c r="D117" s="10"/>
      <c r="E117" s="10"/>
      <c r="F117" s="10"/>
      <c r="G117" s="10"/>
      <c r="H117" s="122"/>
    </row>
    <row r="118" spans="3:8" x14ac:dyDescent="0.3">
      <c r="C118" s="10"/>
      <c r="D118" s="10"/>
      <c r="E118" s="10"/>
      <c r="F118" s="10"/>
      <c r="G118" s="10"/>
      <c r="H118" s="122"/>
    </row>
    <row r="119" spans="3:8" x14ac:dyDescent="0.3">
      <c r="C119" s="10"/>
      <c r="D119" s="10"/>
      <c r="E119" s="10"/>
      <c r="F119" s="10"/>
      <c r="G119" s="10"/>
      <c r="H119" s="122"/>
    </row>
    <row r="120" spans="3:8" x14ac:dyDescent="0.3">
      <c r="C120" s="10"/>
      <c r="D120" s="10"/>
      <c r="E120" s="10"/>
      <c r="F120" s="10"/>
      <c r="G120" s="10"/>
      <c r="H120" s="122"/>
    </row>
    <row r="121" spans="3:8" x14ac:dyDescent="0.3">
      <c r="C121" s="10"/>
      <c r="D121" s="10"/>
      <c r="E121" s="10"/>
      <c r="F121" s="10"/>
      <c r="G121" s="10"/>
      <c r="H121" s="122"/>
    </row>
    <row r="122" spans="3:8" x14ac:dyDescent="0.3">
      <c r="C122" s="10"/>
      <c r="D122" s="10"/>
      <c r="E122" s="10"/>
      <c r="F122" s="10"/>
      <c r="G122" s="10"/>
      <c r="H122" s="122"/>
    </row>
    <row r="123" spans="3:8" x14ac:dyDescent="0.3">
      <c r="C123" s="10"/>
      <c r="D123" s="10"/>
      <c r="E123" s="10"/>
      <c r="F123" s="10"/>
      <c r="G123" s="10"/>
      <c r="H123" s="122"/>
    </row>
    <row r="124" spans="3:8" x14ac:dyDescent="0.3">
      <c r="C124" s="10"/>
      <c r="D124" s="10"/>
      <c r="E124" s="10"/>
      <c r="F124" s="10"/>
      <c r="G124" s="10"/>
      <c r="H124" s="122"/>
    </row>
    <row r="125" spans="3:8" x14ac:dyDescent="0.3">
      <c r="C125" s="10"/>
      <c r="D125" s="10"/>
      <c r="E125" s="10"/>
      <c r="F125" s="10"/>
      <c r="G125" s="10"/>
      <c r="H125" s="122"/>
    </row>
    <row r="126" spans="3:8" x14ac:dyDescent="0.3">
      <c r="C126" s="10"/>
      <c r="D126" s="10"/>
      <c r="E126" s="10"/>
      <c r="F126" s="10"/>
      <c r="G126" s="10"/>
      <c r="H126" s="122"/>
    </row>
    <row r="127" spans="3:8" x14ac:dyDescent="0.3">
      <c r="C127" s="10"/>
      <c r="D127" s="10"/>
      <c r="E127" s="10"/>
      <c r="F127" s="10"/>
      <c r="G127" s="10"/>
      <c r="H127" s="122"/>
    </row>
    <row r="128" spans="3:8" x14ac:dyDescent="0.3">
      <c r="C128" s="10"/>
      <c r="D128" s="10"/>
      <c r="E128" s="10"/>
      <c r="F128" s="10"/>
      <c r="G128" s="10"/>
      <c r="H128" s="122"/>
    </row>
    <row r="129" spans="3:8" x14ac:dyDescent="0.3">
      <c r="C129" s="10"/>
      <c r="D129" s="10"/>
      <c r="E129" s="10"/>
      <c r="F129" s="10"/>
      <c r="G129" s="10"/>
      <c r="H129" s="122"/>
    </row>
    <row r="130" spans="3:8" x14ac:dyDescent="0.3">
      <c r="C130" s="10"/>
      <c r="D130" s="10"/>
      <c r="E130" s="10"/>
      <c r="F130" s="10"/>
      <c r="G130" s="10"/>
      <c r="H130" s="122"/>
    </row>
    <row r="131" spans="3:8" x14ac:dyDescent="0.3">
      <c r="C131" s="10"/>
      <c r="D131" s="10"/>
      <c r="E131" s="10"/>
      <c r="F131" s="10"/>
      <c r="G131" s="10"/>
      <c r="H131" s="122"/>
    </row>
    <row r="132" spans="3:8" x14ac:dyDescent="0.3">
      <c r="C132" s="10"/>
      <c r="D132" s="10"/>
      <c r="E132" s="10"/>
      <c r="F132" s="10"/>
      <c r="G132" s="10"/>
      <c r="H132" s="122"/>
    </row>
    <row r="133" spans="3:8" x14ac:dyDescent="0.3">
      <c r="C133" s="10"/>
      <c r="D133" s="10"/>
      <c r="E133" s="10"/>
      <c r="F133" s="10"/>
      <c r="G133" s="10"/>
      <c r="H133" s="122"/>
    </row>
    <row r="134" spans="3:8" x14ac:dyDescent="0.3">
      <c r="C134" s="10"/>
      <c r="D134" s="10"/>
      <c r="E134" s="10"/>
      <c r="F134" s="10"/>
      <c r="G134" s="10"/>
      <c r="H134" s="122"/>
    </row>
    <row r="135" spans="3:8" x14ac:dyDescent="0.3">
      <c r="C135" s="10"/>
      <c r="D135" s="10"/>
      <c r="E135" s="10"/>
      <c r="F135" s="10"/>
      <c r="G135" s="10"/>
      <c r="H135" s="122"/>
    </row>
    <row r="136" spans="3:8" x14ac:dyDescent="0.3">
      <c r="C136" s="10"/>
      <c r="D136" s="10"/>
      <c r="E136" s="10"/>
      <c r="F136" s="10"/>
      <c r="G136" s="10"/>
      <c r="H136" s="122"/>
    </row>
    <row r="137" spans="3:8" x14ac:dyDescent="0.3">
      <c r="C137" s="10"/>
      <c r="D137" s="10"/>
      <c r="E137" s="10"/>
      <c r="F137" s="10"/>
      <c r="G137" s="10"/>
      <c r="H137" s="122"/>
    </row>
    <row r="138" spans="3:8" x14ac:dyDescent="0.3">
      <c r="C138" s="10"/>
      <c r="D138" s="10"/>
      <c r="E138" s="10"/>
      <c r="F138" s="10"/>
      <c r="G138" s="10"/>
      <c r="H138" s="122"/>
    </row>
    <row r="139" spans="3:8" x14ac:dyDescent="0.3">
      <c r="C139" s="10"/>
      <c r="D139" s="10"/>
      <c r="E139" s="10"/>
      <c r="F139" s="10"/>
      <c r="G139" s="10"/>
      <c r="H139" s="122"/>
    </row>
    <row r="140" spans="3:8" x14ac:dyDescent="0.3">
      <c r="C140" s="10"/>
      <c r="D140" s="10"/>
      <c r="E140" s="10"/>
      <c r="F140" s="10"/>
      <c r="G140" s="10"/>
      <c r="H140" s="122"/>
    </row>
    <row r="141" spans="3:8" x14ac:dyDescent="0.3">
      <c r="C141" s="10"/>
      <c r="D141" s="10"/>
      <c r="E141" s="10"/>
      <c r="F141" s="10"/>
      <c r="G141" s="10"/>
      <c r="H141" s="122"/>
    </row>
    <row r="142" spans="3:8" x14ac:dyDescent="0.3">
      <c r="C142" s="10"/>
      <c r="D142" s="10"/>
      <c r="E142" s="10"/>
      <c r="F142" s="10"/>
      <c r="G142" s="10"/>
      <c r="H142" s="122"/>
    </row>
    <row r="143" spans="3:8" x14ac:dyDescent="0.3">
      <c r="C143" s="10"/>
      <c r="D143" s="10"/>
      <c r="E143" s="10"/>
      <c r="F143" s="10"/>
      <c r="G143" s="10"/>
      <c r="H143" s="122"/>
    </row>
    <row r="144" spans="3:8" x14ac:dyDescent="0.3">
      <c r="C144" s="10"/>
      <c r="D144" s="10"/>
      <c r="E144" s="10"/>
      <c r="F144" s="10"/>
      <c r="G144" s="10"/>
      <c r="H144" s="122"/>
    </row>
    <row r="145" spans="3:8" x14ac:dyDescent="0.3">
      <c r="C145" s="10"/>
      <c r="D145" s="10"/>
      <c r="E145" s="10"/>
      <c r="F145" s="10"/>
      <c r="G145" s="10"/>
      <c r="H145" s="122"/>
    </row>
    <row r="146" spans="3:8" x14ac:dyDescent="0.3">
      <c r="C146" s="10"/>
      <c r="D146" s="10"/>
      <c r="E146" s="10"/>
      <c r="F146" s="10"/>
      <c r="G146" s="10"/>
      <c r="H146" s="122"/>
    </row>
    <row r="147" spans="3:8" x14ac:dyDescent="0.3">
      <c r="C147" s="10"/>
      <c r="D147" s="10"/>
      <c r="E147" s="10"/>
      <c r="F147" s="10"/>
      <c r="G147" s="10"/>
      <c r="H147" s="122"/>
    </row>
    <row r="148" spans="3:8" x14ac:dyDescent="0.3">
      <c r="C148" s="10"/>
      <c r="D148" s="10"/>
      <c r="E148" s="10"/>
      <c r="F148" s="10"/>
      <c r="G148" s="10"/>
      <c r="H148" s="122"/>
    </row>
    <row r="149" spans="3:8" x14ac:dyDescent="0.3">
      <c r="C149" s="10"/>
      <c r="D149" s="10"/>
      <c r="E149" s="10"/>
      <c r="F149" s="10"/>
      <c r="G149" s="10"/>
      <c r="H149" s="122"/>
    </row>
    <row r="150" spans="3:8" x14ac:dyDescent="0.3">
      <c r="C150" s="10"/>
      <c r="D150" s="10"/>
      <c r="E150" s="10"/>
      <c r="F150" s="10"/>
      <c r="G150" s="10"/>
      <c r="H150" s="122"/>
    </row>
    <row r="151" spans="3:8" x14ac:dyDescent="0.3">
      <c r="C151" s="10"/>
      <c r="D151" s="10"/>
      <c r="E151" s="10"/>
      <c r="F151" s="10"/>
      <c r="G151" s="10"/>
      <c r="H151" s="122"/>
    </row>
    <row r="152" spans="3:8" x14ac:dyDescent="0.3">
      <c r="C152" s="10"/>
      <c r="D152" s="10"/>
      <c r="E152" s="10"/>
      <c r="F152" s="10"/>
      <c r="G152" s="10"/>
      <c r="H152" s="122"/>
    </row>
    <row r="153" spans="3:8" x14ac:dyDescent="0.3">
      <c r="C153" s="10"/>
      <c r="D153" s="10"/>
      <c r="E153" s="10"/>
      <c r="F153" s="10"/>
      <c r="G153" s="10"/>
      <c r="H153" s="122"/>
    </row>
    <row r="154" spans="3:8" x14ac:dyDescent="0.3">
      <c r="C154" s="10"/>
      <c r="D154" s="10"/>
      <c r="E154" s="10"/>
      <c r="F154" s="10"/>
      <c r="G154" s="10"/>
      <c r="H154" s="122"/>
    </row>
    <row r="155" spans="3:8" x14ac:dyDescent="0.3">
      <c r="C155" s="10"/>
      <c r="D155" s="10"/>
      <c r="E155" s="10"/>
      <c r="F155" s="10"/>
      <c r="G155" s="10"/>
      <c r="H155" s="122"/>
    </row>
    <row r="156" spans="3:8" x14ac:dyDescent="0.3">
      <c r="C156" s="10"/>
      <c r="D156" s="10"/>
      <c r="E156" s="10"/>
      <c r="F156" s="10"/>
      <c r="G156" s="10"/>
      <c r="H156" s="122"/>
    </row>
    <row r="157" spans="3:8" x14ac:dyDescent="0.3">
      <c r="C157" s="10"/>
      <c r="D157" s="10"/>
      <c r="E157" s="10"/>
      <c r="F157" s="10"/>
      <c r="G157" s="10"/>
      <c r="H157" s="122"/>
    </row>
    <row r="158" spans="3:8" x14ac:dyDescent="0.3">
      <c r="C158" s="10"/>
      <c r="D158" s="10"/>
      <c r="E158" s="10"/>
      <c r="F158" s="10"/>
      <c r="G158" s="10"/>
      <c r="H158" s="122"/>
    </row>
    <row r="159" spans="3:8" x14ac:dyDescent="0.3">
      <c r="C159" s="10"/>
      <c r="D159" s="10"/>
      <c r="E159" s="10"/>
      <c r="F159" s="10"/>
      <c r="G159" s="10"/>
      <c r="H159" s="122"/>
    </row>
    <row r="160" spans="3:8" x14ac:dyDescent="0.3">
      <c r="C160" s="10"/>
      <c r="D160" s="10"/>
      <c r="E160" s="10"/>
      <c r="F160" s="10"/>
      <c r="G160" s="10"/>
      <c r="H160" s="122"/>
    </row>
    <row r="161" spans="3:8" x14ac:dyDescent="0.3">
      <c r="C161" s="10"/>
      <c r="D161" s="10"/>
      <c r="E161" s="10"/>
      <c r="F161" s="10"/>
      <c r="G161" s="10"/>
      <c r="H161" s="122"/>
    </row>
    <row r="162" spans="3:8" x14ac:dyDescent="0.3">
      <c r="C162" s="10"/>
      <c r="D162" s="10"/>
      <c r="E162" s="10"/>
      <c r="F162" s="10"/>
      <c r="G162" s="10"/>
      <c r="H162" s="122"/>
    </row>
    <row r="163" spans="3:8" x14ac:dyDescent="0.3">
      <c r="C163" s="10"/>
      <c r="D163" s="10"/>
      <c r="E163" s="10"/>
      <c r="F163" s="10"/>
      <c r="G163" s="10"/>
      <c r="H163" s="122"/>
    </row>
    <row r="164" spans="3:8" x14ac:dyDescent="0.3">
      <c r="C164" s="10"/>
      <c r="D164" s="10"/>
      <c r="E164" s="10"/>
      <c r="F164" s="10"/>
      <c r="G164" s="10"/>
      <c r="H164" s="122"/>
    </row>
    <row r="165" spans="3:8" x14ac:dyDescent="0.3">
      <c r="C165" s="10"/>
      <c r="D165" s="10"/>
      <c r="E165" s="10"/>
      <c r="F165" s="10"/>
      <c r="G165" s="10"/>
      <c r="H165" s="122"/>
    </row>
    <row r="166" spans="3:8" x14ac:dyDescent="0.3">
      <c r="C166" s="10"/>
      <c r="D166" s="10"/>
      <c r="E166" s="10"/>
      <c r="F166" s="10"/>
      <c r="G166" s="10"/>
      <c r="H166" s="122"/>
    </row>
    <row r="167" spans="3:8" x14ac:dyDescent="0.3">
      <c r="C167" s="10"/>
      <c r="D167" s="10"/>
      <c r="E167" s="10"/>
      <c r="F167" s="10"/>
      <c r="G167" s="10"/>
      <c r="H167" s="122"/>
    </row>
    <row r="168" spans="3:8" x14ac:dyDescent="0.3">
      <c r="C168" s="10"/>
      <c r="D168" s="10"/>
      <c r="E168" s="10"/>
      <c r="F168" s="10"/>
      <c r="G168" s="10"/>
      <c r="H168" s="122"/>
    </row>
    <row r="169" spans="3:8" x14ac:dyDescent="0.3">
      <c r="C169" s="10"/>
      <c r="D169" s="10"/>
      <c r="E169" s="10"/>
      <c r="F169" s="10"/>
      <c r="G169" s="10"/>
      <c r="H169" s="122"/>
    </row>
    <row r="170" spans="3:8" x14ac:dyDescent="0.3">
      <c r="C170" s="10"/>
      <c r="D170" s="10"/>
      <c r="E170" s="10"/>
      <c r="F170" s="10"/>
      <c r="G170" s="10"/>
      <c r="H170" s="122"/>
    </row>
    <row r="171" spans="3:8" x14ac:dyDescent="0.3">
      <c r="C171" s="10"/>
      <c r="D171" s="10"/>
      <c r="E171" s="10"/>
      <c r="F171" s="10"/>
      <c r="G171" s="10"/>
      <c r="H171" s="122"/>
    </row>
    <row r="172" spans="3:8" x14ac:dyDescent="0.3">
      <c r="C172" s="10"/>
      <c r="D172" s="10"/>
      <c r="E172" s="10"/>
      <c r="F172" s="10"/>
      <c r="G172" s="10"/>
      <c r="H172" s="122"/>
    </row>
    <row r="173" spans="3:8" x14ac:dyDescent="0.3">
      <c r="C173" s="10"/>
      <c r="D173" s="10"/>
      <c r="E173" s="10"/>
      <c r="F173" s="10"/>
      <c r="G173" s="10"/>
      <c r="H173" s="122"/>
    </row>
    <row r="174" spans="3:8" x14ac:dyDescent="0.3">
      <c r="C174" s="10"/>
      <c r="D174" s="10"/>
      <c r="E174" s="10"/>
      <c r="F174" s="10"/>
      <c r="G174" s="10"/>
      <c r="H174" s="122"/>
    </row>
    <row r="175" spans="3:8" x14ac:dyDescent="0.3">
      <c r="C175" s="10"/>
      <c r="D175" s="10"/>
      <c r="E175" s="10"/>
      <c r="F175" s="10"/>
      <c r="G175" s="10"/>
      <c r="H175" s="122"/>
    </row>
    <row r="176" spans="3:8" x14ac:dyDescent="0.3">
      <c r="C176" s="10"/>
      <c r="D176" s="10"/>
      <c r="E176" s="10"/>
      <c r="F176" s="10"/>
      <c r="G176" s="10"/>
      <c r="H176" s="122"/>
    </row>
    <row r="177" spans="3:8" x14ac:dyDescent="0.3">
      <c r="C177" s="10"/>
      <c r="D177" s="10"/>
      <c r="E177" s="10"/>
      <c r="F177" s="10"/>
      <c r="G177" s="10"/>
      <c r="H177" s="122"/>
    </row>
    <row r="178" spans="3:8" x14ac:dyDescent="0.3">
      <c r="C178" s="10"/>
      <c r="D178" s="10"/>
      <c r="E178" s="10"/>
      <c r="F178" s="10"/>
      <c r="G178" s="10"/>
      <c r="H178" s="122"/>
    </row>
    <row r="179" spans="3:8" x14ac:dyDescent="0.3">
      <c r="C179" s="10"/>
      <c r="D179" s="10"/>
      <c r="E179" s="10"/>
      <c r="F179" s="10"/>
      <c r="G179" s="10"/>
      <c r="H179" s="122"/>
    </row>
    <row r="180" spans="3:8" x14ac:dyDescent="0.3">
      <c r="C180" s="10"/>
      <c r="D180" s="10"/>
      <c r="E180" s="10"/>
      <c r="F180" s="10"/>
      <c r="G180" s="10"/>
      <c r="H180" s="122"/>
    </row>
    <row r="181" spans="3:8" x14ac:dyDescent="0.3">
      <c r="C181" s="10"/>
      <c r="D181" s="10"/>
      <c r="E181" s="10"/>
      <c r="F181" s="10"/>
      <c r="G181" s="10"/>
      <c r="H181" s="122"/>
    </row>
    <row r="182" spans="3:8" x14ac:dyDescent="0.3">
      <c r="C182" s="10"/>
      <c r="D182" s="10"/>
      <c r="E182" s="10"/>
      <c r="F182" s="10"/>
      <c r="G182" s="10"/>
      <c r="H182" s="122"/>
    </row>
    <row r="183" spans="3:8" x14ac:dyDescent="0.3">
      <c r="C183" s="10"/>
      <c r="D183" s="10"/>
      <c r="E183" s="10"/>
      <c r="F183" s="10"/>
      <c r="G183" s="10"/>
      <c r="H183" s="122"/>
    </row>
    <row r="184" spans="3:8" x14ac:dyDescent="0.3">
      <c r="C184" s="10"/>
      <c r="D184" s="10"/>
      <c r="E184" s="10"/>
      <c r="F184" s="10"/>
      <c r="G184" s="10"/>
      <c r="H184" s="122"/>
    </row>
    <row r="185" spans="3:8" x14ac:dyDescent="0.3">
      <c r="C185" s="10"/>
      <c r="D185" s="10"/>
      <c r="E185" s="10"/>
      <c r="F185" s="10"/>
      <c r="G185" s="10"/>
      <c r="H185" s="122"/>
    </row>
    <row r="186" spans="3:8" x14ac:dyDescent="0.3">
      <c r="C186" s="10"/>
      <c r="D186" s="10"/>
      <c r="E186" s="10"/>
      <c r="F186" s="10"/>
      <c r="G186" s="10"/>
      <c r="H186" s="122"/>
    </row>
    <row r="187" spans="3:8" x14ac:dyDescent="0.3">
      <c r="C187" s="10"/>
      <c r="D187" s="10"/>
      <c r="E187" s="10"/>
      <c r="F187" s="10"/>
      <c r="G187" s="10"/>
      <c r="H187" s="122"/>
    </row>
    <row r="188" spans="3:8" x14ac:dyDescent="0.3">
      <c r="C188" s="10"/>
      <c r="D188" s="10"/>
      <c r="E188" s="10"/>
      <c r="F188" s="10"/>
      <c r="G188" s="10"/>
      <c r="H188" s="122"/>
    </row>
    <row r="189" spans="3:8" x14ac:dyDescent="0.3">
      <c r="C189" s="10"/>
      <c r="D189" s="10"/>
      <c r="E189" s="10"/>
      <c r="F189" s="10"/>
      <c r="G189" s="10"/>
      <c r="H189" s="122"/>
    </row>
    <row r="190" spans="3:8" x14ac:dyDescent="0.3">
      <c r="C190" s="10"/>
      <c r="D190" s="10"/>
      <c r="E190" s="10"/>
      <c r="F190" s="10"/>
      <c r="G190" s="10"/>
      <c r="H190" s="122"/>
    </row>
    <row r="191" spans="3:8" x14ac:dyDescent="0.3">
      <c r="C191" s="10"/>
      <c r="D191" s="10"/>
      <c r="E191" s="10"/>
      <c r="F191" s="10"/>
      <c r="G191" s="10"/>
      <c r="H191" s="122"/>
    </row>
    <row r="192" spans="3:8" x14ac:dyDescent="0.3">
      <c r="C192" s="10"/>
      <c r="D192" s="10"/>
      <c r="E192" s="10"/>
      <c r="F192" s="10"/>
      <c r="G192" s="10"/>
      <c r="H192" s="122"/>
    </row>
    <row r="193" spans="3:8" x14ac:dyDescent="0.3">
      <c r="C193" s="10"/>
      <c r="D193" s="10"/>
      <c r="E193" s="10"/>
      <c r="F193" s="10"/>
      <c r="G193" s="10"/>
      <c r="H193" s="122"/>
    </row>
    <row r="194" spans="3:8" x14ac:dyDescent="0.3">
      <c r="C194" s="10"/>
      <c r="D194" s="10"/>
      <c r="E194" s="10"/>
      <c r="F194" s="10"/>
      <c r="G194" s="10"/>
      <c r="H194" s="122"/>
    </row>
    <row r="195" spans="3:8" x14ac:dyDescent="0.3">
      <c r="C195" s="10"/>
      <c r="D195" s="10"/>
      <c r="E195" s="10"/>
      <c r="F195" s="10"/>
      <c r="G195" s="10"/>
      <c r="H195" s="122"/>
    </row>
    <row r="196" spans="3:8" x14ac:dyDescent="0.3">
      <c r="C196" s="10"/>
      <c r="D196" s="10"/>
      <c r="E196" s="10"/>
      <c r="F196" s="10"/>
      <c r="G196" s="10"/>
      <c r="H196" s="122"/>
    </row>
    <row r="197" spans="3:8" x14ac:dyDescent="0.3">
      <c r="C197" s="10"/>
      <c r="D197" s="10"/>
      <c r="E197" s="10"/>
      <c r="F197" s="10"/>
      <c r="G197" s="10"/>
      <c r="H197" s="122"/>
    </row>
    <row r="198" spans="3:8" x14ac:dyDescent="0.3">
      <c r="C198" s="10"/>
      <c r="D198" s="10"/>
      <c r="E198" s="10"/>
      <c r="F198" s="10"/>
      <c r="G198" s="10"/>
      <c r="H198" s="122"/>
    </row>
    <row r="199" spans="3:8" x14ac:dyDescent="0.3">
      <c r="C199" s="10"/>
      <c r="D199" s="10"/>
      <c r="E199" s="10"/>
      <c r="F199" s="10"/>
      <c r="G199" s="10"/>
      <c r="H199" s="122"/>
    </row>
    <row r="200" spans="3:8" x14ac:dyDescent="0.3">
      <c r="C200" s="10"/>
      <c r="D200" s="10"/>
      <c r="E200" s="10"/>
      <c r="F200" s="10"/>
      <c r="G200" s="10"/>
      <c r="H200" s="122"/>
    </row>
    <row r="201" spans="3:8" x14ac:dyDescent="0.3">
      <c r="C201" s="10"/>
      <c r="D201" s="10"/>
      <c r="E201" s="10"/>
      <c r="F201" s="10"/>
      <c r="G201" s="10"/>
      <c r="H201" s="122"/>
    </row>
    <row r="202" spans="3:8" x14ac:dyDescent="0.3">
      <c r="C202" s="10"/>
      <c r="D202" s="10"/>
      <c r="E202" s="10"/>
      <c r="F202" s="10"/>
      <c r="G202" s="10"/>
      <c r="H202" s="122"/>
    </row>
    <row r="203" spans="3:8" x14ac:dyDescent="0.3">
      <c r="C203" s="10"/>
      <c r="D203" s="10"/>
      <c r="E203" s="10"/>
      <c r="F203" s="10"/>
      <c r="G203" s="10"/>
      <c r="H203" s="122"/>
    </row>
    <row r="204" spans="3:8" x14ac:dyDescent="0.3">
      <c r="C204" s="10"/>
      <c r="D204" s="10"/>
      <c r="E204" s="10"/>
      <c r="F204" s="10"/>
      <c r="G204" s="10"/>
      <c r="H204" s="122"/>
    </row>
    <row r="205" spans="3:8" x14ac:dyDescent="0.3">
      <c r="C205" s="10"/>
      <c r="D205" s="10"/>
      <c r="E205" s="10"/>
      <c r="F205" s="10"/>
      <c r="G205" s="10"/>
      <c r="H205" s="122"/>
    </row>
    <row r="206" spans="3:8" x14ac:dyDescent="0.3">
      <c r="C206" s="10"/>
      <c r="D206" s="10"/>
      <c r="E206" s="10"/>
      <c r="F206" s="10"/>
      <c r="G206" s="10"/>
      <c r="H206" s="122"/>
    </row>
    <row r="207" spans="3:8" x14ac:dyDescent="0.3">
      <c r="C207" s="10"/>
      <c r="D207" s="10"/>
      <c r="E207" s="10"/>
      <c r="F207" s="10"/>
      <c r="G207" s="10"/>
      <c r="H207" s="122"/>
    </row>
    <row r="208" spans="3:8" x14ac:dyDescent="0.3">
      <c r="C208" s="10"/>
      <c r="D208" s="10"/>
      <c r="E208" s="10"/>
      <c r="F208" s="10"/>
      <c r="G208" s="10"/>
      <c r="H208" s="122"/>
    </row>
    <row r="209" spans="3:8" x14ac:dyDescent="0.3">
      <c r="C209" s="10"/>
      <c r="D209" s="10"/>
      <c r="E209" s="10"/>
      <c r="F209" s="10"/>
      <c r="G209" s="10"/>
      <c r="H209" s="122"/>
    </row>
    <row r="210" spans="3:8" x14ac:dyDescent="0.3">
      <c r="C210" s="10"/>
      <c r="D210" s="10"/>
      <c r="E210" s="10"/>
      <c r="F210" s="10"/>
      <c r="G210" s="10"/>
      <c r="H210" s="122"/>
    </row>
    <row r="211" spans="3:8" x14ac:dyDescent="0.3">
      <c r="C211" s="10"/>
      <c r="D211" s="10"/>
      <c r="E211" s="10"/>
      <c r="F211" s="10"/>
      <c r="G211" s="10"/>
      <c r="H211" s="122"/>
    </row>
    <row r="212" spans="3:8" x14ac:dyDescent="0.3">
      <c r="C212" s="10"/>
      <c r="D212" s="10"/>
      <c r="E212" s="10"/>
      <c r="F212" s="10"/>
      <c r="G212" s="10"/>
      <c r="H212" s="122"/>
    </row>
    <row r="213" spans="3:8" x14ac:dyDescent="0.3">
      <c r="C213" s="10"/>
      <c r="D213" s="10"/>
      <c r="E213" s="10"/>
      <c r="F213" s="10"/>
      <c r="G213" s="10"/>
      <c r="H213" s="122"/>
    </row>
    <row r="214" spans="3:8" x14ac:dyDescent="0.3">
      <c r="C214" s="10"/>
      <c r="D214" s="10"/>
      <c r="E214" s="10"/>
      <c r="F214" s="10"/>
      <c r="G214" s="10"/>
      <c r="H214" s="122"/>
    </row>
    <row r="215" spans="3:8" x14ac:dyDescent="0.3">
      <c r="C215" s="10"/>
      <c r="D215" s="10"/>
      <c r="E215" s="10"/>
      <c r="F215" s="10"/>
      <c r="G215" s="10"/>
      <c r="H215" s="122"/>
    </row>
    <row r="216" spans="3:8" x14ac:dyDescent="0.3">
      <c r="C216" s="10"/>
      <c r="D216" s="10"/>
      <c r="E216" s="10"/>
      <c r="F216" s="10"/>
      <c r="G216" s="10"/>
      <c r="H216" s="122"/>
    </row>
    <row r="217" spans="3:8" x14ac:dyDescent="0.3">
      <c r="C217" s="10"/>
      <c r="D217" s="10"/>
      <c r="E217" s="10"/>
      <c r="F217" s="10"/>
      <c r="G217" s="10"/>
      <c r="H217" s="122"/>
    </row>
    <row r="218" spans="3:8" x14ac:dyDescent="0.3">
      <c r="C218" s="10"/>
      <c r="D218" s="10"/>
      <c r="E218" s="10"/>
      <c r="F218" s="10"/>
      <c r="G218" s="10"/>
      <c r="H218" s="122"/>
    </row>
    <row r="219" spans="3:8" x14ac:dyDescent="0.3">
      <c r="C219" s="10"/>
      <c r="D219" s="10"/>
      <c r="E219" s="10"/>
      <c r="F219" s="10"/>
      <c r="G219" s="10"/>
      <c r="H219" s="122"/>
    </row>
    <row r="220" spans="3:8" x14ac:dyDescent="0.3">
      <c r="C220" s="10"/>
      <c r="D220" s="10"/>
      <c r="E220" s="10"/>
      <c r="F220" s="10"/>
      <c r="G220" s="10"/>
      <c r="H220" s="122"/>
    </row>
    <row r="221" spans="3:8" x14ac:dyDescent="0.3">
      <c r="C221" s="10"/>
      <c r="D221" s="10"/>
      <c r="E221" s="10"/>
      <c r="F221" s="10"/>
      <c r="G221" s="10"/>
      <c r="H221" s="122"/>
    </row>
    <row r="222" spans="3:8" x14ac:dyDescent="0.3">
      <c r="C222" s="10"/>
      <c r="D222" s="10"/>
      <c r="E222" s="10"/>
      <c r="F222" s="10"/>
      <c r="G222" s="10"/>
      <c r="H222" s="122"/>
    </row>
    <row r="223" spans="3:8" x14ac:dyDescent="0.3">
      <c r="C223" s="10"/>
      <c r="D223" s="10"/>
      <c r="E223" s="10"/>
      <c r="F223" s="10"/>
      <c r="G223" s="10"/>
      <c r="H223" s="122"/>
    </row>
    <row r="224" spans="3:8" x14ac:dyDescent="0.3">
      <c r="C224" s="10"/>
      <c r="D224" s="10"/>
      <c r="E224" s="10"/>
      <c r="F224" s="10"/>
      <c r="G224" s="10"/>
      <c r="H224" s="122"/>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92D050"/>
  </sheetPr>
  <dimension ref="A1:G27"/>
  <sheetViews>
    <sheetView zoomScale="85" zoomScaleNormal="85" workbookViewId="0">
      <pane ySplit="2" topLeftCell="A3" activePane="bottomLeft" state="frozen"/>
      <selection pane="bottomLeft" activeCell="B3" sqref="B3:B10"/>
    </sheetView>
  </sheetViews>
  <sheetFormatPr defaultColWidth="9.21875" defaultRowHeight="14.4" x14ac:dyDescent="0.3"/>
  <cols>
    <col min="1" max="1" width="19" bestFit="1" customWidth="1"/>
    <col min="2" max="2" width="13.21875" style="5" bestFit="1" customWidth="1"/>
    <col min="3" max="3" width="21.44140625" style="6" bestFit="1" customWidth="1"/>
    <col min="4" max="4" width="14.44140625" style="6" bestFit="1" customWidth="1"/>
  </cols>
  <sheetData>
    <row r="1" spans="1:7" s="4" customFormat="1" x14ac:dyDescent="0.3">
      <c r="A1" s="46" t="s">
        <v>323</v>
      </c>
      <c r="B1" s="46" t="s">
        <v>225</v>
      </c>
      <c r="C1" s="46" t="s">
        <v>228</v>
      </c>
      <c r="D1" s="46" t="s">
        <v>229</v>
      </c>
      <c r="G1" s="1"/>
    </row>
    <row r="2" spans="1:7" s="42" customFormat="1" ht="15" thickBot="1" x14ac:dyDescent="0.35">
      <c r="A2" s="113" t="s">
        <v>327</v>
      </c>
      <c r="B2" s="68" t="s">
        <v>116</v>
      </c>
      <c r="C2" s="64" t="s">
        <v>50</v>
      </c>
      <c r="D2" s="64" t="s">
        <v>17</v>
      </c>
      <c r="G2" s="41"/>
    </row>
    <row r="3" spans="1:7" x14ac:dyDescent="0.3">
      <c r="A3" s="3">
        <v>1</v>
      </c>
      <c r="B3" s="2">
        <v>39202</v>
      </c>
      <c r="C3" s="26">
        <v>10</v>
      </c>
      <c r="D3" s="25">
        <v>5</v>
      </c>
      <c r="G3" s="1"/>
    </row>
    <row r="4" spans="1:7" x14ac:dyDescent="0.3">
      <c r="A4" s="3">
        <v>2</v>
      </c>
      <c r="B4" s="2">
        <v>39202</v>
      </c>
      <c r="C4" s="26">
        <v>10</v>
      </c>
      <c r="D4" s="25">
        <v>5</v>
      </c>
      <c r="G4" s="1"/>
    </row>
    <row r="5" spans="1:7" x14ac:dyDescent="0.3">
      <c r="A5" s="3">
        <v>3</v>
      </c>
      <c r="B5" s="2">
        <v>39202</v>
      </c>
      <c r="C5" s="26">
        <v>10</v>
      </c>
      <c r="D5" s="25">
        <v>5</v>
      </c>
      <c r="G5" s="14"/>
    </row>
    <row r="6" spans="1:7" x14ac:dyDescent="0.3">
      <c r="A6" s="3">
        <v>4</v>
      </c>
      <c r="B6" s="2">
        <v>39202</v>
      </c>
      <c r="C6" s="26">
        <v>10</v>
      </c>
      <c r="D6" s="25">
        <v>5</v>
      </c>
      <c r="G6" s="14"/>
    </row>
    <row r="7" spans="1:7" x14ac:dyDescent="0.3">
      <c r="A7" s="3">
        <v>5</v>
      </c>
      <c r="B7" s="2">
        <v>39577</v>
      </c>
      <c r="C7" s="26">
        <v>10</v>
      </c>
      <c r="D7" s="25">
        <v>5</v>
      </c>
    </row>
    <row r="8" spans="1:7" x14ac:dyDescent="0.3">
      <c r="A8" s="3">
        <v>6</v>
      </c>
      <c r="B8" s="2">
        <v>39577</v>
      </c>
      <c r="C8" s="26">
        <v>10</v>
      </c>
      <c r="D8" s="25">
        <v>5</v>
      </c>
    </row>
    <row r="9" spans="1:7" x14ac:dyDescent="0.3">
      <c r="A9" s="3">
        <v>7</v>
      </c>
      <c r="B9" s="2">
        <v>39577</v>
      </c>
      <c r="C9" s="26">
        <v>10</v>
      </c>
      <c r="D9" s="25">
        <v>5</v>
      </c>
    </row>
    <row r="10" spans="1:7" x14ac:dyDescent="0.3">
      <c r="A10" s="3">
        <v>8</v>
      </c>
      <c r="B10" s="2">
        <v>39577</v>
      </c>
      <c r="C10" s="26">
        <v>10</v>
      </c>
      <c r="D10" s="25">
        <v>5</v>
      </c>
    </row>
    <row r="27" spans="1:4" s="4" customFormat="1" x14ac:dyDescent="0.3">
      <c r="A27"/>
      <c r="B27" s="5"/>
      <c r="C27" s="6"/>
      <c r="D27" s="6"/>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92D050"/>
  </sheetPr>
  <dimension ref="A1:G145"/>
  <sheetViews>
    <sheetView topLeftCell="C1" workbookViewId="0">
      <pane ySplit="2" topLeftCell="A3" activePane="bottomLeft" state="frozen"/>
      <selection pane="bottomLeft" activeCell="E30" sqref="E30"/>
    </sheetView>
  </sheetViews>
  <sheetFormatPr defaultColWidth="9.21875" defaultRowHeight="14.4" x14ac:dyDescent="0.3"/>
  <cols>
    <col min="1" max="1" width="19" bestFit="1" customWidth="1"/>
    <col min="2" max="2" width="14" bestFit="1" customWidth="1"/>
    <col min="3" max="3" width="18.77734375" bestFit="1" customWidth="1"/>
    <col min="4" max="4" width="19" bestFit="1" customWidth="1"/>
    <col min="5" max="5" width="22.77734375" bestFit="1" customWidth="1"/>
  </cols>
  <sheetData>
    <row r="1" spans="1:7" s="4" customFormat="1" x14ac:dyDescent="0.3">
      <c r="A1" s="46" t="s">
        <v>323</v>
      </c>
      <c r="B1" s="46" t="s">
        <v>230</v>
      </c>
      <c r="C1" s="46" t="s">
        <v>231</v>
      </c>
      <c r="D1" s="46" t="s">
        <v>232</v>
      </c>
      <c r="E1" s="46" t="s">
        <v>233</v>
      </c>
      <c r="F1" s="21"/>
      <c r="G1" s="21"/>
    </row>
    <row r="2" spans="1:7" s="42" customFormat="1" ht="15" thickBot="1" x14ac:dyDescent="0.35">
      <c r="A2" s="113" t="s">
        <v>327</v>
      </c>
      <c r="B2" s="70" t="s">
        <v>244</v>
      </c>
      <c r="C2" s="70" t="s">
        <v>19</v>
      </c>
      <c r="D2" s="70" t="s">
        <v>20</v>
      </c>
      <c r="E2" s="63" t="s">
        <v>196</v>
      </c>
      <c r="F2" s="69"/>
      <c r="G2" s="69"/>
    </row>
    <row r="3" spans="1:7" x14ac:dyDescent="0.3">
      <c r="A3">
        <v>1</v>
      </c>
      <c r="B3" s="2">
        <v>39284</v>
      </c>
      <c r="C3" t="s">
        <v>337</v>
      </c>
      <c r="D3">
        <v>12</v>
      </c>
    </row>
    <row r="4" spans="1:7" x14ac:dyDescent="0.3">
      <c r="A4">
        <v>1</v>
      </c>
      <c r="B4" s="2">
        <v>39303</v>
      </c>
      <c r="C4" t="s">
        <v>337</v>
      </c>
      <c r="D4">
        <v>11</v>
      </c>
    </row>
    <row r="5" spans="1:7" x14ac:dyDescent="0.3">
      <c r="A5">
        <v>1</v>
      </c>
      <c r="B5" s="2">
        <v>39305</v>
      </c>
      <c r="C5" t="s">
        <v>337</v>
      </c>
      <c r="D5">
        <v>11</v>
      </c>
    </row>
    <row r="6" spans="1:7" x14ac:dyDescent="0.3">
      <c r="A6">
        <v>2</v>
      </c>
      <c r="B6" s="2">
        <v>39284</v>
      </c>
      <c r="C6" t="s">
        <v>337</v>
      </c>
      <c r="D6">
        <v>12</v>
      </c>
    </row>
    <row r="7" spans="1:7" x14ac:dyDescent="0.3">
      <c r="A7">
        <v>2</v>
      </c>
      <c r="B7" s="2">
        <v>39303</v>
      </c>
      <c r="C7" t="s">
        <v>337</v>
      </c>
      <c r="D7">
        <v>11</v>
      </c>
    </row>
    <row r="8" spans="1:7" x14ac:dyDescent="0.3">
      <c r="A8">
        <v>2</v>
      </c>
      <c r="B8" s="2">
        <v>39305</v>
      </c>
      <c r="C8" t="s">
        <v>337</v>
      </c>
      <c r="D8">
        <v>11</v>
      </c>
    </row>
    <row r="9" spans="1:7" x14ac:dyDescent="0.3">
      <c r="A9">
        <v>5</v>
      </c>
      <c r="B9" s="2">
        <v>39626</v>
      </c>
      <c r="C9" t="s">
        <v>337</v>
      </c>
      <c r="D9">
        <v>10</v>
      </c>
    </row>
    <row r="10" spans="1:7" x14ac:dyDescent="0.3">
      <c r="A10">
        <v>5</v>
      </c>
      <c r="B10" s="2">
        <v>39629</v>
      </c>
      <c r="C10" t="s">
        <v>337</v>
      </c>
      <c r="D10">
        <v>20</v>
      </c>
    </row>
    <row r="11" spans="1:7" x14ac:dyDescent="0.3">
      <c r="A11">
        <v>5</v>
      </c>
      <c r="B11" s="2">
        <v>39652</v>
      </c>
      <c r="C11" t="s">
        <v>337</v>
      </c>
      <c r="D11">
        <v>10</v>
      </c>
    </row>
    <row r="12" spans="1:7" x14ac:dyDescent="0.3">
      <c r="A12">
        <v>5</v>
      </c>
      <c r="B12" s="2">
        <v>39654</v>
      </c>
      <c r="C12" t="s">
        <v>337</v>
      </c>
      <c r="D12">
        <v>10</v>
      </c>
    </row>
    <row r="13" spans="1:7" x14ac:dyDescent="0.3">
      <c r="A13">
        <v>5</v>
      </c>
      <c r="B13" s="2">
        <v>39657</v>
      </c>
      <c r="C13" t="s">
        <v>337</v>
      </c>
      <c r="D13">
        <v>12</v>
      </c>
    </row>
    <row r="14" spans="1:7" x14ac:dyDescent="0.3">
      <c r="A14">
        <v>5</v>
      </c>
      <c r="B14" s="2">
        <v>39659</v>
      </c>
      <c r="C14" t="s">
        <v>337</v>
      </c>
      <c r="D14">
        <v>12</v>
      </c>
    </row>
    <row r="15" spans="1:7" x14ac:dyDescent="0.3">
      <c r="A15">
        <v>5</v>
      </c>
      <c r="B15" s="2">
        <v>39661</v>
      </c>
      <c r="C15" t="s">
        <v>337</v>
      </c>
      <c r="D15">
        <v>15</v>
      </c>
    </row>
    <row r="16" spans="1:7" x14ac:dyDescent="0.3">
      <c r="A16">
        <v>5</v>
      </c>
      <c r="B16" s="2">
        <v>39671</v>
      </c>
      <c r="C16" t="s">
        <v>337</v>
      </c>
      <c r="D16">
        <v>15</v>
      </c>
    </row>
    <row r="17" spans="1:4" x14ac:dyDescent="0.3">
      <c r="A17">
        <v>5</v>
      </c>
      <c r="B17" s="2">
        <v>39695</v>
      </c>
      <c r="C17" t="s">
        <v>337</v>
      </c>
      <c r="D17">
        <v>10</v>
      </c>
    </row>
    <row r="18" spans="1:4" x14ac:dyDescent="0.3">
      <c r="A18">
        <v>5</v>
      </c>
      <c r="B18" s="2">
        <v>39707</v>
      </c>
      <c r="C18" t="s">
        <v>337</v>
      </c>
      <c r="D18">
        <v>5</v>
      </c>
    </row>
    <row r="19" spans="1:4" x14ac:dyDescent="0.3">
      <c r="A19">
        <v>5</v>
      </c>
      <c r="B19" s="2">
        <v>39709</v>
      </c>
      <c r="C19" t="s">
        <v>337</v>
      </c>
      <c r="D19">
        <v>0</v>
      </c>
    </row>
    <row r="20" spans="1:4" x14ac:dyDescent="0.3">
      <c r="A20">
        <v>6</v>
      </c>
      <c r="B20" s="2">
        <v>39626</v>
      </c>
      <c r="C20" t="s">
        <v>337</v>
      </c>
      <c r="D20">
        <v>10</v>
      </c>
    </row>
    <row r="21" spans="1:4" x14ac:dyDescent="0.3">
      <c r="A21">
        <v>6</v>
      </c>
      <c r="B21" s="2">
        <v>39629</v>
      </c>
      <c r="C21" t="s">
        <v>337</v>
      </c>
      <c r="D21">
        <v>20</v>
      </c>
    </row>
    <row r="22" spans="1:4" x14ac:dyDescent="0.3">
      <c r="A22">
        <v>6</v>
      </c>
      <c r="B22" s="2">
        <v>39652</v>
      </c>
      <c r="C22" t="s">
        <v>337</v>
      </c>
      <c r="D22">
        <v>10</v>
      </c>
    </row>
    <row r="23" spans="1:4" x14ac:dyDescent="0.3">
      <c r="A23">
        <v>6</v>
      </c>
      <c r="B23" s="2">
        <v>39654</v>
      </c>
      <c r="C23" t="s">
        <v>337</v>
      </c>
      <c r="D23">
        <v>10</v>
      </c>
    </row>
    <row r="24" spans="1:4" x14ac:dyDescent="0.3">
      <c r="A24">
        <v>6</v>
      </c>
      <c r="B24" s="2">
        <v>39657</v>
      </c>
      <c r="C24" t="s">
        <v>337</v>
      </c>
      <c r="D24">
        <v>12</v>
      </c>
    </row>
    <row r="25" spans="1:4" x14ac:dyDescent="0.3">
      <c r="A25">
        <v>6</v>
      </c>
      <c r="B25" s="2">
        <v>39659</v>
      </c>
      <c r="C25" t="s">
        <v>337</v>
      </c>
      <c r="D25">
        <v>12</v>
      </c>
    </row>
    <row r="26" spans="1:4" x14ac:dyDescent="0.3">
      <c r="A26">
        <v>6</v>
      </c>
      <c r="B26" s="2">
        <v>39661</v>
      </c>
      <c r="C26" t="s">
        <v>337</v>
      </c>
      <c r="D26">
        <v>0</v>
      </c>
    </row>
    <row r="27" spans="1:4" x14ac:dyDescent="0.3">
      <c r="A27">
        <v>6</v>
      </c>
      <c r="B27" s="2">
        <v>39671</v>
      </c>
      <c r="C27" t="s">
        <v>337</v>
      </c>
      <c r="D27">
        <v>15</v>
      </c>
    </row>
    <row r="28" spans="1:4" x14ac:dyDescent="0.3">
      <c r="A28">
        <v>6</v>
      </c>
      <c r="B28" s="2">
        <v>39695</v>
      </c>
      <c r="C28" t="s">
        <v>337</v>
      </c>
      <c r="D28">
        <v>0</v>
      </c>
    </row>
    <row r="29" spans="1:4" x14ac:dyDescent="0.3">
      <c r="A29">
        <v>6</v>
      </c>
      <c r="B29" s="2">
        <v>39707</v>
      </c>
      <c r="C29" t="s">
        <v>337</v>
      </c>
      <c r="D29">
        <v>0</v>
      </c>
    </row>
    <row r="30" spans="1:4" x14ac:dyDescent="0.3">
      <c r="A30">
        <v>6</v>
      </c>
      <c r="B30" s="2">
        <v>39709</v>
      </c>
      <c r="C30" t="s">
        <v>337</v>
      </c>
      <c r="D30">
        <v>5</v>
      </c>
    </row>
    <row r="31" spans="1:4" x14ac:dyDescent="0.3">
      <c r="A31">
        <v>7</v>
      </c>
      <c r="B31" s="2">
        <v>39659</v>
      </c>
      <c r="C31" t="s">
        <v>337</v>
      </c>
      <c r="D31">
        <v>20</v>
      </c>
    </row>
    <row r="32" spans="1:4" x14ac:dyDescent="0.3">
      <c r="A32">
        <v>8</v>
      </c>
      <c r="B32" s="2">
        <v>39659</v>
      </c>
      <c r="C32" t="s">
        <v>337</v>
      </c>
      <c r="D32">
        <v>20</v>
      </c>
    </row>
    <row r="33" spans="1:5" x14ac:dyDescent="0.3">
      <c r="A33" s="1"/>
      <c r="B33" s="15"/>
      <c r="C33" s="13"/>
      <c r="D33" s="10"/>
      <c r="E33" s="1"/>
    </row>
    <row r="34" spans="1:5" x14ac:dyDescent="0.3">
      <c r="A34" s="10"/>
      <c r="B34" s="15"/>
      <c r="C34" s="13"/>
      <c r="D34" s="10"/>
      <c r="E34" s="1"/>
    </row>
    <row r="35" spans="1:5" x14ac:dyDescent="0.3">
      <c r="A35" s="1"/>
      <c r="B35" s="15"/>
      <c r="C35" s="13"/>
      <c r="D35" s="1"/>
      <c r="E35" s="1"/>
    </row>
    <row r="36" spans="1:5" x14ac:dyDescent="0.3">
      <c r="A36" s="1"/>
      <c r="B36" s="15"/>
      <c r="C36" s="13"/>
      <c r="D36" s="1"/>
      <c r="E36" s="1"/>
    </row>
    <row r="37" spans="1:5" x14ac:dyDescent="0.3">
      <c r="A37" s="1"/>
      <c r="B37" s="15"/>
      <c r="C37" s="13"/>
      <c r="D37" s="1"/>
      <c r="E37" s="1"/>
    </row>
    <row r="38" spans="1:5" x14ac:dyDescent="0.3">
      <c r="A38" s="1"/>
      <c r="B38" s="15"/>
      <c r="C38" s="13"/>
      <c r="D38" s="1"/>
      <c r="E38" s="1"/>
    </row>
    <row r="39" spans="1:5" x14ac:dyDescent="0.3">
      <c r="A39" s="1"/>
      <c r="B39" s="15"/>
      <c r="C39" s="13"/>
      <c r="D39" s="1"/>
      <c r="E39" s="1"/>
    </row>
    <row r="40" spans="1:5" x14ac:dyDescent="0.3">
      <c r="A40" s="1"/>
      <c r="B40" s="15"/>
      <c r="C40" s="13"/>
      <c r="D40" s="1"/>
      <c r="E40" s="1"/>
    </row>
    <row r="41" spans="1:5" x14ac:dyDescent="0.3">
      <c r="A41" s="1"/>
      <c r="B41" s="15"/>
      <c r="C41" s="13"/>
      <c r="D41" s="1"/>
      <c r="E41" s="1"/>
    </row>
    <row r="42" spans="1:5" x14ac:dyDescent="0.3">
      <c r="A42" s="1"/>
      <c r="B42" s="15"/>
      <c r="C42" s="13"/>
      <c r="D42" s="1"/>
      <c r="E42" s="1"/>
    </row>
    <row r="43" spans="1:5" x14ac:dyDescent="0.3">
      <c r="A43" s="1"/>
      <c r="B43" s="15"/>
      <c r="C43" s="13"/>
      <c r="D43" s="1"/>
      <c r="E43" s="1"/>
    </row>
    <row r="44" spans="1:5" x14ac:dyDescent="0.3">
      <c r="A44" s="1"/>
      <c r="B44" s="15"/>
      <c r="C44" s="13"/>
      <c r="D44" s="1"/>
      <c r="E44" s="1"/>
    </row>
    <row r="45" spans="1:5" x14ac:dyDescent="0.3">
      <c r="A45" s="1"/>
      <c r="B45" s="15"/>
      <c r="C45" s="13"/>
      <c r="D45" s="1"/>
      <c r="E45" s="1"/>
    </row>
    <row r="46" spans="1:5" x14ac:dyDescent="0.3">
      <c r="A46" s="1"/>
      <c r="B46" s="15"/>
      <c r="C46" s="13"/>
      <c r="D46" s="1"/>
      <c r="E46" s="1"/>
    </row>
    <row r="47" spans="1:5" x14ac:dyDescent="0.3">
      <c r="A47" s="1"/>
      <c r="B47" s="15"/>
      <c r="C47" s="13"/>
      <c r="D47" s="1"/>
      <c r="E47" s="1"/>
    </row>
    <row r="48" spans="1:5" x14ac:dyDescent="0.3">
      <c r="A48" s="1"/>
      <c r="B48" s="15"/>
      <c r="C48" s="13"/>
      <c r="D48" s="1"/>
      <c r="E48" s="1"/>
    </row>
    <row r="49" spans="1:5" x14ac:dyDescent="0.3">
      <c r="A49" s="1"/>
      <c r="B49" s="15"/>
      <c r="C49" s="13"/>
      <c r="D49" s="1"/>
      <c r="E49" s="1"/>
    </row>
    <row r="50" spans="1:5" x14ac:dyDescent="0.3">
      <c r="A50" s="1"/>
      <c r="B50" s="15"/>
      <c r="C50" s="13"/>
      <c r="D50" s="1"/>
      <c r="E50" s="1"/>
    </row>
    <row r="51" spans="1:5" x14ac:dyDescent="0.3">
      <c r="A51" s="1"/>
      <c r="B51" s="15"/>
      <c r="C51" s="13"/>
      <c r="D51" s="10"/>
      <c r="E51" s="1"/>
    </row>
    <row r="52" spans="1:5" x14ac:dyDescent="0.3">
      <c r="A52" s="1"/>
      <c r="B52" s="15"/>
      <c r="C52" s="13"/>
      <c r="D52" s="10"/>
      <c r="E52" s="1"/>
    </row>
    <row r="53" spans="1:5" x14ac:dyDescent="0.3">
      <c r="A53" s="1"/>
      <c r="B53" s="15"/>
      <c r="C53" s="13"/>
      <c r="D53" s="10"/>
      <c r="E53" s="1"/>
    </row>
    <row r="54" spans="1:5" x14ac:dyDescent="0.3">
      <c r="A54" s="1"/>
      <c r="B54" s="15"/>
      <c r="C54" s="13"/>
      <c r="D54" s="10"/>
      <c r="E54" s="1"/>
    </row>
    <row r="55" spans="1:5" x14ac:dyDescent="0.3">
      <c r="A55" s="1"/>
      <c r="B55" s="15"/>
      <c r="C55" s="13"/>
      <c r="D55" s="10"/>
      <c r="E55" s="1"/>
    </row>
    <row r="56" spans="1:5" x14ac:dyDescent="0.3">
      <c r="A56" s="1"/>
      <c r="B56" s="15"/>
      <c r="C56" s="13"/>
      <c r="D56" s="10"/>
      <c r="E56" s="1"/>
    </row>
    <row r="57" spans="1:5" x14ac:dyDescent="0.3">
      <c r="A57" s="1"/>
      <c r="B57" s="15"/>
      <c r="C57" s="13"/>
      <c r="D57" s="10"/>
      <c r="E57" s="1"/>
    </row>
    <row r="58" spans="1:5" x14ac:dyDescent="0.3">
      <c r="A58" s="1"/>
      <c r="B58" s="15"/>
      <c r="C58" s="13"/>
      <c r="D58" s="10"/>
      <c r="E58" s="1"/>
    </row>
    <row r="59" spans="1:5" x14ac:dyDescent="0.3">
      <c r="A59" s="1"/>
      <c r="B59" s="15"/>
      <c r="C59" s="13"/>
      <c r="D59" s="10"/>
      <c r="E59" s="1"/>
    </row>
    <row r="60" spans="1:5" x14ac:dyDescent="0.3">
      <c r="A60" s="1"/>
      <c r="B60" s="15"/>
      <c r="C60" s="13"/>
      <c r="D60" s="10"/>
      <c r="E60" s="1"/>
    </row>
    <row r="61" spans="1:5" x14ac:dyDescent="0.3">
      <c r="A61" s="1"/>
      <c r="B61" s="15"/>
      <c r="C61" s="13"/>
      <c r="D61" s="10"/>
      <c r="E61" s="1"/>
    </row>
    <row r="62" spans="1:5" x14ac:dyDescent="0.3">
      <c r="A62" s="1"/>
      <c r="B62" s="15"/>
      <c r="C62" s="13"/>
      <c r="D62" s="10"/>
      <c r="E62" s="1"/>
    </row>
    <row r="63" spans="1:5" x14ac:dyDescent="0.3">
      <c r="A63" s="1"/>
      <c r="B63" s="15"/>
      <c r="C63" s="13"/>
      <c r="D63" s="10"/>
      <c r="E63" s="1"/>
    </row>
    <row r="64" spans="1:5" x14ac:dyDescent="0.3">
      <c r="A64" s="1"/>
      <c r="B64" s="15"/>
      <c r="C64" s="13"/>
      <c r="D64" s="10"/>
      <c r="E64" s="1"/>
    </row>
    <row r="65" spans="1:5" x14ac:dyDescent="0.3">
      <c r="A65" s="1"/>
      <c r="B65" s="15"/>
      <c r="C65" s="13"/>
      <c r="D65" s="10"/>
      <c r="E65" s="1"/>
    </row>
    <row r="66" spans="1:5" x14ac:dyDescent="0.3">
      <c r="A66" s="1"/>
      <c r="B66" s="15"/>
      <c r="C66" s="13"/>
      <c r="D66" s="10"/>
      <c r="E66" s="1"/>
    </row>
    <row r="67" spans="1:5" x14ac:dyDescent="0.3">
      <c r="A67" s="1"/>
      <c r="B67" s="15"/>
      <c r="C67" s="13"/>
      <c r="D67" s="1"/>
      <c r="E67" s="1"/>
    </row>
    <row r="68" spans="1:5" x14ac:dyDescent="0.3">
      <c r="A68" s="1"/>
      <c r="B68" s="15"/>
      <c r="C68" s="13"/>
      <c r="D68" s="1"/>
      <c r="E68" s="1"/>
    </row>
    <row r="69" spans="1:5" x14ac:dyDescent="0.3">
      <c r="A69" s="1"/>
      <c r="B69" s="15"/>
      <c r="C69" s="13"/>
      <c r="D69" s="1"/>
      <c r="E69" s="1"/>
    </row>
    <row r="70" spans="1:5" x14ac:dyDescent="0.3">
      <c r="A70" s="1"/>
      <c r="B70" s="15"/>
      <c r="C70" s="13"/>
      <c r="D70" s="1"/>
      <c r="E70" s="1"/>
    </row>
    <row r="71" spans="1:5" x14ac:dyDescent="0.3">
      <c r="A71" s="1"/>
      <c r="B71" s="15"/>
      <c r="C71" s="13"/>
      <c r="D71" s="1"/>
      <c r="E71" s="1"/>
    </row>
    <row r="72" spans="1:5" x14ac:dyDescent="0.3">
      <c r="A72" s="1"/>
      <c r="B72" s="15"/>
      <c r="C72" s="13"/>
      <c r="D72" s="1"/>
      <c r="E72" s="1"/>
    </row>
    <row r="73" spans="1:5" x14ac:dyDescent="0.3">
      <c r="A73" s="1"/>
      <c r="B73" s="15"/>
      <c r="C73" s="13"/>
      <c r="D73" s="1"/>
      <c r="E73" s="1"/>
    </row>
    <row r="74" spans="1:5" x14ac:dyDescent="0.3">
      <c r="A74" s="1"/>
      <c r="B74" s="15"/>
      <c r="C74" s="13"/>
      <c r="D74" s="1"/>
      <c r="E74" s="1"/>
    </row>
    <row r="75" spans="1:5" x14ac:dyDescent="0.3">
      <c r="A75" s="1"/>
      <c r="B75" s="15"/>
      <c r="C75" s="13"/>
      <c r="D75" s="1"/>
      <c r="E75" s="1"/>
    </row>
    <row r="76" spans="1:5" x14ac:dyDescent="0.3">
      <c r="A76" s="1"/>
      <c r="B76" s="15"/>
      <c r="C76" s="13"/>
      <c r="D76" s="1"/>
      <c r="E76" s="1"/>
    </row>
    <row r="77" spans="1:5" x14ac:dyDescent="0.3">
      <c r="A77" s="1"/>
      <c r="B77" s="15"/>
      <c r="C77" s="13"/>
      <c r="D77" s="1"/>
      <c r="E77" s="1"/>
    </row>
    <row r="78" spans="1:5" x14ac:dyDescent="0.3">
      <c r="A78" s="1"/>
      <c r="B78" s="15"/>
      <c r="C78" s="13"/>
      <c r="D78" s="1"/>
      <c r="E78" s="1"/>
    </row>
    <row r="79" spans="1:5" x14ac:dyDescent="0.3">
      <c r="A79" s="1"/>
      <c r="B79" s="15"/>
      <c r="C79" s="13"/>
      <c r="D79" s="1"/>
      <c r="E79" s="1"/>
    </row>
    <row r="80" spans="1:5" x14ac:dyDescent="0.3">
      <c r="A80" s="1"/>
      <c r="B80" s="15"/>
      <c r="C80" s="13"/>
      <c r="D80" s="1"/>
      <c r="E80" s="1"/>
    </row>
    <row r="81" spans="1:5" x14ac:dyDescent="0.3">
      <c r="A81" s="1"/>
      <c r="B81" s="15"/>
      <c r="C81" s="13"/>
      <c r="D81" s="1"/>
      <c r="E81" s="1"/>
    </row>
    <row r="82" spans="1:5" x14ac:dyDescent="0.3">
      <c r="A82" s="1"/>
      <c r="B82" s="15"/>
      <c r="C82" s="13"/>
      <c r="D82" s="1"/>
      <c r="E82" s="1"/>
    </row>
    <row r="83" spans="1:5" x14ac:dyDescent="0.3">
      <c r="A83" s="1"/>
      <c r="B83" s="15"/>
      <c r="C83" s="13"/>
      <c r="D83" s="1"/>
      <c r="E83" s="1"/>
    </row>
    <row r="84" spans="1:5" x14ac:dyDescent="0.3">
      <c r="A84" s="1"/>
      <c r="B84" s="15"/>
      <c r="C84" s="13"/>
      <c r="D84" s="10"/>
      <c r="E84" s="1"/>
    </row>
    <row r="85" spans="1:5" x14ac:dyDescent="0.3">
      <c r="A85" s="1"/>
      <c r="B85" s="15"/>
      <c r="C85" s="13"/>
      <c r="D85" s="10"/>
      <c r="E85" s="1"/>
    </row>
    <row r="86" spans="1:5" x14ac:dyDescent="0.3">
      <c r="A86" s="1"/>
      <c r="B86" s="15"/>
      <c r="C86" s="13"/>
      <c r="D86" s="10"/>
      <c r="E86" s="1"/>
    </row>
    <row r="87" spans="1:5" x14ac:dyDescent="0.3">
      <c r="A87" s="1"/>
      <c r="B87" s="15"/>
      <c r="C87" s="13"/>
      <c r="D87" s="10"/>
      <c r="E87" s="1"/>
    </row>
    <row r="88" spans="1:5" x14ac:dyDescent="0.3">
      <c r="A88" s="1"/>
      <c r="B88" s="15"/>
      <c r="C88" s="13"/>
      <c r="D88" s="10"/>
      <c r="E88" s="1"/>
    </row>
    <row r="89" spans="1:5" x14ac:dyDescent="0.3">
      <c r="A89" s="1"/>
      <c r="B89" s="15"/>
      <c r="C89" s="13"/>
      <c r="D89" s="10"/>
      <c r="E89" s="1"/>
    </row>
    <row r="90" spans="1:5" x14ac:dyDescent="0.3">
      <c r="A90" s="1"/>
      <c r="B90" s="15"/>
      <c r="C90" s="13"/>
      <c r="D90" s="10"/>
      <c r="E90" s="1"/>
    </row>
    <row r="91" spans="1:5" x14ac:dyDescent="0.3">
      <c r="A91" s="1"/>
      <c r="B91" s="15"/>
      <c r="C91" s="13"/>
      <c r="D91" s="10"/>
      <c r="E91" s="1"/>
    </row>
    <row r="92" spans="1:5" x14ac:dyDescent="0.3">
      <c r="A92" s="1"/>
      <c r="B92" s="15"/>
      <c r="C92" s="13"/>
      <c r="D92" s="10"/>
      <c r="E92" s="1"/>
    </row>
    <row r="93" spans="1:5" x14ac:dyDescent="0.3">
      <c r="A93" s="1"/>
      <c r="B93" s="15"/>
      <c r="C93" s="13"/>
      <c r="D93" s="10"/>
      <c r="E93" s="1"/>
    </row>
    <row r="94" spans="1:5" x14ac:dyDescent="0.3">
      <c r="A94" s="1"/>
      <c r="B94" s="15"/>
      <c r="C94" s="13"/>
      <c r="D94" s="10"/>
      <c r="E94" s="1"/>
    </row>
    <row r="95" spans="1:5" x14ac:dyDescent="0.3">
      <c r="A95" s="1"/>
      <c r="B95" s="15"/>
      <c r="C95" s="13"/>
      <c r="D95" s="10"/>
      <c r="E95" s="1"/>
    </row>
    <row r="96" spans="1:5" x14ac:dyDescent="0.3">
      <c r="A96" s="1"/>
      <c r="B96" s="15"/>
      <c r="C96" s="13"/>
      <c r="D96" s="10"/>
      <c r="E96" s="1"/>
    </row>
    <row r="97" spans="1:5" x14ac:dyDescent="0.3">
      <c r="A97" s="1"/>
      <c r="B97" s="15"/>
      <c r="C97" s="13"/>
      <c r="D97" s="10"/>
      <c r="E97" s="1"/>
    </row>
    <row r="98" spans="1:5" x14ac:dyDescent="0.3">
      <c r="A98" s="1"/>
      <c r="B98" s="15"/>
      <c r="C98" s="13"/>
      <c r="D98" s="10"/>
      <c r="E98" s="1"/>
    </row>
    <row r="99" spans="1:5" x14ac:dyDescent="0.3">
      <c r="A99" s="1"/>
      <c r="B99" s="15"/>
      <c r="C99" s="13"/>
      <c r="D99" s="10"/>
      <c r="E99" s="1"/>
    </row>
    <row r="100" spans="1:5" x14ac:dyDescent="0.3">
      <c r="A100" s="1"/>
      <c r="B100" s="15"/>
      <c r="C100" s="13"/>
      <c r="D100" s="10"/>
      <c r="E100" s="1"/>
    </row>
    <row r="101" spans="1:5" x14ac:dyDescent="0.3">
      <c r="A101" s="1"/>
      <c r="B101" s="15"/>
      <c r="C101" s="13"/>
      <c r="D101" s="10"/>
      <c r="E101" s="1"/>
    </row>
    <row r="102" spans="1:5" x14ac:dyDescent="0.3">
      <c r="A102" s="1"/>
      <c r="B102" s="15"/>
      <c r="C102" s="13"/>
      <c r="D102" s="10"/>
      <c r="E102" s="1"/>
    </row>
    <row r="103" spans="1:5" x14ac:dyDescent="0.3">
      <c r="A103" s="1"/>
      <c r="B103" s="15"/>
      <c r="C103" s="13"/>
      <c r="D103" s="10"/>
      <c r="E103" s="1"/>
    </row>
    <row r="104" spans="1:5" x14ac:dyDescent="0.3">
      <c r="A104" s="1"/>
      <c r="B104" s="15"/>
      <c r="C104" s="13"/>
      <c r="D104" s="10"/>
      <c r="E104" s="1"/>
    </row>
    <row r="105" spans="1:5" x14ac:dyDescent="0.3">
      <c r="A105" s="1"/>
      <c r="B105" s="15"/>
      <c r="C105" s="13"/>
      <c r="D105" s="10"/>
      <c r="E105" s="1"/>
    </row>
    <row r="106" spans="1:5" x14ac:dyDescent="0.3">
      <c r="A106" s="1"/>
      <c r="B106" s="15"/>
      <c r="C106" s="13"/>
      <c r="D106" s="10"/>
      <c r="E106" s="1"/>
    </row>
    <row r="107" spans="1:5" x14ac:dyDescent="0.3">
      <c r="A107" s="1"/>
      <c r="B107" s="15"/>
      <c r="C107" s="13"/>
      <c r="D107" s="10"/>
      <c r="E107" s="1"/>
    </row>
    <row r="108" spans="1:5" x14ac:dyDescent="0.3">
      <c r="A108" s="1"/>
      <c r="B108" s="15"/>
      <c r="C108" s="13"/>
      <c r="D108" s="10"/>
      <c r="E108" s="1"/>
    </row>
    <row r="109" spans="1:5" x14ac:dyDescent="0.3">
      <c r="A109" s="1"/>
      <c r="B109" s="15"/>
      <c r="C109" s="13"/>
      <c r="D109" s="10"/>
      <c r="E109" s="1"/>
    </row>
    <row r="110" spans="1:5" x14ac:dyDescent="0.3">
      <c r="A110" s="1"/>
      <c r="B110" s="15"/>
      <c r="C110" s="13"/>
      <c r="D110" s="10"/>
      <c r="E110" s="1"/>
    </row>
    <row r="111" spans="1:5" x14ac:dyDescent="0.3">
      <c r="A111" s="1"/>
      <c r="B111" s="15"/>
      <c r="C111" s="13"/>
      <c r="D111" s="10"/>
      <c r="E111" s="1"/>
    </row>
    <row r="112" spans="1:5" x14ac:dyDescent="0.3">
      <c r="A112" s="1"/>
      <c r="B112" s="15"/>
      <c r="C112" s="13"/>
      <c r="D112" s="10"/>
      <c r="E112" s="1"/>
    </row>
    <row r="113" spans="1:5" x14ac:dyDescent="0.3">
      <c r="A113" s="1"/>
      <c r="B113" s="15"/>
      <c r="C113" s="13"/>
      <c r="D113" s="10"/>
      <c r="E113" s="1"/>
    </row>
    <row r="114" spans="1:5" x14ac:dyDescent="0.3">
      <c r="A114" s="1"/>
      <c r="B114" s="15"/>
      <c r="C114" s="13"/>
      <c r="D114" s="10"/>
      <c r="E114" s="1"/>
    </row>
    <row r="115" spans="1:5" x14ac:dyDescent="0.3">
      <c r="A115" s="1"/>
      <c r="B115" s="15"/>
      <c r="C115" s="13"/>
      <c r="D115" s="10"/>
      <c r="E115" s="1"/>
    </row>
    <row r="116" spans="1:5" x14ac:dyDescent="0.3">
      <c r="A116" s="1"/>
      <c r="B116" s="15"/>
      <c r="C116" s="13"/>
      <c r="D116" s="10"/>
      <c r="E116" s="1"/>
    </row>
    <row r="117" spans="1:5" x14ac:dyDescent="0.3">
      <c r="A117" s="1"/>
      <c r="B117" s="15"/>
      <c r="C117" s="13"/>
      <c r="D117" s="10"/>
      <c r="E117" s="1"/>
    </row>
    <row r="118" spans="1:5" x14ac:dyDescent="0.3">
      <c r="A118" s="1"/>
      <c r="B118" s="15"/>
      <c r="C118" s="13"/>
      <c r="D118" s="10"/>
      <c r="E118" s="1"/>
    </row>
    <row r="119" spans="1:5" x14ac:dyDescent="0.3">
      <c r="A119" s="1"/>
      <c r="B119" s="15"/>
      <c r="C119" s="13"/>
      <c r="D119" s="10"/>
      <c r="E119" s="1"/>
    </row>
    <row r="120" spans="1:5" x14ac:dyDescent="0.3">
      <c r="A120" s="1"/>
      <c r="B120" s="15"/>
      <c r="C120" s="13"/>
      <c r="D120" s="10"/>
      <c r="E120" s="1"/>
    </row>
    <row r="121" spans="1:5" x14ac:dyDescent="0.3">
      <c r="A121" s="1"/>
      <c r="B121" s="15"/>
      <c r="C121" s="13"/>
      <c r="D121" s="10"/>
      <c r="E121" s="1"/>
    </row>
    <row r="122" spans="1:5" x14ac:dyDescent="0.3">
      <c r="A122" s="1"/>
      <c r="B122" s="15"/>
      <c r="C122" s="13"/>
      <c r="D122" s="10"/>
      <c r="E122" s="1"/>
    </row>
    <row r="123" spans="1:5" x14ac:dyDescent="0.3">
      <c r="A123" s="1"/>
      <c r="B123" s="15"/>
      <c r="C123" s="13"/>
      <c r="D123" s="10"/>
      <c r="E123" s="1"/>
    </row>
    <row r="124" spans="1:5" x14ac:dyDescent="0.3">
      <c r="A124" s="1"/>
      <c r="B124" s="15"/>
      <c r="C124" s="13"/>
      <c r="D124" s="10"/>
      <c r="E124" s="1"/>
    </row>
    <row r="125" spans="1:5" x14ac:dyDescent="0.3">
      <c r="A125" s="1"/>
      <c r="B125" s="15"/>
      <c r="C125" s="13"/>
      <c r="D125" s="10"/>
      <c r="E125" s="1"/>
    </row>
    <row r="126" spans="1:5" x14ac:dyDescent="0.3">
      <c r="A126" s="1"/>
      <c r="B126" s="15"/>
      <c r="C126" s="13"/>
      <c r="D126" s="10"/>
      <c r="E126" s="1"/>
    </row>
    <row r="127" spans="1:5" x14ac:dyDescent="0.3">
      <c r="A127" s="1"/>
      <c r="B127" s="15"/>
      <c r="C127" s="13"/>
      <c r="D127" s="10"/>
      <c r="E127" s="1"/>
    </row>
    <row r="128" spans="1:5" x14ac:dyDescent="0.3">
      <c r="A128" s="1"/>
      <c r="B128" s="15"/>
      <c r="C128" s="13"/>
      <c r="D128" s="10"/>
      <c r="E128" s="1"/>
    </row>
    <row r="129" spans="1:5" x14ac:dyDescent="0.3">
      <c r="A129" s="1"/>
      <c r="B129" s="15"/>
      <c r="C129" s="13"/>
      <c r="D129" s="10"/>
      <c r="E129" s="1"/>
    </row>
    <row r="130" spans="1:5" x14ac:dyDescent="0.3">
      <c r="A130" s="1"/>
      <c r="B130" s="15"/>
      <c r="C130" s="13"/>
      <c r="D130" s="10"/>
      <c r="E130" s="1"/>
    </row>
    <row r="131" spans="1:5" x14ac:dyDescent="0.3">
      <c r="A131" s="1"/>
      <c r="B131" s="15"/>
      <c r="C131" s="13"/>
      <c r="D131" s="10"/>
      <c r="E131" s="1"/>
    </row>
    <row r="132" spans="1:5" x14ac:dyDescent="0.3">
      <c r="A132" s="1"/>
      <c r="B132" s="15"/>
      <c r="C132" s="13"/>
      <c r="D132" s="10"/>
      <c r="E132" s="1"/>
    </row>
    <row r="133" spans="1:5" x14ac:dyDescent="0.3">
      <c r="A133" s="1"/>
      <c r="B133" s="15"/>
      <c r="C133" s="13"/>
      <c r="D133" s="10"/>
      <c r="E133" s="1"/>
    </row>
    <row r="134" spans="1:5" x14ac:dyDescent="0.3">
      <c r="A134" s="1"/>
      <c r="B134" s="15"/>
      <c r="C134" s="13"/>
      <c r="D134" s="10"/>
      <c r="E134" s="1"/>
    </row>
    <row r="135" spans="1:5" x14ac:dyDescent="0.3">
      <c r="A135" s="1"/>
      <c r="B135" s="15"/>
      <c r="C135" s="13"/>
      <c r="D135" s="10"/>
      <c r="E135" s="1"/>
    </row>
    <row r="136" spans="1:5" x14ac:dyDescent="0.3">
      <c r="A136" s="1"/>
      <c r="B136" s="15"/>
      <c r="C136" s="13"/>
      <c r="D136" s="10"/>
      <c r="E136" s="1"/>
    </row>
    <row r="137" spans="1:5" x14ac:dyDescent="0.3">
      <c r="A137" s="1"/>
      <c r="B137" s="15"/>
      <c r="C137" s="13"/>
      <c r="D137" s="10"/>
      <c r="E137" s="1"/>
    </row>
    <row r="138" spans="1:5" x14ac:dyDescent="0.3">
      <c r="A138" s="1"/>
      <c r="B138" s="15"/>
      <c r="C138" s="13"/>
      <c r="D138" s="10"/>
      <c r="E138" s="1"/>
    </row>
    <row r="139" spans="1:5" x14ac:dyDescent="0.3">
      <c r="A139" s="1"/>
      <c r="B139" s="15"/>
      <c r="C139" s="13"/>
      <c r="D139" s="10"/>
      <c r="E139" s="1"/>
    </row>
    <row r="140" spans="1:5" x14ac:dyDescent="0.3">
      <c r="A140" s="1"/>
      <c r="B140" s="15"/>
      <c r="C140" s="13"/>
      <c r="D140" s="10"/>
      <c r="E140" s="1"/>
    </row>
    <row r="141" spans="1:5" x14ac:dyDescent="0.3">
      <c r="A141" s="1"/>
      <c r="B141" s="15"/>
      <c r="C141" s="13"/>
      <c r="D141" s="10"/>
      <c r="E141" s="1"/>
    </row>
    <row r="142" spans="1:5" x14ac:dyDescent="0.3">
      <c r="A142" s="1"/>
      <c r="B142" s="15"/>
      <c r="C142" s="13"/>
      <c r="D142" s="10"/>
      <c r="E142" s="1"/>
    </row>
    <row r="143" spans="1:5" x14ac:dyDescent="0.3">
      <c r="A143" s="1"/>
      <c r="B143" s="15"/>
      <c r="C143" s="13"/>
      <c r="D143" s="10"/>
      <c r="E143" s="1"/>
    </row>
    <row r="144" spans="1:5" x14ac:dyDescent="0.3">
      <c r="A144" s="1"/>
      <c r="B144" s="15"/>
      <c r="C144" s="13"/>
      <c r="D144" s="10"/>
      <c r="E144" s="1"/>
    </row>
    <row r="145" spans="1:5" x14ac:dyDescent="0.3">
      <c r="A145" s="1"/>
      <c r="B145" s="15"/>
      <c r="C145" s="13"/>
      <c r="D145" s="10"/>
      <c r="E145" s="1"/>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ReadMe_format</vt:lpstr>
      <vt:lpstr>ReadMe_content</vt:lpstr>
      <vt:lpstr>Definitions</vt:lpstr>
      <vt:lpstr>Comments</vt:lpstr>
      <vt:lpstr>Metadata</vt:lpstr>
      <vt:lpstr>Init_conditions</vt:lpstr>
      <vt:lpstr>Init_conditions_Soil_layers</vt:lpstr>
      <vt:lpstr>Plantings</vt:lpstr>
      <vt:lpstr>Irrigations</vt:lpstr>
      <vt:lpstr>Fertilizers</vt:lpstr>
      <vt:lpstr>Soils_meta</vt:lpstr>
      <vt:lpstr>Soil_layers</vt:lpstr>
      <vt:lpstr>Weather_meta</vt:lpstr>
      <vt:lpstr>Weather_daily</vt:lpstr>
      <vt:lpstr>Summary_crop</vt:lpstr>
      <vt:lpstr>Obs_crop</vt:lpstr>
      <vt:lpstr>Obs_soil_water_N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davide</dc:creator>
  <cp:lastModifiedBy>Felipex</cp:lastModifiedBy>
  <cp:lastPrinted>2017-02-13T19:31:45Z</cp:lastPrinted>
  <dcterms:created xsi:type="dcterms:W3CDTF">2013-10-23T19:42:14Z</dcterms:created>
  <dcterms:modified xsi:type="dcterms:W3CDTF">2020-04-02T10:03:44Z</dcterms:modified>
</cp:coreProperties>
</file>