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mle\BitTorrent Sync\private\projects\Creekfleet_Timer\hardware\"/>
    </mc:Choice>
  </mc:AlternateContent>
  <bookViews>
    <workbookView xWindow="0" yWindow="0" windowWidth="14380" windowHeight="13570"/>
  </bookViews>
  <sheets>
    <sheet name="Items" sheetId="1" r:id="rId1"/>
    <sheet name="Price Tables" sheetId="4" r:id="rId2"/>
    <sheet name="Power Budget" sheetId="2" r:id="rId3"/>
    <sheet name="Compressor Table" sheetId="3" r:id="rId4"/>
  </sheets>
  <definedNames>
    <definedName name="_xlnm._FilterDatabase" localSheetId="0" hidden="1">Items!$A$1:$H$47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1" i="1"/>
  <c r="G22" i="1"/>
  <c r="G24" i="1"/>
  <c r="G18" i="1"/>
  <c r="G23" i="1" l="1"/>
  <c r="G16" i="1"/>
  <c r="G15" i="1"/>
  <c r="G20" i="1"/>
  <c r="G14" i="1"/>
  <c r="G40" i="1"/>
  <c r="G42" i="1"/>
  <c r="G17" i="1"/>
  <c r="G3" i="1" l="1"/>
  <c r="F25" i="1"/>
  <c r="G25" i="1" s="1"/>
  <c r="F8" i="1"/>
  <c r="G30" i="1" l="1"/>
  <c r="G8" i="1"/>
  <c r="G43" i="1"/>
  <c r="G37" i="1" l="1"/>
  <c r="G38" i="1"/>
  <c r="G35" i="1"/>
  <c r="G31" i="1"/>
  <c r="G34" i="1"/>
  <c r="G36" i="1"/>
  <c r="D3" i="4"/>
  <c r="D4" i="4"/>
  <c r="D5" i="4"/>
  <c r="D6" i="4"/>
  <c r="D7" i="4"/>
  <c r="D8" i="4"/>
  <c r="D9" i="4"/>
  <c r="D10" i="4"/>
  <c r="D11" i="4"/>
  <c r="D2" i="4"/>
  <c r="F32" i="1"/>
  <c r="C32" i="1" s="1"/>
  <c r="F29" i="1"/>
  <c r="E32" i="1" l="1"/>
  <c r="G32" i="1" s="1"/>
  <c r="G33" i="1"/>
  <c r="G29" i="1"/>
  <c r="F39" i="1"/>
  <c r="G39" i="1" s="1"/>
  <c r="F12" i="1"/>
  <c r="G12" i="1" s="1"/>
  <c r="F9" i="1"/>
  <c r="G9" i="1" s="1"/>
  <c r="F10" i="1"/>
  <c r="G10" i="1" s="1"/>
  <c r="F11" i="1"/>
  <c r="G11" i="1" s="1"/>
  <c r="F3" i="2"/>
  <c r="G3" i="2"/>
  <c r="H3" i="2"/>
  <c r="I3" i="2"/>
  <c r="J3" i="2"/>
  <c r="K3" i="2"/>
  <c r="L3" i="2"/>
  <c r="M3" i="2"/>
  <c r="N3" i="2"/>
  <c r="O3" i="2"/>
  <c r="P3" i="2"/>
  <c r="Q3" i="2"/>
  <c r="E3" i="2"/>
  <c r="B3" i="2"/>
  <c r="R4" i="2"/>
  <c r="R5" i="2"/>
  <c r="R6" i="2"/>
  <c r="P2" i="2"/>
  <c r="O2" i="2"/>
  <c r="N2" i="2"/>
  <c r="M2" i="2"/>
  <c r="L2" i="2"/>
  <c r="K2" i="2"/>
  <c r="J2" i="2"/>
  <c r="I2" i="2"/>
  <c r="G2" i="2"/>
  <c r="G26" i="1"/>
  <c r="G28" i="1"/>
  <c r="G27" i="1"/>
  <c r="G46" i="1"/>
  <c r="G44" i="1"/>
  <c r="G45" i="1"/>
  <c r="G47" i="1"/>
  <c r="G41" i="1"/>
  <c r="G13" i="1"/>
  <c r="G7" i="1"/>
  <c r="G6" i="1"/>
  <c r="G5" i="1"/>
  <c r="G4" i="1"/>
  <c r="C6" i="1"/>
  <c r="C5" i="1"/>
  <c r="C4" i="1"/>
  <c r="C7" i="1"/>
  <c r="G2" i="1"/>
  <c r="J1" i="1" l="1"/>
  <c r="R2" i="2"/>
  <c r="K1" i="1"/>
  <c r="R3" i="2" l="1"/>
  <c r="S1" i="2" s="1"/>
  <c r="I1" i="1"/>
</calcChain>
</file>

<file path=xl/sharedStrings.xml><?xml version="1.0" encoding="utf-8"?>
<sst xmlns="http://schemas.openxmlformats.org/spreadsheetml/2006/main" count="243" uniqueCount="138">
  <si>
    <t>Part Number</t>
  </si>
  <si>
    <t>Vendor</t>
  </si>
  <si>
    <t>Description</t>
  </si>
  <si>
    <t>Price</t>
  </si>
  <si>
    <t>Qty</t>
  </si>
  <si>
    <t>Total</t>
  </si>
  <si>
    <t>Amazon</t>
  </si>
  <si>
    <t>B015JT8L48</t>
  </si>
  <si>
    <t>Vixen Horns Loud 149dB Four Trumpet Train Air Horn with 12V Electric Solenoid Black VXH4124B</t>
  </si>
  <si>
    <t>AndyMark</t>
  </si>
  <si>
    <t>Pressure Gauge, 1/8" NPT, 0-160 PSI (am-3147)</t>
  </si>
  <si>
    <t>Norgren Regulator and Bracket (am-2020)</t>
  </si>
  <si>
    <t>Norgren relief valve (am-2002)</t>
  </si>
  <si>
    <t>Air compressor, 12 volt, 0.88 cfm (am-2005)</t>
  </si>
  <si>
    <t>Digikey</t>
  </si>
  <si>
    <t>Sparkfun</t>
  </si>
  <si>
    <t>COM-11310</t>
  </si>
  <si>
    <t>LCD-09568</t>
  </si>
  <si>
    <t>SEN-00245</t>
  </si>
  <si>
    <t>SEN-08733</t>
  </si>
  <si>
    <t>Toggle Switch and Cover - Illuminated (Red) </t>
  </si>
  <si>
    <t>Serial Enabled 20x4 LCD - Black on Green 5V </t>
  </si>
  <si>
    <t>One Wire Digital Temperature Sensor - DS18B20 </t>
  </si>
  <si>
    <t>Infrared Sensor Jumper Wire - 3-Pin JST </t>
  </si>
  <si>
    <t>BaneBots</t>
  </si>
  <si>
    <t>M5-RS550-12</t>
  </si>
  <si>
    <t>RS550 Motor - 12V</t>
  </si>
  <si>
    <t>P60S-4-57</t>
  </si>
  <si>
    <t>P60 Gearbox: Standard, 4:1, For RS-500 or RS-700 Motor</t>
  </si>
  <si>
    <t>EV Assemble</t>
  </si>
  <si>
    <t>Capacitor-4S-30A-BMS</t>
  </si>
  <si>
    <t>Battery Management System</t>
  </si>
  <si>
    <t>KP-W(120W) 12V 4S LiFePO4 6A Charger</t>
  </si>
  <si>
    <t>AC Battery Charger</t>
  </si>
  <si>
    <t>Headway 40152S 15ah LiFePO4 Cell -screw tab</t>
  </si>
  <si>
    <t>3.2V 15AH 40152S LiFePO4 Screw tab cell</t>
  </si>
  <si>
    <t>Bearing Block, P60 Series, 1/2in Ball Bearing - Standard</t>
  </si>
  <si>
    <t>PB-S5001-BB-1</t>
  </si>
  <si>
    <t>Item</t>
  </si>
  <si>
    <t>Current</t>
  </si>
  <si>
    <t>Duration</t>
  </si>
  <si>
    <t>Horn</t>
  </si>
  <si>
    <t>Compressor</t>
  </si>
  <si>
    <t>TOTAL</t>
  </si>
  <si>
    <t>AH/sequence</t>
  </si>
  <si>
    <t>Air</t>
  </si>
  <si>
    <t>PSI</t>
  </si>
  <si>
    <t>CFM</t>
  </si>
  <si>
    <t>Amps</t>
  </si>
  <si>
    <t>Class Flag Primary</t>
  </si>
  <si>
    <t>Class Flag Secondary</t>
  </si>
  <si>
    <t>Blue Flag</t>
  </si>
  <si>
    <t>McMaster</t>
  </si>
  <si>
    <t>98535A410</t>
  </si>
  <si>
    <t>1/8" keystock, 36"</t>
  </si>
  <si>
    <t>Flags</t>
  </si>
  <si>
    <t>3" diameter UHMW rod, by the foot</t>
  </si>
  <si>
    <t>8701K55</t>
  </si>
  <si>
    <t>8575K213</t>
  </si>
  <si>
    <t>1/8" x 12" x 24" black acetal sheet</t>
  </si>
  <si>
    <t>1497K7</t>
  </si>
  <si>
    <t>1497K8</t>
  </si>
  <si>
    <t>1497K9</t>
  </si>
  <si>
    <t>1497K131</t>
  </si>
  <si>
    <t>1497K953</t>
  </si>
  <si>
    <t>1497K31</t>
  </si>
  <si>
    <t>1497K32</t>
  </si>
  <si>
    <t>1497K33</t>
  </si>
  <si>
    <t>1497K34</t>
  </si>
  <si>
    <t>1497K35</t>
  </si>
  <si>
    <t>Keyshaft</t>
  </si>
  <si>
    <t>1/2" keyshaft</t>
  </si>
  <si>
    <t>Station</t>
  </si>
  <si>
    <t>Main</t>
  </si>
  <si>
    <t>Remote</t>
  </si>
  <si>
    <t>Both</t>
  </si>
  <si>
    <t>97633A200</t>
  </si>
  <si>
    <t>1/2" shaft retaining rings, 100 count</t>
  </si>
  <si>
    <t>480-6715-ND</t>
  </si>
  <si>
    <t>PRESSURE TRANSDUCER 250PSIA NPT</t>
  </si>
  <si>
    <t>Saginaw Controls</t>
  </si>
  <si>
    <t>SCE-20N2010LP</t>
  </si>
  <si>
    <t>20" x 20" x 10" panel</t>
  </si>
  <si>
    <t>8975K74</t>
  </si>
  <si>
    <t>2" x 0.5" x 6' T6061 bar</t>
  </si>
  <si>
    <t>KWBH0001</t>
  </si>
  <si>
    <t>NO Microswitch</t>
  </si>
  <si>
    <t>eBay</t>
  </si>
  <si>
    <t>B00FU8O4NQ</t>
  </si>
  <si>
    <t>3.5F 16VDC capacitor</t>
  </si>
  <si>
    <t>Purchased?</t>
  </si>
  <si>
    <t>497-3565-1-ND</t>
  </si>
  <si>
    <t>IC MOTOR DRIVER PAR 30MULTIPWRSO</t>
  </si>
  <si>
    <t>y</t>
  </si>
  <si>
    <t>o</t>
  </si>
  <si>
    <t>PJRC</t>
  </si>
  <si>
    <t>TEENSY32</t>
  </si>
  <si>
    <t>Teensy 3.2 Microcontroller</t>
  </si>
  <si>
    <t>MAX3232CSE+-ND</t>
  </si>
  <si>
    <t>MAX3232 RS-232 Driver</t>
  </si>
  <si>
    <t>Newark</t>
  </si>
  <si>
    <t>79K2060</t>
  </si>
  <si>
    <t>4-pos WAGO connector block</t>
  </si>
  <si>
    <t>79K2058</t>
  </si>
  <si>
    <t>2-pos WAGO connector block</t>
  </si>
  <si>
    <t>1189-2099-1-ND</t>
  </si>
  <si>
    <t>25VDC 1500uF capacitor</t>
  </si>
  <si>
    <t>MC7805CDTGOS-ND</t>
  </si>
  <si>
    <t>5V 1A linear regulator</t>
  </si>
  <si>
    <t>475-1415-1-ND</t>
  </si>
  <si>
    <t>Red LED 0805</t>
  </si>
  <si>
    <t>475-1410-1-ND</t>
  </si>
  <si>
    <t>Green LED 0805</t>
  </si>
  <si>
    <t>311-698CRCT-ND</t>
  </si>
  <si>
    <t>698ohm resistor 0805</t>
  </si>
  <si>
    <t>Avon Sailboats</t>
  </si>
  <si>
    <t>AL-0039</t>
  </si>
  <si>
    <t>Thru-Deck Bush Acetal</t>
  </si>
  <si>
    <t>568-1056-5-ND</t>
  </si>
  <si>
    <t>IC I/O EXPANDER I2C 16B 24SOIC</t>
  </si>
  <si>
    <t>B340-FDICT-ND</t>
  </si>
  <si>
    <t>Solenoid Flyback Diode</t>
  </si>
  <si>
    <t>CPH3456-TL-HOSCT-ND</t>
  </si>
  <si>
    <t>20Vgs 3.5A N-Channel FET 1.8V drive</t>
  </si>
  <si>
    <t>300-8763-ND</t>
  </si>
  <si>
    <t>32.768kHz +/-1ppm RTC crystal</t>
  </si>
  <si>
    <t>9414K38</t>
  </si>
  <si>
    <t>Barbed 7/32" ID air coupling socket</t>
  </si>
  <si>
    <t>9414K95</t>
  </si>
  <si>
    <t>Through-wall  7/32" barbed air coupler plug</t>
  </si>
  <si>
    <t>44555K131</t>
  </si>
  <si>
    <t>1/8" male NPT to 1/4" ID barbed adapter</t>
  </si>
  <si>
    <t>5670K31</t>
  </si>
  <si>
    <t>1/4" ID barbed tee</t>
  </si>
  <si>
    <t>44555K124</t>
  </si>
  <si>
    <t>1/8" female NPT to 1/4" barbed adapter</t>
  </si>
  <si>
    <t>WM17453-ND</t>
  </si>
  <si>
    <t>Teensy SMD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</si>
</sst>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9" fontId="0" fillId="0" borderId="1" xfId="2" applyFont="1" applyBorder="1"/>
    <xf numFmtId="44" fontId="0" fillId="0" borderId="2" xfId="1" applyFont="1" applyBorder="1"/>
    <xf numFmtId="44" fontId="0" fillId="0" borderId="3" xfId="1" applyFont="1" applyBorder="1"/>
    <xf numFmtId="0" fontId="0" fillId="0" borderId="1" xfId="0" applyBorder="1"/>
    <xf numFmtId="0" fontId="0" fillId="0" borderId="3" xfId="0" applyBorder="1"/>
    <xf numFmtId="44" fontId="0" fillId="5" borderId="0" xfId="1" applyFont="1" applyFill="1"/>
    <xf numFmtId="0" fontId="3" fillId="2" borderId="0" xfId="3"/>
    <xf numFmtId="0" fontId="4" fillId="3" borderId="0" xfId="4"/>
    <xf numFmtId="44" fontId="4" fillId="3" borderId="0" xfId="4" applyNumberFormat="1"/>
    <xf numFmtId="0" fontId="5" fillId="4" borderId="0" xfId="5"/>
    <xf numFmtId="44" fontId="5" fillId="4" borderId="0" xfId="5" applyNumberFormat="1"/>
    <xf numFmtId="0" fontId="0" fillId="0" borderId="0" xfId="0" applyFill="1" applyBorder="1"/>
    <xf numFmtId="44" fontId="3" fillId="2" borderId="0" xfId="1" applyFont="1" applyFill="1"/>
    <xf numFmtId="44" fontId="5" fillId="4" borderId="0" xfId="5" applyNumberFormat="1" applyAlignment="1">
      <alignment horizontal="left"/>
    </xf>
    <xf numFmtId="0" fontId="0" fillId="0" borderId="0" xfId="0" applyAlignment="1">
      <alignment horizontal="center"/>
    </xf>
  </cellXfs>
  <cellStyles count="6">
    <cellStyle name="Bad" xfId="4" builtinId="27"/>
    <cellStyle name="Currency" xfId="1" builtinId="4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'Compressor Table'!$C$1</c:f>
              <c:strCache>
                <c:ptCount val="1"/>
                <c:pt idx="0">
                  <c:v>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780116270512001E-3"/>
                  <c:y val="2.0519824402480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'Compressor Table'!$A$1:$A$14</c15:sqref>
                  </c15:fullRef>
                </c:ext>
              </c:extLst>
              <c:f>'Compressor Table'!$A$2:$A$14</c:f>
              <c:strCach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'Compressor Table'!$C$2:$C$14</c15:sqref>
                  </c15:fullRef>
                </c:ext>
              </c:extLst>
              <c:f>'Compressor Table'!$C$3:$C$14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8BC-8266-1B986D74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43328"/>
        <c:axId val="422443656"/>
      </c:lineChart>
      <c:lineChart>
        <c:grouping val="standard"/>
        <c:varyColors val="0"/>
        <c:ser>
          <c:idx val="1"/>
          <c:order val="0"/>
          <c:tx>
            <c:strRef>
              <c:f>'Compressor Table'!$B$1</c:f>
              <c:strCache>
                <c:ptCount val="1"/>
                <c:pt idx="0">
                  <c:v>CFM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'Compressor Table'!$A$1:$A$14</c15:sqref>
                  </c15:fullRef>
                </c:ext>
              </c:extLst>
              <c:f>'Compressor Table'!$A$2:$A$14</c:f>
              <c:strCach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'Compressor Table'!$B$2:$B$14</c15:sqref>
                  </c15:fullRef>
                </c:ext>
              </c:extLst>
              <c:f>'Compressor Table'!$B$3:$B$14</c:f>
              <c:numCache>
                <c:formatCode>General</c:formatCode>
                <c:ptCount val="12"/>
                <c:pt idx="0">
                  <c:v>0.71</c:v>
                </c:pt>
                <c:pt idx="1">
                  <c:v>0.67</c:v>
                </c:pt>
                <c:pt idx="2">
                  <c:v>0.64</c:v>
                </c:pt>
                <c:pt idx="3">
                  <c:v>0.6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0.48</c:v>
                </c:pt>
                <c:pt idx="7">
                  <c:v>0.45</c:v>
                </c:pt>
                <c:pt idx="8">
                  <c:v>0.43</c:v>
                </c:pt>
                <c:pt idx="9">
                  <c:v>0.39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8BC-8266-1B986D74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76312"/>
        <c:axId val="521483528"/>
      </c:lineChart>
      <c:catAx>
        <c:axId val="4224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3656"/>
        <c:crosses val="autoZero"/>
        <c:auto val="1"/>
        <c:lblAlgn val="ctr"/>
        <c:lblOffset val="100"/>
        <c:noMultiLvlLbl val="0"/>
      </c:catAx>
      <c:valAx>
        <c:axId val="4224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3328"/>
        <c:crosses val="autoZero"/>
        <c:crossBetween val="between"/>
      </c:valAx>
      <c:valAx>
        <c:axId val="521483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6312"/>
        <c:crosses val="max"/>
        <c:crossBetween val="between"/>
      </c:valAx>
      <c:catAx>
        <c:axId val="52147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83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5</xdr:row>
      <xdr:rowOff>120650</xdr:rowOff>
    </xdr:from>
    <xdr:to>
      <xdr:col>22</xdr:col>
      <xdr:colOff>393700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1.36328125" bestFit="1" customWidth="1"/>
    <col min="2" max="2" width="15.1796875" bestFit="1" customWidth="1"/>
    <col min="3" max="3" width="39.6328125" bestFit="1" customWidth="1"/>
    <col min="4" max="4" width="81.90625" bestFit="1" customWidth="1"/>
    <col min="5" max="5" width="10.7265625" style="1" bestFit="1" customWidth="1"/>
    <col min="6" max="6" width="8.36328125" bestFit="1" customWidth="1"/>
    <col min="7" max="7" width="10.90625" style="1" bestFit="1" customWidth="1"/>
    <col min="8" max="8" width="15" bestFit="1" customWidth="1"/>
    <col min="9" max="9" width="4.26953125" bestFit="1" customWidth="1"/>
    <col min="10" max="10" width="8.6328125" bestFit="1" customWidth="1"/>
    <col min="11" max="11" width="10.08984375" bestFit="1" customWidth="1"/>
    <col min="12" max="12" width="4.90625" bestFit="1" customWidth="1"/>
    <col min="13" max="13" width="1.81640625" bestFit="1" customWidth="1"/>
  </cols>
  <sheetData>
    <row r="1" spans="1:13" ht="15" thickBot="1" x14ac:dyDescent="0.4">
      <c r="A1" s="2" t="s">
        <v>72</v>
      </c>
      <c r="B1" s="2" t="s">
        <v>1</v>
      </c>
      <c r="C1" s="2" t="s">
        <v>0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90</v>
      </c>
      <c r="I1" s="10">
        <f>J1/K1</f>
        <v>0.86395726924636873</v>
      </c>
      <c r="J1" s="11">
        <f>SUMIFS(G:G,H:H,"&lt;&gt;")</f>
        <v>1256.7900000000002</v>
      </c>
      <c r="K1" s="12">
        <f>SUM(G:G)</f>
        <v>1454.69</v>
      </c>
      <c r="L1" s="13" t="s">
        <v>55</v>
      </c>
      <c r="M1" s="14">
        <v>5</v>
      </c>
    </row>
    <row r="2" spans="1:13" s="8" customFormat="1" x14ac:dyDescent="0.35">
      <c r="A2" s="16" t="s">
        <v>74</v>
      </c>
      <c r="B2" s="16" t="s">
        <v>6</v>
      </c>
      <c r="C2" s="16" t="s">
        <v>7</v>
      </c>
      <c r="D2" s="16" t="s">
        <v>8</v>
      </c>
      <c r="E2" s="22">
        <v>69.95</v>
      </c>
      <c r="F2" s="16">
        <v>1</v>
      </c>
      <c r="G2" s="9">
        <f t="shared" ref="G2:G47" si="0">F2*E2</f>
        <v>69.95</v>
      </c>
      <c r="H2" s="8" t="s">
        <v>93</v>
      </c>
    </row>
    <row r="3" spans="1:13" s="8" customFormat="1" x14ac:dyDescent="0.35">
      <c r="A3" s="17" t="s">
        <v>74</v>
      </c>
      <c r="B3" s="17" t="s">
        <v>6</v>
      </c>
      <c r="C3" s="17" t="s">
        <v>88</v>
      </c>
      <c r="D3" s="17" t="s">
        <v>89</v>
      </c>
      <c r="E3" s="18">
        <v>35.89</v>
      </c>
      <c r="F3" s="17">
        <v>1</v>
      </c>
      <c r="G3" s="15">
        <f t="shared" si="0"/>
        <v>35.89</v>
      </c>
    </row>
    <row r="4" spans="1:13" s="8" customFormat="1" x14ac:dyDescent="0.35">
      <c r="A4" s="16" t="s">
        <v>73</v>
      </c>
      <c r="B4" s="16" t="s">
        <v>9</v>
      </c>
      <c r="C4" s="16" t="str">
        <f>MID(D4,SEARCH("(",D4)+1,7)</f>
        <v>am-2005</v>
      </c>
      <c r="D4" s="16" t="s">
        <v>13</v>
      </c>
      <c r="E4" s="22">
        <v>69</v>
      </c>
      <c r="F4" s="16">
        <v>1</v>
      </c>
      <c r="G4" s="9">
        <f t="shared" si="0"/>
        <v>69</v>
      </c>
      <c r="H4" s="8" t="s">
        <v>93</v>
      </c>
    </row>
    <row r="5" spans="1:13" s="8" customFormat="1" x14ac:dyDescent="0.35">
      <c r="A5" s="16" t="s">
        <v>74</v>
      </c>
      <c r="B5" s="16" t="s">
        <v>9</v>
      </c>
      <c r="C5" s="16" t="str">
        <f>MID(D5,SEARCH("(",D5)+1,7)</f>
        <v>am-2002</v>
      </c>
      <c r="D5" s="16" t="s">
        <v>12</v>
      </c>
      <c r="E5" s="22">
        <v>40</v>
      </c>
      <c r="F5" s="16">
        <v>1</v>
      </c>
      <c r="G5" s="9">
        <f t="shared" si="0"/>
        <v>40</v>
      </c>
      <c r="H5" s="21" t="s">
        <v>93</v>
      </c>
    </row>
    <row r="6" spans="1:13" s="8" customFormat="1" x14ac:dyDescent="0.35">
      <c r="A6" s="16" t="s">
        <v>74</v>
      </c>
      <c r="B6" s="16" t="s">
        <v>9</v>
      </c>
      <c r="C6" s="16" t="str">
        <f>MID(D6,SEARCH("(",D6)+1,7)</f>
        <v>am-2020</v>
      </c>
      <c r="D6" s="16" t="s">
        <v>11</v>
      </c>
      <c r="E6" s="22">
        <v>28</v>
      </c>
      <c r="F6" s="16">
        <v>1</v>
      </c>
      <c r="G6" s="9">
        <f t="shared" si="0"/>
        <v>28</v>
      </c>
      <c r="H6" s="21" t="s">
        <v>93</v>
      </c>
    </row>
    <row r="7" spans="1:13" s="8" customFormat="1" x14ac:dyDescent="0.35">
      <c r="A7" s="16" t="s">
        <v>74</v>
      </c>
      <c r="B7" s="16" t="s">
        <v>9</v>
      </c>
      <c r="C7" s="16" t="str">
        <f>MID(D7,SEARCH("(",D7)+1,7)</f>
        <v>am-3147</v>
      </c>
      <c r="D7" s="16" t="s">
        <v>10</v>
      </c>
      <c r="E7" s="22">
        <v>12.5</v>
      </c>
      <c r="F7" s="16">
        <v>1</v>
      </c>
      <c r="G7" s="9">
        <f t="shared" si="0"/>
        <v>12.5</v>
      </c>
      <c r="H7" s="21" t="s">
        <v>93</v>
      </c>
    </row>
    <row r="8" spans="1:13" s="8" customFormat="1" x14ac:dyDescent="0.35">
      <c r="A8" s="16" t="s">
        <v>74</v>
      </c>
      <c r="B8" s="16" t="s">
        <v>115</v>
      </c>
      <c r="C8" s="16" t="s">
        <v>116</v>
      </c>
      <c r="D8" s="16" t="s">
        <v>117</v>
      </c>
      <c r="E8" s="22">
        <v>2</v>
      </c>
      <c r="F8" s="16">
        <f>2*$M$1</f>
        <v>10</v>
      </c>
      <c r="G8" s="1">
        <f t="shared" si="0"/>
        <v>20</v>
      </c>
      <c r="H8" s="21" t="s">
        <v>93</v>
      </c>
    </row>
    <row r="9" spans="1:13" s="8" customFormat="1" x14ac:dyDescent="0.35">
      <c r="A9" s="16" t="s">
        <v>74</v>
      </c>
      <c r="B9" s="16" t="s">
        <v>24</v>
      </c>
      <c r="C9" s="16" t="s">
        <v>27</v>
      </c>
      <c r="D9" s="16" t="s">
        <v>28</v>
      </c>
      <c r="E9" s="22">
        <v>41.85</v>
      </c>
      <c r="F9" s="16">
        <f>$M$1</f>
        <v>5</v>
      </c>
      <c r="G9" s="9">
        <f t="shared" si="0"/>
        <v>209.25</v>
      </c>
      <c r="H9" s="21" t="s">
        <v>93</v>
      </c>
      <c r="K9" s="9"/>
    </row>
    <row r="10" spans="1:13" s="8" customFormat="1" x14ac:dyDescent="0.35">
      <c r="A10" s="16" t="s">
        <v>74</v>
      </c>
      <c r="B10" s="16" t="s">
        <v>24</v>
      </c>
      <c r="C10" s="16" t="s">
        <v>37</v>
      </c>
      <c r="D10" s="16" t="s">
        <v>36</v>
      </c>
      <c r="E10" s="22">
        <v>10</v>
      </c>
      <c r="F10" s="16">
        <f>$M$1</f>
        <v>5</v>
      </c>
      <c r="G10" s="9">
        <f t="shared" si="0"/>
        <v>50</v>
      </c>
      <c r="H10" s="21" t="s">
        <v>93</v>
      </c>
    </row>
    <row r="11" spans="1:13" s="8" customFormat="1" x14ac:dyDescent="0.35">
      <c r="A11" s="16" t="s">
        <v>74</v>
      </c>
      <c r="B11" s="16" t="s">
        <v>24</v>
      </c>
      <c r="C11" s="16" t="s">
        <v>25</v>
      </c>
      <c r="D11" s="16" t="s">
        <v>26</v>
      </c>
      <c r="E11" s="22">
        <v>6.53</v>
      </c>
      <c r="F11" s="16">
        <f>$M$1</f>
        <v>5</v>
      </c>
      <c r="G11" s="9">
        <f t="shared" si="0"/>
        <v>32.65</v>
      </c>
      <c r="H11" s="21" t="s">
        <v>93</v>
      </c>
    </row>
    <row r="12" spans="1:13" s="8" customFormat="1" x14ac:dyDescent="0.35">
      <c r="A12" s="8" t="s">
        <v>74</v>
      </c>
      <c r="B12" s="8" t="s">
        <v>14</v>
      </c>
      <c r="C12" s="8" t="s">
        <v>91</v>
      </c>
      <c r="D12" s="8" t="s">
        <v>92</v>
      </c>
      <c r="E12" s="9">
        <v>9.07</v>
      </c>
      <c r="F12" s="8">
        <f>$M$1+1</f>
        <v>6</v>
      </c>
      <c r="G12" s="9">
        <f t="shared" si="0"/>
        <v>54.42</v>
      </c>
    </row>
    <row r="13" spans="1:13" s="8" customFormat="1" x14ac:dyDescent="0.35">
      <c r="A13" s="8" t="s">
        <v>73</v>
      </c>
      <c r="B13" s="8" t="s">
        <v>14</v>
      </c>
      <c r="C13" s="8" t="s">
        <v>78</v>
      </c>
      <c r="D13" s="8" t="s">
        <v>79</v>
      </c>
      <c r="E13" s="9">
        <v>39.42</v>
      </c>
      <c r="F13" s="8">
        <v>1</v>
      </c>
      <c r="G13" s="9">
        <f t="shared" si="0"/>
        <v>39.42</v>
      </c>
    </row>
    <row r="14" spans="1:13" s="8" customFormat="1" x14ac:dyDescent="0.35">
      <c r="A14" s="8" t="s">
        <v>74</v>
      </c>
      <c r="B14" s="8" t="s">
        <v>14</v>
      </c>
      <c r="C14" t="s">
        <v>105</v>
      </c>
      <c r="D14" s="8" t="s">
        <v>106</v>
      </c>
      <c r="E14" s="1">
        <v>2.0299999999999998</v>
      </c>
      <c r="F14" s="8">
        <v>5</v>
      </c>
      <c r="G14" s="1">
        <f t="shared" si="0"/>
        <v>10.149999999999999</v>
      </c>
      <c r="H14"/>
    </row>
    <row r="15" spans="1:13" s="8" customFormat="1" x14ac:dyDescent="0.35">
      <c r="A15" s="8" t="s">
        <v>75</v>
      </c>
      <c r="B15" s="8" t="s">
        <v>14</v>
      </c>
      <c r="C15" t="s">
        <v>109</v>
      </c>
      <c r="D15" s="8" t="s">
        <v>110</v>
      </c>
      <c r="E15" s="1">
        <v>9.9199999999999997E-2</v>
      </c>
      <c r="F15" s="8">
        <v>100</v>
      </c>
      <c r="G15" s="1">
        <f t="shared" si="0"/>
        <v>9.92</v>
      </c>
      <c r="H15"/>
    </row>
    <row r="16" spans="1:13" s="8" customFormat="1" x14ac:dyDescent="0.35">
      <c r="A16" s="8" t="s">
        <v>75</v>
      </c>
      <c r="B16" s="8" t="s">
        <v>14</v>
      </c>
      <c r="C16" t="s">
        <v>111</v>
      </c>
      <c r="D16" s="8" t="s">
        <v>112</v>
      </c>
      <c r="E16" s="1">
        <v>9.9199999999999997E-2</v>
      </c>
      <c r="F16" s="8">
        <v>100</v>
      </c>
      <c r="G16" s="1">
        <f t="shared" si="0"/>
        <v>9.92</v>
      </c>
      <c r="H16"/>
    </row>
    <row r="17" spans="1:8" s="8" customFormat="1" x14ac:dyDescent="0.35">
      <c r="A17" t="s">
        <v>75</v>
      </c>
      <c r="B17" t="s">
        <v>14</v>
      </c>
      <c r="C17" t="s">
        <v>98</v>
      </c>
      <c r="D17" t="s">
        <v>99</v>
      </c>
      <c r="E17" s="1">
        <v>3.26</v>
      </c>
      <c r="F17">
        <v>2</v>
      </c>
      <c r="G17" s="1">
        <f t="shared" si="0"/>
        <v>6.52</v>
      </c>
      <c r="H17"/>
    </row>
    <row r="18" spans="1:8" s="8" customFormat="1" x14ac:dyDescent="0.35">
      <c r="A18" t="s">
        <v>74</v>
      </c>
      <c r="B18" t="s">
        <v>14</v>
      </c>
      <c r="C18" t="s">
        <v>118</v>
      </c>
      <c r="D18" t="s">
        <v>119</v>
      </c>
      <c r="E18" s="1">
        <v>1.89</v>
      </c>
      <c r="F18">
        <v>2</v>
      </c>
      <c r="G18" s="1">
        <f t="shared" si="0"/>
        <v>3.78</v>
      </c>
      <c r="H18"/>
    </row>
    <row r="19" spans="1:8" x14ac:dyDescent="0.35">
      <c r="A19" s="8" t="s">
        <v>75</v>
      </c>
      <c r="B19" s="8" t="s">
        <v>14</v>
      </c>
      <c r="C19" s="8" t="s">
        <v>136</v>
      </c>
      <c r="D19" s="8" t="s">
        <v>137</v>
      </c>
      <c r="E19" s="9">
        <v>1.04</v>
      </c>
      <c r="F19" s="8">
        <v>2</v>
      </c>
      <c r="G19" s="1">
        <f t="shared" si="0"/>
        <v>2.08</v>
      </c>
    </row>
    <row r="20" spans="1:8" x14ac:dyDescent="0.35">
      <c r="A20" s="8" t="s">
        <v>75</v>
      </c>
      <c r="B20" s="8" t="s">
        <v>14</v>
      </c>
      <c r="C20" t="s">
        <v>107</v>
      </c>
      <c r="D20" s="8" t="s">
        <v>108</v>
      </c>
      <c r="E20" s="1">
        <v>0.57999999999999996</v>
      </c>
      <c r="F20" s="8">
        <v>2</v>
      </c>
      <c r="G20" s="1">
        <f t="shared" si="0"/>
        <v>1.1599999999999999</v>
      </c>
    </row>
    <row r="21" spans="1:8" x14ac:dyDescent="0.35">
      <c r="A21" t="s">
        <v>75</v>
      </c>
      <c r="B21" t="s">
        <v>14</v>
      </c>
      <c r="C21" t="s">
        <v>124</v>
      </c>
      <c r="D21" t="s">
        <v>125</v>
      </c>
      <c r="E21" s="1">
        <v>0.6</v>
      </c>
      <c r="F21">
        <v>1</v>
      </c>
      <c r="G21" s="1">
        <f t="shared" si="0"/>
        <v>0.6</v>
      </c>
    </row>
    <row r="22" spans="1:8" x14ac:dyDescent="0.35">
      <c r="A22" t="s">
        <v>74</v>
      </c>
      <c r="B22" t="s">
        <v>14</v>
      </c>
      <c r="C22" t="s">
        <v>122</v>
      </c>
      <c r="D22" t="s">
        <v>123</v>
      </c>
      <c r="E22" s="1">
        <v>0.39</v>
      </c>
      <c r="F22">
        <v>1</v>
      </c>
      <c r="G22" s="1">
        <f t="shared" si="0"/>
        <v>0.39</v>
      </c>
    </row>
    <row r="23" spans="1:8" x14ac:dyDescent="0.35">
      <c r="A23" t="s">
        <v>74</v>
      </c>
      <c r="B23" t="s">
        <v>14</v>
      </c>
      <c r="C23" t="s">
        <v>113</v>
      </c>
      <c r="D23" t="s">
        <v>114</v>
      </c>
      <c r="E23" s="1">
        <v>1.52E-2</v>
      </c>
      <c r="F23">
        <v>25</v>
      </c>
      <c r="G23" s="1">
        <f t="shared" si="0"/>
        <v>0.38</v>
      </c>
    </row>
    <row r="24" spans="1:8" x14ac:dyDescent="0.35">
      <c r="A24" t="s">
        <v>74</v>
      </c>
      <c r="B24" t="s">
        <v>14</v>
      </c>
      <c r="C24" t="s">
        <v>120</v>
      </c>
      <c r="D24" t="s">
        <v>121</v>
      </c>
      <c r="E24" s="1">
        <v>0.36</v>
      </c>
      <c r="F24">
        <v>1</v>
      </c>
      <c r="G24" s="1">
        <f t="shared" si="0"/>
        <v>0.36</v>
      </c>
    </row>
    <row r="25" spans="1:8" x14ac:dyDescent="0.35">
      <c r="A25" s="16" t="s">
        <v>74</v>
      </c>
      <c r="B25" s="16" t="s">
        <v>87</v>
      </c>
      <c r="C25" s="16" t="s">
        <v>85</v>
      </c>
      <c r="D25" s="16" t="s">
        <v>86</v>
      </c>
      <c r="E25" s="22">
        <v>2</v>
      </c>
      <c r="F25" s="16">
        <f>2*$M$1</f>
        <v>10</v>
      </c>
      <c r="G25" s="9">
        <f t="shared" si="0"/>
        <v>20</v>
      </c>
      <c r="H25" s="8" t="s">
        <v>93</v>
      </c>
    </row>
    <row r="26" spans="1:8" x14ac:dyDescent="0.35">
      <c r="A26" s="19" t="s">
        <v>73</v>
      </c>
      <c r="B26" s="19" t="s">
        <v>29</v>
      </c>
      <c r="C26" s="19" t="s">
        <v>34</v>
      </c>
      <c r="D26" s="19" t="s">
        <v>35</v>
      </c>
      <c r="E26" s="20">
        <v>23.79</v>
      </c>
      <c r="F26" s="19">
        <v>8</v>
      </c>
      <c r="G26" s="9">
        <f t="shared" si="0"/>
        <v>190.32</v>
      </c>
      <c r="H26" s="8" t="s">
        <v>94</v>
      </c>
    </row>
    <row r="27" spans="1:8" x14ac:dyDescent="0.35">
      <c r="A27" s="19" t="s">
        <v>73</v>
      </c>
      <c r="B27" s="19" t="s">
        <v>29</v>
      </c>
      <c r="C27" s="19" t="s">
        <v>30</v>
      </c>
      <c r="D27" s="19" t="s">
        <v>31</v>
      </c>
      <c r="E27" s="20">
        <v>27</v>
      </c>
      <c r="F27" s="19">
        <v>1</v>
      </c>
      <c r="G27" s="9">
        <f t="shared" si="0"/>
        <v>27</v>
      </c>
      <c r="H27" s="8" t="s">
        <v>94</v>
      </c>
    </row>
    <row r="28" spans="1:8" x14ac:dyDescent="0.35">
      <c r="A28" s="19" t="s">
        <v>73</v>
      </c>
      <c r="B28" s="19" t="s">
        <v>29</v>
      </c>
      <c r="C28" s="19" t="s">
        <v>32</v>
      </c>
      <c r="D28" s="19" t="s">
        <v>33</v>
      </c>
      <c r="E28" s="20">
        <v>21</v>
      </c>
      <c r="F28" s="19">
        <v>1</v>
      </c>
      <c r="G28" s="9">
        <f t="shared" si="0"/>
        <v>21</v>
      </c>
      <c r="H28" s="8" t="s">
        <v>94</v>
      </c>
    </row>
    <row r="29" spans="1:8" x14ac:dyDescent="0.35">
      <c r="A29" s="19" t="s">
        <v>74</v>
      </c>
      <c r="B29" s="19" t="s">
        <v>52</v>
      </c>
      <c r="C29" s="19" t="s">
        <v>57</v>
      </c>
      <c r="D29" s="19" t="s">
        <v>56</v>
      </c>
      <c r="E29" s="20">
        <v>18.170000000000002</v>
      </c>
      <c r="F29" s="19">
        <f>CEILING(($M$1*4.75+($M$1-1)*1/8)/12,1)</f>
        <v>3</v>
      </c>
      <c r="G29" s="1">
        <f t="shared" si="0"/>
        <v>54.510000000000005</v>
      </c>
      <c r="H29" s="8" t="s">
        <v>94</v>
      </c>
    </row>
    <row r="30" spans="1:8" x14ac:dyDescent="0.35">
      <c r="A30" s="19" t="s">
        <v>74</v>
      </c>
      <c r="B30" s="19" t="s">
        <v>52</v>
      </c>
      <c r="C30" s="19" t="s">
        <v>83</v>
      </c>
      <c r="D30" s="19" t="s">
        <v>84</v>
      </c>
      <c r="E30" s="20">
        <v>39.08</v>
      </c>
      <c r="F30" s="19">
        <v>1</v>
      </c>
      <c r="G30" s="1">
        <f t="shared" si="0"/>
        <v>39.08</v>
      </c>
      <c r="H30" s="8" t="s">
        <v>94</v>
      </c>
    </row>
    <row r="31" spans="1:8" x14ac:dyDescent="0.35">
      <c r="A31" s="19" t="s">
        <v>75</v>
      </c>
      <c r="B31" s="19" t="s">
        <v>52</v>
      </c>
      <c r="C31" s="19" t="s">
        <v>126</v>
      </c>
      <c r="D31" s="19" t="s">
        <v>127</v>
      </c>
      <c r="E31" s="20">
        <v>10.48</v>
      </c>
      <c r="F31" s="19">
        <v>3</v>
      </c>
      <c r="G31" s="1">
        <f t="shared" si="0"/>
        <v>31.44</v>
      </c>
      <c r="H31" s="8" t="s">
        <v>94</v>
      </c>
    </row>
    <row r="32" spans="1:8" x14ac:dyDescent="0.35">
      <c r="A32" s="19" t="s">
        <v>74</v>
      </c>
      <c r="B32" s="19" t="s">
        <v>52</v>
      </c>
      <c r="C32" s="23" t="str">
        <f>VLOOKUP($F32,'Price Tables'!$A$2:$D$11,2,TRUE)</f>
        <v>1497K31</v>
      </c>
      <c r="D32" s="19" t="s">
        <v>71</v>
      </c>
      <c r="E32" s="20">
        <f>VLOOKUP($F32,'Price Tables'!$A$2:$D$11,4,TRUE)</f>
        <v>1.2237500000000001</v>
      </c>
      <c r="F32" s="19">
        <f>CEILING(($M$1*3.75+($M$1-1)*1/8),IF(($M$1*3.75+($M$1-1)*1/8)&lt;12,3,IF(($M$1*3.75+($M$1-1)*1/8)&lt;24,6,12)))</f>
        <v>24</v>
      </c>
      <c r="G32" s="1">
        <f t="shared" si="0"/>
        <v>29.370000000000005</v>
      </c>
      <c r="H32" t="s">
        <v>94</v>
      </c>
    </row>
    <row r="33" spans="1:8" x14ac:dyDescent="0.35">
      <c r="A33" s="19" t="s">
        <v>75</v>
      </c>
      <c r="B33" s="19" t="s">
        <v>52</v>
      </c>
      <c r="C33" s="19" t="s">
        <v>58</v>
      </c>
      <c r="D33" s="19" t="s">
        <v>59</v>
      </c>
      <c r="E33" s="20">
        <v>27.26</v>
      </c>
      <c r="F33" s="19">
        <v>1</v>
      </c>
      <c r="G33" s="1">
        <f t="shared" si="0"/>
        <v>27.26</v>
      </c>
      <c r="H33" t="s">
        <v>94</v>
      </c>
    </row>
    <row r="34" spans="1:8" x14ac:dyDescent="0.35">
      <c r="A34" s="19" t="s">
        <v>75</v>
      </c>
      <c r="B34" s="19" t="s">
        <v>52</v>
      </c>
      <c r="C34" s="19" t="s">
        <v>128</v>
      </c>
      <c r="D34" s="19" t="s">
        <v>129</v>
      </c>
      <c r="E34" s="20">
        <v>4.5</v>
      </c>
      <c r="F34" s="19">
        <v>3</v>
      </c>
      <c r="G34" s="1">
        <f t="shared" si="0"/>
        <v>13.5</v>
      </c>
      <c r="H34" t="s">
        <v>94</v>
      </c>
    </row>
    <row r="35" spans="1:8" x14ac:dyDescent="0.35">
      <c r="A35" s="19" t="s">
        <v>73</v>
      </c>
      <c r="B35" s="19" t="s">
        <v>52</v>
      </c>
      <c r="C35" s="19" t="s">
        <v>130</v>
      </c>
      <c r="D35" s="19" t="s">
        <v>131</v>
      </c>
      <c r="E35" s="20">
        <v>2.29</v>
      </c>
      <c r="F35" s="19">
        <v>5</v>
      </c>
      <c r="G35" s="1">
        <f t="shared" si="0"/>
        <v>11.45</v>
      </c>
      <c r="H35" t="s">
        <v>94</v>
      </c>
    </row>
    <row r="36" spans="1:8" x14ac:dyDescent="0.35">
      <c r="A36" s="19" t="s">
        <v>74</v>
      </c>
      <c r="B36" s="19" t="s">
        <v>52</v>
      </c>
      <c r="C36" s="19" t="s">
        <v>76</v>
      </c>
      <c r="D36" s="19" t="s">
        <v>77</v>
      </c>
      <c r="E36" s="20">
        <v>10.130000000000001</v>
      </c>
      <c r="F36" s="19">
        <v>1</v>
      </c>
      <c r="G36" s="1">
        <f t="shared" si="0"/>
        <v>10.130000000000001</v>
      </c>
      <c r="H36" t="s">
        <v>94</v>
      </c>
    </row>
    <row r="37" spans="1:8" x14ac:dyDescent="0.35">
      <c r="A37" s="19" t="s">
        <v>73</v>
      </c>
      <c r="B37" s="19" t="s">
        <v>52</v>
      </c>
      <c r="C37" s="19" t="s">
        <v>132</v>
      </c>
      <c r="D37" s="19" t="s">
        <v>133</v>
      </c>
      <c r="E37" s="20">
        <v>6.28</v>
      </c>
      <c r="F37" s="19">
        <v>1</v>
      </c>
      <c r="G37" s="1">
        <f t="shared" si="0"/>
        <v>6.28</v>
      </c>
      <c r="H37" t="s">
        <v>94</v>
      </c>
    </row>
    <row r="38" spans="1:8" x14ac:dyDescent="0.35">
      <c r="A38" s="19" t="s">
        <v>73</v>
      </c>
      <c r="B38" s="19" t="s">
        <v>52</v>
      </c>
      <c r="C38" s="19" t="s">
        <v>134</v>
      </c>
      <c r="D38" s="19" t="s">
        <v>135</v>
      </c>
      <c r="E38" s="20">
        <v>4.46</v>
      </c>
      <c r="F38" s="19">
        <v>1</v>
      </c>
      <c r="G38" s="1">
        <f t="shared" si="0"/>
        <v>4.46</v>
      </c>
      <c r="H38" t="s">
        <v>94</v>
      </c>
    </row>
    <row r="39" spans="1:8" x14ac:dyDescent="0.35">
      <c r="A39" s="19" t="s">
        <v>74</v>
      </c>
      <c r="B39" s="19" t="s">
        <v>52</v>
      </c>
      <c r="C39" s="19" t="s">
        <v>53</v>
      </c>
      <c r="D39" s="19" t="s">
        <v>54</v>
      </c>
      <c r="E39" s="20">
        <v>3.33</v>
      </c>
      <c r="F39" s="19">
        <f>CEILING(($M$1*4.75+($M$1-1)*1/8)/36,1)</f>
        <v>1</v>
      </c>
      <c r="G39" s="1">
        <f t="shared" si="0"/>
        <v>3.33</v>
      </c>
      <c r="H39" t="s">
        <v>94</v>
      </c>
    </row>
    <row r="40" spans="1:8" x14ac:dyDescent="0.35">
      <c r="A40" s="8" t="s">
        <v>75</v>
      </c>
      <c r="B40" s="8" t="s">
        <v>100</v>
      </c>
      <c r="C40" s="8" t="s">
        <v>103</v>
      </c>
      <c r="D40" s="8" t="s">
        <v>104</v>
      </c>
      <c r="E40" s="9">
        <v>1.23</v>
      </c>
      <c r="F40" s="8">
        <v>15</v>
      </c>
      <c r="G40" s="9">
        <f t="shared" si="0"/>
        <v>18.45</v>
      </c>
    </row>
    <row r="41" spans="1:8" x14ac:dyDescent="0.35">
      <c r="A41" s="8" t="s">
        <v>75</v>
      </c>
      <c r="B41" s="8" t="s">
        <v>100</v>
      </c>
      <c r="C41" s="8" t="s">
        <v>101</v>
      </c>
      <c r="D41" s="8" t="s">
        <v>102</v>
      </c>
      <c r="E41" s="9">
        <v>2.23</v>
      </c>
      <c r="F41" s="8">
        <v>2</v>
      </c>
      <c r="G41" s="9">
        <f t="shared" si="0"/>
        <v>4.46</v>
      </c>
    </row>
    <row r="42" spans="1:8" x14ac:dyDescent="0.35">
      <c r="A42" s="19" t="s">
        <v>75</v>
      </c>
      <c r="B42" s="19" t="s">
        <v>95</v>
      </c>
      <c r="C42" s="19" t="s">
        <v>96</v>
      </c>
      <c r="D42" s="19" t="s">
        <v>97</v>
      </c>
      <c r="E42" s="20">
        <v>19.8</v>
      </c>
      <c r="F42" s="19">
        <v>2</v>
      </c>
      <c r="G42" s="1">
        <f t="shared" si="0"/>
        <v>39.6</v>
      </c>
      <c r="H42" s="8" t="s">
        <v>94</v>
      </c>
    </row>
    <row r="43" spans="1:8" x14ac:dyDescent="0.35">
      <c r="A43" s="16" t="s">
        <v>74</v>
      </c>
      <c r="B43" s="16" t="s">
        <v>80</v>
      </c>
      <c r="C43" s="16" t="s">
        <v>81</v>
      </c>
      <c r="D43" s="16" t="s">
        <v>82</v>
      </c>
      <c r="E43" s="22">
        <v>158.06</v>
      </c>
      <c r="F43" s="16">
        <v>1</v>
      </c>
      <c r="G43" s="1">
        <f t="shared" si="0"/>
        <v>158.06</v>
      </c>
      <c r="H43" t="s">
        <v>94</v>
      </c>
    </row>
    <row r="44" spans="1:8" x14ac:dyDescent="0.35">
      <c r="A44" s="16" t="s">
        <v>73</v>
      </c>
      <c r="B44" s="16" t="s">
        <v>15</v>
      </c>
      <c r="C44" s="16" t="s">
        <v>17</v>
      </c>
      <c r="D44" s="16" t="s">
        <v>21</v>
      </c>
      <c r="E44" s="22">
        <v>29.95</v>
      </c>
      <c r="F44" s="16">
        <v>1</v>
      </c>
      <c r="G44" s="1">
        <f t="shared" si="0"/>
        <v>29.95</v>
      </c>
      <c r="H44" t="s">
        <v>93</v>
      </c>
    </row>
    <row r="45" spans="1:8" x14ac:dyDescent="0.35">
      <c r="A45" s="16" t="s">
        <v>73</v>
      </c>
      <c r="B45" s="16" t="s">
        <v>15</v>
      </c>
      <c r="C45" s="16" t="s">
        <v>18</v>
      </c>
      <c r="D45" s="16" t="s">
        <v>22</v>
      </c>
      <c r="E45" s="22">
        <v>4.25</v>
      </c>
      <c r="F45" s="16">
        <v>1</v>
      </c>
      <c r="G45" s="1">
        <f t="shared" si="0"/>
        <v>4.25</v>
      </c>
      <c r="H45" t="s">
        <v>93</v>
      </c>
    </row>
    <row r="46" spans="1:8" x14ac:dyDescent="0.35">
      <c r="A46" s="16" t="s">
        <v>73</v>
      </c>
      <c r="B46" s="16" t="s">
        <v>15</v>
      </c>
      <c r="C46" s="16" t="s">
        <v>16</v>
      </c>
      <c r="D46" s="16" t="s">
        <v>20</v>
      </c>
      <c r="E46" s="22">
        <v>2.95</v>
      </c>
      <c r="F46" s="16">
        <v>1</v>
      </c>
      <c r="G46" s="1">
        <f t="shared" si="0"/>
        <v>2.95</v>
      </c>
      <c r="H46" t="s">
        <v>93</v>
      </c>
    </row>
    <row r="47" spans="1:8" x14ac:dyDescent="0.35">
      <c r="A47" s="16" t="s">
        <v>73</v>
      </c>
      <c r="B47" s="16" t="s">
        <v>15</v>
      </c>
      <c r="C47" s="16" t="s">
        <v>19</v>
      </c>
      <c r="D47" s="16" t="s">
        <v>23</v>
      </c>
      <c r="E47" s="22">
        <v>1.5</v>
      </c>
      <c r="F47" s="16">
        <v>1</v>
      </c>
      <c r="G47" s="1">
        <f t="shared" si="0"/>
        <v>1.5</v>
      </c>
      <c r="H47" t="s">
        <v>93</v>
      </c>
    </row>
  </sheetData>
  <autoFilter ref="A1:H47">
    <sortState ref="A2:H47">
      <sortCondition ref="B1:B47"/>
    </sortState>
  </autoFilter>
  <sortState ref="A2:G37">
    <sortCondition ref="B2:B37"/>
    <sortCondition ref="G2:G37"/>
  </sortState>
  <conditionalFormatting sqref="G39:G1048576 G1:G37">
    <cfRule type="colorScale" priority="3">
      <colorScale>
        <cfvo type="min"/>
        <cfvo type="max"/>
        <color rgb="FFFCFCFF"/>
        <color rgb="FFF8696B"/>
      </colorScale>
    </cfRule>
  </conditionalFormatting>
  <conditionalFormatting sqref="G38">
    <cfRule type="colorScale" priority="2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2" sqref="G12"/>
    </sheetView>
  </sheetViews>
  <sheetFormatPr defaultRowHeight="14.5" x14ac:dyDescent="0.35"/>
  <cols>
    <col min="1" max="1" width="3.81640625" bestFit="1" customWidth="1"/>
    <col min="2" max="2" width="8.81640625" bestFit="1" customWidth="1"/>
    <col min="3" max="3" width="7.6328125" bestFit="1" customWidth="1"/>
    <col min="4" max="4" width="6.6328125" bestFit="1" customWidth="1"/>
  </cols>
  <sheetData>
    <row r="1" spans="1:4" x14ac:dyDescent="0.35">
      <c r="A1" s="24" t="s">
        <v>70</v>
      </c>
      <c r="B1" s="24"/>
      <c r="C1" s="24"/>
      <c r="D1" s="24"/>
    </row>
    <row r="2" spans="1:4" x14ac:dyDescent="0.35">
      <c r="A2">
        <v>3</v>
      </c>
      <c r="B2" t="s">
        <v>60</v>
      </c>
      <c r="C2" s="1">
        <v>7.97</v>
      </c>
      <c r="D2" s="6">
        <f>C2/A2</f>
        <v>2.6566666666666667</v>
      </c>
    </row>
    <row r="3" spans="1:4" x14ac:dyDescent="0.35">
      <c r="A3">
        <v>6</v>
      </c>
      <c r="B3" t="s">
        <v>61</v>
      </c>
      <c r="C3" s="1">
        <v>12.73</v>
      </c>
      <c r="D3" s="6">
        <f t="shared" ref="D3:D11" si="0">C3/A3</f>
        <v>2.1216666666666666</v>
      </c>
    </row>
    <row r="4" spans="1:4" x14ac:dyDescent="0.35">
      <c r="A4">
        <v>9</v>
      </c>
      <c r="B4" t="s">
        <v>62</v>
      </c>
      <c r="C4" s="1">
        <v>17.420000000000002</v>
      </c>
      <c r="D4" s="6">
        <f t="shared" si="0"/>
        <v>1.9355555555555557</v>
      </c>
    </row>
    <row r="5" spans="1:4" x14ac:dyDescent="0.35">
      <c r="A5">
        <v>12</v>
      </c>
      <c r="B5" t="s">
        <v>63</v>
      </c>
      <c r="C5" s="1">
        <v>18.600000000000001</v>
      </c>
      <c r="D5" s="6">
        <f t="shared" si="0"/>
        <v>1.55</v>
      </c>
    </row>
    <row r="6" spans="1:4" x14ac:dyDescent="0.35">
      <c r="A6">
        <v>18</v>
      </c>
      <c r="B6" t="s">
        <v>64</v>
      </c>
      <c r="C6" s="1">
        <v>21.7</v>
      </c>
      <c r="D6" s="6">
        <f t="shared" si="0"/>
        <v>1.2055555555555555</v>
      </c>
    </row>
    <row r="7" spans="1:4" x14ac:dyDescent="0.35">
      <c r="A7">
        <v>24</v>
      </c>
      <c r="B7" t="s">
        <v>65</v>
      </c>
      <c r="C7" s="1">
        <v>29.37</v>
      </c>
      <c r="D7" s="6">
        <f t="shared" si="0"/>
        <v>1.2237500000000001</v>
      </c>
    </row>
    <row r="8" spans="1:4" x14ac:dyDescent="0.35">
      <c r="A8">
        <v>36</v>
      </c>
      <c r="B8" t="s">
        <v>66</v>
      </c>
      <c r="C8" s="1">
        <v>37.19</v>
      </c>
      <c r="D8" s="6">
        <f t="shared" si="0"/>
        <v>1.0330555555555554</v>
      </c>
    </row>
    <row r="9" spans="1:4" x14ac:dyDescent="0.35">
      <c r="A9">
        <v>48</v>
      </c>
      <c r="B9" t="s">
        <v>67</v>
      </c>
      <c r="C9" s="1">
        <v>46.72</v>
      </c>
      <c r="D9" s="6">
        <f t="shared" si="0"/>
        <v>0.97333333333333327</v>
      </c>
    </row>
    <row r="10" spans="1:4" x14ac:dyDescent="0.35">
      <c r="A10">
        <v>60</v>
      </c>
      <c r="B10" t="s">
        <v>68</v>
      </c>
      <c r="C10" s="1">
        <v>53.09</v>
      </c>
      <c r="D10" s="6">
        <f t="shared" si="0"/>
        <v>0.88483333333333336</v>
      </c>
    </row>
    <row r="11" spans="1:4" x14ac:dyDescent="0.35">
      <c r="A11">
        <v>72</v>
      </c>
      <c r="B11" t="s">
        <v>69</v>
      </c>
      <c r="C11" s="1">
        <v>62.06</v>
      </c>
      <c r="D11" s="6">
        <f t="shared" si="0"/>
        <v>0.86194444444444451</v>
      </c>
    </row>
    <row r="13" spans="1:4" x14ac:dyDescent="0.35">
      <c r="A13" s="24"/>
      <c r="B13" s="24"/>
      <c r="C13" s="24"/>
      <c r="D13" s="24"/>
    </row>
    <row r="14" spans="1:4" x14ac:dyDescent="0.35">
      <c r="B14" s="7"/>
    </row>
    <row r="15" spans="1:4" x14ac:dyDescent="0.35">
      <c r="B15" s="7"/>
    </row>
    <row r="16" spans="1:4" x14ac:dyDescent="0.35">
      <c r="B16" s="7"/>
    </row>
    <row r="17" spans="1:4" x14ac:dyDescent="0.35">
      <c r="B17" s="7"/>
    </row>
    <row r="18" spans="1:4" x14ac:dyDescent="0.35">
      <c r="D18" s="1"/>
    </row>
    <row r="19" spans="1:4" x14ac:dyDescent="0.35">
      <c r="A19" s="24"/>
      <c r="B19" s="24"/>
      <c r="C19" s="24"/>
      <c r="D19" s="24"/>
    </row>
    <row r="20" spans="1:4" x14ac:dyDescent="0.35">
      <c r="B20" s="7"/>
    </row>
    <row r="21" spans="1:4" x14ac:dyDescent="0.35">
      <c r="B21" s="7"/>
    </row>
    <row r="22" spans="1:4" x14ac:dyDescent="0.35">
      <c r="B22" s="7"/>
    </row>
    <row r="23" spans="1:4" x14ac:dyDescent="0.35">
      <c r="B23" s="7"/>
    </row>
  </sheetData>
  <mergeCells count="3">
    <mergeCell ref="A1:D1"/>
    <mergeCell ref="A13:D13"/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18" bestFit="1" customWidth="1"/>
    <col min="19" max="19" width="11.81640625" bestFit="1" customWidth="1"/>
    <col min="20" max="20" width="12" bestFit="1" customWidth="1"/>
  </cols>
  <sheetData>
    <row r="1" spans="1:20" x14ac:dyDescent="0.35">
      <c r="A1" s="2" t="s">
        <v>38</v>
      </c>
      <c r="B1" s="2" t="s">
        <v>39</v>
      </c>
      <c r="C1" s="2" t="s">
        <v>40</v>
      </c>
      <c r="D1" s="2" t="s">
        <v>45</v>
      </c>
      <c r="E1" s="4">
        <v>0.125</v>
      </c>
      <c r="F1" s="4">
        <v>8.3333333333333329E-2</v>
      </c>
      <c r="G1" s="4">
        <v>6.25E-2</v>
      </c>
      <c r="H1" s="4">
        <v>4.1666666666666664E-2</v>
      </c>
      <c r="I1" s="4">
        <v>2.0833333333333332E-2</v>
      </c>
      <c r="J1" s="4">
        <v>1.3888888888888888E-2</v>
      </c>
      <c r="K1" s="4">
        <v>6.9444444444444441E-3</v>
      </c>
      <c r="L1" s="4">
        <v>3.472222222222222E-3</v>
      </c>
      <c r="M1" s="4">
        <v>2.7777777777777779E-3</v>
      </c>
      <c r="N1" s="4">
        <v>2.0833333333333298E-3</v>
      </c>
      <c r="O1" s="4">
        <v>1.38888888888889E-3</v>
      </c>
      <c r="P1" s="4">
        <v>6.9444444444444198E-4</v>
      </c>
      <c r="Q1" s="4">
        <v>2.16840434497101E-18</v>
      </c>
      <c r="R1" s="4" t="s">
        <v>43</v>
      </c>
      <c r="S1" s="5">
        <f>SUM(R:R)</f>
        <v>39.810049019607845</v>
      </c>
      <c r="T1" t="s">
        <v>44</v>
      </c>
    </row>
    <row r="2" spans="1:20" x14ac:dyDescent="0.35">
      <c r="A2" t="s">
        <v>41</v>
      </c>
      <c r="B2">
        <v>100</v>
      </c>
      <c r="C2">
        <v>0.25</v>
      </c>
      <c r="D2">
        <v>1.1000000000000001</v>
      </c>
      <c r="E2">
        <v>3</v>
      </c>
      <c r="F2">
        <v>2</v>
      </c>
      <c r="G2">
        <f>1+0.5*3</f>
        <v>2.5</v>
      </c>
      <c r="H2">
        <v>1</v>
      </c>
      <c r="I2">
        <f>0.5*3</f>
        <v>1.5</v>
      </c>
      <c r="J2">
        <f>0.5*2</f>
        <v>1</v>
      </c>
      <c r="K2">
        <f t="shared" ref="K2:P2" si="0">0.5*1</f>
        <v>0.5</v>
      </c>
      <c r="L2">
        <f t="shared" si="0"/>
        <v>0.5</v>
      </c>
      <c r="M2">
        <f t="shared" si="0"/>
        <v>0.5</v>
      </c>
      <c r="N2">
        <f t="shared" si="0"/>
        <v>0.5</v>
      </c>
      <c r="O2">
        <f t="shared" si="0"/>
        <v>0.5</v>
      </c>
      <c r="P2">
        <f t="shared" si="0"/>
        <v>0.5</v>
      </c>
      <c r="Q2">
        <v>1</v>
      </c>
      <c r="R2">
        <f>B2*C2*SUM(E2:Q2)/3600</f>
        <v>0.10416666666666667</v>
      </c>
    </row>
    <row r="3" spans="1:20" x14ac:dyDescent="0.35">
      <c r="A3" t="s">
        <v>42</v>
      </c>
      <c r="B3">
        <f>AVERAGE('Compressor Table'!C2:C14)*1000</f>
        <v>9000</v>
      </c>
      <c r="E3">
        <f>((E2*($D$2/60)*$C$2)/'Compressor Table'!$B$14)*60</f>
        <v>2.4264705882352939</v>
      </c>
      <c r="F3">
        <f>((F2*($D$2/60)*$C$2)/'Compressor Table'!$B$14)*60</f>
        <v>1.6176470588235292</v>
      </c>
      <c r="G3">
        <f>((G2*($D$2/60)*$C$2)/'Compressor Table'!$B$14)*60</f>
        <v>2.0220588235294117</v>
      </c>
      <c r="H3">
        <f>((H2*($D$2/60)*$C$2)/'Compressor Table'!$B$14)*60</f>
        <v>0.80882352941176461</v>
      </c>
      <c r="I3">
        <f>((I2*($D$2/60)*$C$2)/'Compressor Table'!$B$14)*60</f>
        <v>1.213235294117647</v>
      </c>
      <c r="J3">
        <f>((J2*($D$2/60)*$C$2)/'Compressor Table'!$B$14)*60</f>
        <v>0.80882352941176461</v>
      </c>
      <c r="K3">
        <f>((K2*($D$2/60)*$C$2)/'Compressor Table'!$B$14)*60</f>
        <v>0.4044117647058823</v>
      </c>
      <c r="L3">
        <f>((L2*($D$2/60)*$C$2)/'Compressor Table'!$B$14)*60</f>
        <v>0.4044117647058823</v>
      </c>
      <c r="M3">
        <f>((M2*($D$2/60)*$C$2)/'Compressor Table'!$B$14)*60</f>
        <v>0.4044117647058823</v>
      </c>
      <c r="N3">
        <f>((N2*($D$2/60)*$C$2)/'Compressor Table'!$B$14)*60</f>
        <v>0.4044117647058823</v>
      </c>
      <c r="O3">
        <f>((O2*($D$2/60)*$C$2)/'Compressor Table'!$B$14)*60</f>
        <v>0.4044117647058823</v>
      </c>
      <c r="P3">
        <f>((P2*($D$2/60)*$C$2)/'Compressor Table'!$B$14)*60</f>
        <v>0.4044117647058823</v>
      </c>
      <c r="Q3">
        <f>((Q2*($D$2/60)*$C$2)/'Compressor Table'!$B$14)*60</f>
        <v>0.80882352941176461</v>
      </c>
      <c r="R3">
        <f>(SUM(E3:Q3)*B3)/3600</f>
        <v>30.330882352941174</v>
      </c>
    </row>
    <row r="4" spans="1:20" x14ac:dyDescent="0.35">
      <c r="A4" t="s">
        <v>49</v>
      </c>
      <c r="B4">
        <v>30000</v>
      </c>
      <c r="C4">
        <v>0.25</v>
      </c>
      <c r="E4">
        <v>1</v>
      </c>
      <c r="Q4">
        <v>0.75</v>
      </c>
      <c r="R4">
        <f t="shared" ref="R4:R6" si="1">B4*C4*SUM(E4:Q4)/3600</f>
        <v>3.6458333333333335</v>
      </c>
    </row>
    <row r="5" spans="1:20" x14ac:dyDescent="0.35">
      <c r="A5" t="s">
        <v>50</v>
      </c>
      <c r="B5">
        <v>30000</v>
      </c>
      <c r="C5">
        <v>0.25</v>
      </c>
      <c r="Q5">
        <v>1</v>
      </c>
      <c r="R5">
        <f t="shared" si="1"/>
        <v>2.0833333333333335</v>
      </c>
    </row>
    <row r="6" spans="1:20" x14ac:dyDescent="0.35">
      <c r="A6" t="s">
        <v>51</v>
      </c>
      <c r="B6">
        <v>30000</v>
      </c>
      <c r="C6">
        <v>0.25</v>
      </c>
      <c r="F6">
        <v>1</v>
      </c>
      <c r="H6">
        <v>0.75</v>
      </c>
      <c r="R6">
        <f t="shared" si="1"/>
        <v>3.6458333333333335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0" sqref="A20"/>
    </sheetView>
  </sheetViews>
  <sheetFormatPr defaultRowHeight="14.5" x14ac:dyDescent="0.35"/>
  <sheetData>
    <row r="1" spans="1:3" x14ac:dyDescent="0.35">
      <c r="A1" t="s">
        <v>46</v>
      </c>
      <c r="B1" t="s">
        <v>47</v>
      </c>
      <c r="C1" t="s">
        <v>48</v>
      </c>
    </row>
    <row r="2" spans="1:3" x14ac:dyDescent="0.35">
      <c r="A2">
        <v>0</v>
      </c>
      <c r="B2">
        <v>0.88</v>
      </c>
      <c r="C2">
        <v>7</v>
      </c>
    </row>
    <row r="3" spans="1:3" x14ac:dyDescent="0.35">
      <c r="A3">
        <v>10</v>
      </c>
      <c r="B3">
        <v>0.71</v>
      </c>
      <c r="C3">
        <v>8</v>
      </c>
    </row>
    <row r="4" spans="1:3" x14ac:dyDescent="0.35">
      <c r="A4">
        <v>20</v>
      </c>
      <c r="B4">
        <v>0.67</v>
      </c>
      <c r="C4">
        <v>8</v>
      </c>
    </row>
    <row r="5" spans="1:3" x14ac:dyDescent="0.35">
      <c r="A5">
        <v>30</v>
      </c>
      <c r="B5">
        <v>0.64</v>
      </c>
      <c r="C5">
        <v>9</v>
      </c>
    </row>
    <row r="6" spans="1:3" x14ac:dyDescent="0.35">
      <c r="A6">
        <v>40</v>
      </c>
      <c r="B6">
        <v>0.6</v>
      </c>
      <c r="C6">
        <v>9</v>
      </c>
    </row>
    <row r="7" spans="1:3" x14ac:dyDescent="0.35">
      <c r="A7">
        <v>50</v>
      </c>
      <c r="B7">
        <v>0.56999999999999995</v>
      </c>
      <c r="C7">
        <v>9</v>
      </c>
    </row>
    <row r="8" spans="1:3" x14ac:dyDescent="0.35">
      <c r="A8">
        <v>60</v>
      </c>
      <c r="B8">
        <v>0.53</v>
      </c>
      <c r="C8">
        <v>10</v>
      </c>
    </row>
    <row r="9" spans="1:3" x14ac:dyDescent="0.35">
      <c r="A9">
        <v>70</v>
      </c>
      <c r="B9">
        <v>0.48</v>
      </c>
      <c r="C9">
        <v>10</v>
      </c>
    </row>
    <row r="10" spans="1:3" x14ac:dyDescent="0.35">
      <c r="A10">
        <v>80</v>
      </c>
      <c r="B10">
        <v>0.45</v>
      </c>
      <c r="C10">
        <v>10</v>
      </c>
    </row>
    <row r="11" spans="1:3" x14ac:dyDescent="0.35">
      <c r="A11">
        <v>90</v>
      </c>
      <c r="B11">
        <v>0.43</v>
      </c>
      <c r="C11">
        <v>10</v>
      </c>
    </row>
    <row r="12" spans="1:3" x14ac:dyDescent="0.35">
      <c r="A12">
        <v>100</v>
      </c>
      <c r="B12">
        <v>0.39</v>
      </c>
      <c r="C12">
        <v>9</v>
      </c>
    </row>
    <row r="13" spans="1:3" x14ac:dyDescent="0.35">
      <c r="A13">
        <v>110</v>
      </c>
      <c r="B13">
        <v>0.36</v>
      </c>
      <c r="C13">
        <v>9</v>
      </c>
    </row>
    <row r="14" spans="1:3" x14ac:dyDescent="0.35">
      <c r="A14">
        <v>120</v>
      </c>
      <c r="B14">
        <v>0.34</v>
      </c>
      <c r="C1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Price Tables</vt:lpstr>
      <vt:lpstr>Power Budget</vt:lpstr>
      <vt:lpstr>Compressor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Meyer</dc:creator>
  <cp:lastModifiedBy>Andrew Meyer</cp:lastModifiedBy>
  <dcterms:created xsi:type="dcterms:W3CDTF">2016-04-11T12:46:36Z</dcterms:created>
  <dcterms:modified xsi:type="dcterms:W3CDTF">2016-05-24T00:49:30Z</dcterms:modified>
</cp:coreProperties>
</file>