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gomoll/Desktop/Analysis Projects/Crowdfunding Analysis/Module 1 Challenge/"/>
    </mc:Choice>
  </mc:AlternateContent>
  <xr:revisionPtr revIDLastSave="0" documentId="13_ncr:1_{D10273D5-B1C0-E041-9874-E8415EB11B07}" xr6:coauthVersionLast="47" xr6:coauthVersionMax="47" xr10:uidLastSave="{00000000-0000-0000-0000-000000000000}"/>
  <bookViews>
    <workbookView xWindow="-8640" yWindow="-19280" windowWidth="36720" windowHeight="17740" xr2:uid="{00000000-000D-0000-FFFF-FFFF00000000}"/>
  </bookViews>
  <sheets>
    <sheet name="Theater Outcomes by Launch Date" sheetId="10" r:id="rId1"/>
    <sheet name="Kickstarter" sheetId="1" r:id="rId2"/>
    <sheet name="Descriptive Statistics" sheetId="8" r:id="rId3"/>
    <sheet name="Category Statistics" sheetId="2" r:id="rId4"/>
    <sheet name="Outcomes Based on Launch Date" sheetId="4" r:id="rId5"/>
    <sheet name="Subcategory Statistics" sheetId="3" r:id="rId6"/>
    <sheet name="Edinburgh Research" sheetId="6" r:id="rId7"/>
    <sheet name="Outcomes Based On Goals" sheetId="11" r:id="rId8"/>
  </sheets>
  <definedNames>
    <definedName name="_xlnm._FilterDatabase" localSheetId="1" hidden="1">Kickstarter!$A$1:$T$4115</definedName>
  </definedNames>
  <calcPr calcId="191029"/>
  <pivotCaches>
    <pivotCache cacheId="2" r:id="rId9"/>
    <pivotCache cacheId="3" r:id="rId10"/>
    <pivotCache cacheId="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2" i="11"/>
  <c r="C2" i="11"/>
  <c r="B2" i="11"/>
  <c r="D7" i="11"/>
  <c r="D6" i="11"/>
  <c r="D5" i="11"/>
  <c r="D4" i="11"/>
  <c r="D3" i="11"/>
  <c r="C13" i="11"/>
  <c r="C12" i="11"/>
  <c r="C11" i="11"/>
  <c r="C10" i="11"/>
  <c r="C9" i="11"/>
  <c r="C8" i="11"/>
  <c r="C7" i="11"/>
  <c r="C6" i="11"/>
  <c r="C5" i="11"/>
  <c r="C4" i="11"/>
  <c r="C3" i="11"/>
  <c r="B13" i="11"/>
  <c r="B12" i="11"/>
  <c r="B11" i="11"/>
  <c r="B10" i="11"/>
  <c r="B9" i="11"/>
  <c r="B8" i="11"/>
  <c r="B7" i="11"/>
  <c r="B6" i="11"/>
  <c r="B5" i="11"/>
  <c r="B4" i="11"/>
  <c r="B3" i="11"/>
  <c r="C15" i="8"/>
  <c r="C14" i="8"/>
  <c r="C13" i="8"/>
  <c r="C12" i="8"/>
  <c r="B14" i="8"/>
  <c r="B13" i="8"/>
  <c r="B12" i="8"/>
  <c r="C6" i="8"/>
  <c r="C5" i="8"/>
  <c r="C7" i="8" s="1"/>
  <c r="C4" i="8"/>
  <c r="B6" i="8"/>
  <c r="B5" i="8"/>
  <c r="B7" i="8" s="1"/>
  <c r="B4" i="8"/>
  <c r="C11" i="8"/>
  <c r="B11" i="8"/>
  <c r="C10" i="8"/>
  <c r="B10" i="8"/>
  <c r="C3" i="8"/>
  <c r="B3" i="8"/>
  <c r="C2" i="8"/>
  <c r="B2" i="8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B15" i="8" l="1"/>
  <c r="E4" i="11"/>
  <c r="G4" i="11" s="1"/>
  <c r="E8" i="11"/>
  <c r="G8" i="11" s="1"/>
  <c r="E12" i="11"/>
  <c r="G12" i="11" s="1"/>
  <c r="H4" i="11"/>
  <c r="E2" i="11"/>
  <c r="G2" i="11" s="1"/>
  <c r="E10" i="11"/>
  <c r="G10" i="11" s="1"/>
  <c r="E6" i="11"/>
  <c r="G6" i="11" s="1"/>
  <c r="F4" i="11"/>
  <c r="E13" i="11"/>
  <c r="G13" i="11" s="1"/>
  <c r="E9" i="11"/>
  <c r="H9" i="11" s="1"/>
  <c r="E5" i="11"/>
  <c r="F5" i="11" s="1"/>
  <c r="E11" i="11"/>
  <c r="G11" i="11" s="1"/>
  <c r="E7" i="11"/>
  <c r="G7" i="11" s="1"/>
  <c r="E3" i="11"/>
  <c r="F3" i="11" s="1"/>
  <c r="H12" i="11" l="1"/>
  <c r="F12" i="11"/>
  <c r="F8" i="11"/>
  <c r="H8" i="11"/>
  <c r="F6" i="11"/>
  <c r="H6" i="11"/>
  <c r="H13" i="11"/>
  <c r="F2" i="11"/>
  <c r="G3" i="11"/>
  <c r="H11" i="11"/>
  <c r="G9" i="11"/>
  <c r="H5" i="11"/>
  <c r="F10" i="11"/>
  <c r="H7" i="11"/>
  <c r="F13" i="11"/>
  <c r="H2" i="11"/>
  <c r="G5" i="11"/>
  <c r="F11" i="11"/>
  <c r="F7" i="11"/>
  <c r="H3" i="11"/>
  <c r="F9" i="11"/>
  <c r="H10" i="11"/>
</calcChain>
</file>

<file path=xl/sharedStrings.xml><?xml version="1.0" encoding="utf-8"?>
<sst xmlns="http://schemas.openxmlformats.org/spreadsheetml/2006/main" count="33048" uniqueCount="8417">
  <si>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</si>
  <si>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</si>
  <si>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</si>
  <si>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</si>
  <si>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</si>
  <si>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</si>
  <si>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</si>
  <si>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</si>
  <si>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</si>
  <si>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</si>
  <si>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</si>
  <si>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</si>
  <si>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</si>
  <si>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</si>
  <si>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</si>
  <si>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</si>
  <si>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</si>
  <si>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</si>
  <si>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</si>
  <si>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</si>
  <si>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</si>
  <si>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</si>
  <si>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</si>
  <si>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</si>
  <si>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</si>
  <si>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</si>
  <si>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</si>
  <si>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</si>
  <si>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</si>
  <si>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</si>
  <si>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</si>
  <si>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</si>
  <si>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</si>
  <si>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</si>
  <si>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</si>
  <si>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</si>
  <si>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</si>
  <si>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</si>
  <si>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</si>
  <si>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</si>
  <si>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</si>
  <si>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</si>
  <si>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</si>
  <si>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</si>
  <si>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</si>
  <si>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</si>
  <si>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</si>
  <si>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</si>
  <si>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</si>
  <si>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</si>
  <si>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</si>
  <si>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</si>
  <si>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</si>
  <si>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</si>
  <si>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</si>
  <si>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</si>
  <si>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</si>
  <si>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</si>
  <si>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</si>
  <si>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</si>
  <si>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</si>
  <si>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</si>
  <si>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</si>
  <si>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</si>
  <si>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</si>
  <si>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</si>
  <si>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</si>
  <si>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</si>
  <si>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</si>
  <si>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</si>
  <si>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</si>
  <si>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</si>
  <si>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</si>
  <si>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</si>
  <si>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</si>
  <si>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</si>
  <si>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</si>
  <si>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</si>
  <si>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</si>
  <si>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</si>
  <si>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</si>
  <si>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</si>
  <si>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</si>
  <si>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</si>
  <si>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</si>
  <si>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</si>
  <si>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</si>
  <si>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</si>
  <si>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</si>
  <si>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</si>
  <si>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</si>
  <si>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</si>
  <si>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</si>
  <si>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</si>
  <si>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</si>
  <si>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</si>
  <si>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</si>
  <si>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</si>
  <si>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</si>
  <si>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</si>
  <si>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</si>
  <si>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</si>
  <si>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</si>
  <si>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</si>
  <si>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</si>
  <si>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</si>
  <si>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</si>
  <si>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</si>
  <si>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</si>
  <si>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</si>
  <si>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</si>
  <si>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</si>
  <si>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</si>
  <si>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</si>
  <si>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</si>
  <si>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</si>
  <si>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</si>
  <si>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</si>
  <si>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</si>
  <si>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</si>
  <si>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</si>
  <si>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</si>
  <si>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</si>
  <si>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</si>
  <si>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</si>
  <si>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</si>
  <si>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</si>
  <si>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</si>
  <si>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</si>
  <si>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</si>
  <si>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</si>
  <si>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</si>
  <si>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</si>
  <si>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</si>
  <si>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</si>
  <si>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</si>
  <si>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</si>
  <si>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</si>
  <si>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</si>
  <si>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</si>
  <si>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</si>
  <si>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</si>
  <si>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</si>
  <si>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</si>
  <si>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</si>
  <si>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</si>
  <si>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</si>
  <si>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</si>
  <si>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</si>
  <si>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</si>
  <si>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</si>
  <si>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</si>
  <si>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</si>
  <si>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</si>
  <si>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</si>
  <si>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</si>
  <si>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</si>
  <si>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</si>
  <si>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</si>
  <si>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</si>
  <si>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</si>
  <si>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</si>
  <si>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</si>
  <si>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</si>
  <si>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</si>
  <si>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</si>
  <si>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</si>
  <si>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</si>
  <si>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</si>
  <si>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</si>
  <si>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</si>
  <si>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</si>
  <si>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</si>
  <si>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</si>
  <si>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</si>
  <si>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</si>
  <si>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</si>
  <si>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</si>
  <si>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</si>
  <si>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</si>
  <si>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</si>
  <si>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</si>
  <si>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</si>
  <si>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</si>
  <si>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</si>
  <si>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</si>
  <si>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</si>
  <si>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</si>
  <si>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</si>
  <si>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</si>
  <si>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</si>
  <si>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</si>
  <si>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</si>
  <si>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</si>
  <si>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</si>
  <si>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</si>
  <si>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</si>
  <si>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</si>
  <si>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</si>
  <si>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</si>
  <si>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</si>
  <si>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</si>
  <si>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</si>
  <si>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</si>
  <si>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</si>
  <si>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</si>
  <si>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</si>
  <si>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</si>
  <si>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</si>
  <si>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</si>
  <si>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</si>
  <si>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</si>
  <si>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</si>
  <si>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</si>
  <si>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</si>
  <si>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</si>
  <si>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</si>
  <si>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</si>
  <si>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</si>
  <si>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</si>
  <si>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</si>
  <si>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</si>
  <si>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</si>
  <si>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</si>
  <si>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</si>
  <si>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</si>
  <si>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</si>
  <si>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</si>
  <si>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</si>
  <si>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</si>
  <si>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</si>
  <si>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</si>
  <si>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</si>
  <si>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</si>
  <si>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</si>
  <si>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</si>
  <si>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</si>
  <si>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</si>
  <si>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</si>
  <si>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</si>
  <si>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</si>
  <si>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</si>
  <si>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</si>
  <si>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</si>
  <si>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</si>
  <si>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</si>
  <si>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</si>
  <si>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</si>
  <si>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</si>
  <si>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</si>
  <si>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</si>
  <si>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</si>
  <si>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</si>
  <si>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</si>
  <si>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</si>
  <si>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</si>
  <si>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</si>
  <si>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</si>
  <si>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</si>
  <si>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</si>
  <si>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</si>
  <si>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</si>
  <si>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</si>
  <si>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</si>
  <si>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</si>
  <si>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</si>
  <si>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</si>
  <si>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</si>
  <si>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</si>
  <si>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</si>
  <si>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</si>
  <si>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</si>
  <si>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</si>
  <si>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</si>
  <si>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</si>
  <si>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</si>
  <si>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</si>
  <si>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</si>
  <si>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</si>
  <si>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</si>
  <si>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</si>
  <si>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</si>
  <si>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</si>
  <si>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</si>
  <si>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</si>
  <si>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</si>
  <si>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</si>
  <si>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</si>
  <si>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</si>
  <si>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</si>
  <si>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</si>
  <si>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</si>
  <si>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</si>
  <si>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</si>
  <si>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</si>
  <si>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</si>
  <si>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</si>
  <si>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</si>
  <si>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</si>
  <si>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</si>
  <si>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</si>
  <si>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</si>
  <si>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</si>
  <si>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</si>
  <si>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</si>
  <si>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</si>
  <si>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</si>
  <si>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</si>
  <si>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</si>
  <si>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</si>
  <si>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</si>
  <si>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</si>
  <si>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</si>
  <si>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</si>
  <si>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</si>
  <si>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</si>
  <si>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</si>
  <si>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</si>
  <si>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</si>
  <si>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</si>
  <si>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</si>
  <si>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</si>
  <si>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</si>
  <si>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</si>
  <si>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</si>
  <si>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</si>
  <si>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</si>
  <si>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</si>
  <si>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</si>
  <si>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</si>
  <si>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</si>
  <si>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</si>
  <si>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</si>
  <si>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</si>
  <si>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</si>
  <si>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</si>
  <si>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</si>
  <si>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</si>
  <si>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</si>
  <si>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</si>
  <si>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</si>
  <si>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</si>
  <si>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</si>
  <si>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</si>
  <si>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</si>
  <si>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</si>
  <si>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</si>
  <si>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</si>
  <si>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</si>
  <si>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</si>
  <si>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</si>
  <si>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</si>
  <si>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</si>
  <si>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</si>
  <si>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</si>
  <si>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</si>
  <si>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</si>
  <si>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</si>
  <si>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</si>
  <si>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</si>
  <si>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</si>
  <si>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</si>
  <si>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</si>
  <si>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</si>
  <si>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</si>
  <si>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</si>
  <si>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</si>
  <si>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</si>
  <si>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</si>
  <si>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</si>
  <si>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</si>
  <si>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</si>
  <si>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</si>
  <si>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</si>
  <si>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</si>
  <si>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</si>
  <si>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</si>
  <si>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</si>
  <si>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</si>
  <si>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</si>
  <si>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</si>
  <si>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</si>
  <si>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</si>
  <si>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</si>
  <si>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</si>
  <si>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</si>
  <si>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</si>
  <si>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</si>
  <si>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</si>
  <si>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</si>
  <si>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</si>
  <si>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</si>
  <si>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</si>
  <si>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</si>
  <si>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</si>
  <si>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</si>
  <si>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</si>
  <si>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</si>
  <si>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</si>
  <si>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</si>
  <si>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</si>
  <si>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</si>
  <si>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</si>
  <si>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</si>
  <si>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</si>
  <si>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</si>
  <si>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</si>
  <si>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</si>
  <si>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</si>
  <si>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</si>
  <si>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</si>
  <si>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</si>
  <si>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</si>
  <si>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</si>
  <si>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</si>
  <si>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</si>
  <si>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</si>
  <si>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</si>
  <si>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</si>
  <si>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</si>
  <si>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</si>
  <si>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</si>
  <si>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</si>
  <si>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</si>
  <si>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</si>
  <si>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</si>
  <si>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</si>
  <si>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</si>
  <si>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</si>
  <si>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</si>
  <si>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</si>
  <si>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</si>
  <si>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</si>
  <si>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</si>
  <si>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</si>
  <si>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</si>
  <si>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</si>
  <si>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</si>
  <si>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</si>
  <si>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</si>
  <si>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</si>
  <si>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</si>
  <si>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</si>
  <si>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</si>
  <si>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</si>
  <si>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</si>
  <si>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</si>
  <si>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</si>
  <si>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</si>
  <si>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</si>
  <si>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</si>
  <si>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</si>
  <si>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</si>
  <si>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</si>
  <si>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</si>
  <si>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</si>
  <si>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</si>
  <si>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</si>
  <si>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</si>
  <si>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</si>
  <si>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</si>
  <si>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</si>
  <si>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</si>
  <si>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</si>
  <si>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</si>
  <si>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</si>
  <si>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</si>
  <si>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</si>
  <si>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</si>
  <si>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</si>
  <si>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</si>
  <si>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</si>
  <si>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</si>
  <si>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</si>
  <si>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</si>
  <si>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</si>
  <si>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</si>
  <si>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</si>
  <si>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</si>
  <si>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</si>
  <si>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</si>
  <si>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</si>
  <si>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</si>
  <si>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</si>
  <si>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</si>
  <si>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</si>
  <si>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</si>
  <si>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</si>
  <si>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</si>
  <si>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</si>
  <si>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</si>
  <si>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</si>
  <si>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</si>
  <si>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</si>
  <si>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</si>
  <si>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</si>
  <si>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</si>
  <si>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</si>
  <si>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</si>
  <si>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</si>
  <si>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</si>
  <si>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</si>
  <si>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</si>
  <si>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</si>
  <si>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</si>
  <si>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</si>
  <si>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</si>
  <si>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</si>
  <si>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</si>
  <si>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</si>
  <si>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</si>
  <si>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</si>
  <si>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</si>
  <si>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</si>
  <si>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</si>
  <si>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</si>
  <si>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</si>
  <si>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</si>
  <si>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</si>
  <si>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</si>
  <si>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</si>
  <si>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</si>
  <si>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</si>
  <si>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</si>
  <si>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</si>
  <si>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</si>
  <si>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</si>
  <si>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</si>
  <si>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</si>
  <si>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</si>
  <si>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</si>
  <si>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</si>
  <si>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</si>
  <si>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</si>
  <si>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</si>
  <si>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</si>
  <si>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</si>
  <si>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</si>
  <si>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</si>
  <si>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</si>
  <si>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</si>
  <si>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</si>
  <si>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</si>
  <si>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</si>
  <si>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</si>
  <si>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</si>
  <si>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</si>
  <si>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</si>
  <si>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</si>
  <si>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</si>
  <si>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</si>
  <si>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</si>
  <si>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</si>
  <si>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</si>
  <si>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</si>
  <si>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</si>
  <si>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</si>
  <si>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</si>
  <si>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</si>
  <si>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</si>
  <si>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</si>
  <si>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</si>
  <si>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</si>
  <si>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</si>
  <si>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</si>
  <si>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</si>
  <si>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</si>
  <si>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</si>
  <si>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</si>
  <si>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</si>
  <si>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</si>
  <si>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</si>
  <si>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</si>
  <si>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</si>
  <si>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</si>
  <si>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</si>
  <si>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</si>
  <si>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</si>
  <si>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</si>
  <si>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</si>
  <si>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</si>
  <si>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</si>
  <si>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</si>
  <si>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</si>
  <si>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</si>
  <si>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</si>
  <si>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</si>
  <si>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</si>
  <si>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</si>
  <si>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</si>
  <si>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</si>
  <si>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</si>
  <si>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</si>
  <si>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</si>
  <si>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</si>
  <si>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</si>
  <si>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</si>
  <si>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</si>
  <si>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</si>
  <si>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</si>
  <si>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</si>
  <si>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</si>
  <si>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</si>
  <si>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</si>
  <si>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</si>
  <si>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</si>
  <si>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</si>
  <si>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</si>
  <si>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</si>
  <si>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</si>
  <si>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</si>
  <si>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</si>
  <si>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</si>
  <si>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</si>
  <si>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</si>
  <si>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</si>
  <si>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</si>
  <si>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</si>
  <si>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</si>
  <si>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</si>
  <si>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</si>
  <si>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</si>
  <si>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</si>
  <si>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</si>
  <si>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</si>
  <si>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</si>
  <si>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</si>
  <si>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</si>
  <si>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</si>
  <si>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</si>
  <si>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</si>
  <si>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</si>
  <si>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</si>
  <si>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</si>
  <si>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</si>
  <si>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</si>
  <si>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</si>
  <si>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</si>
  <si>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</si>
  <si>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</si>
  <si>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</si>
  <si>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</si>
  <si>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</si>
  <si>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</si>
  <si>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</si>
  <si>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</si>
  <si>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</si>
  <si>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</si>
  <si>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</si>
  <si>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</si>
  <si>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</si>
  <si>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</si>
  <si>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</si>
  <si>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</si>
  <si>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</si>
  <si>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</si>
  <si>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</si>
  <si>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</si>
  <si>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</si>
  <si>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</si>
  <si>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</si>
  <si>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</si>
  <si>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</si>
  <si>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</si>
  <si>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</si>
  <si>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</si>
  <si>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</si>
  <si>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</si>
  <si>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</si>
  <si>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</si>
  <si>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</si>
  <si>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</si>
  <si>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</si>
  <si>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</si>
  <si>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</si>
  <si>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</si>
  <si>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</si>
  <si>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</si>
  <si>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</si>
  <si>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</si>
  <si>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</si>
  <si>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</si>
  <si>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</si>
  <si>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</si>
  <si>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</si>
  <si>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</si>
  <si>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</si>
  <si>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</si>
  <si>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</si>
  <si>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</si>
  <si>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</si>
  <si>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</si>
  <si>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</si>
  <si>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</si>
  <si>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</si>
  <si>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</si>
  <si>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</si>
  <si>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</si>
  <si>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</si>
  <si>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</si>
  <si>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</si>
  <si>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</si>
  <si>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</si>
  <si>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</si>
  <si>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</si>
  <si>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</si>
  <si>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</si>
  <si>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</si>
  <si>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</si>
  <si>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</si>
  <si>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</si>
  <si>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</si>
  <si>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</si>
  <si>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</si>
  <si>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</si>
  <si>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</si>
  <si>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</si>
  <si>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</si>
  <si>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</si>
  <si>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</si>
  <si>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</si>
  <si>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</si>
  <si>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</si>
  <si>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</si>
  <si>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</si>
  <si>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</si>
  <si>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</si>
  <si>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</si>
  <si>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</si>
  <si>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</si>
  <si>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</si>
  <si>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</si>
  <si>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</si>
  <si>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</si>
  <si>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</si>
  <si>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</si>
  <si>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</si>
  <si>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</si>
  <si>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</si>
  <si>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</si>
  <si>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</si>
  <si>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</si>
  <si>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</si>
  <si>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</si>
  <si>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</si>
  <si>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</si>
  <si>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</si>
  <si>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</si>
  <si>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</si>
  <si>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</si>
  <si>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</si>
  <si>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</si>
  <si>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</si>
  <si>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</si>
  <si>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</si>
  <si>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</si>
  <si>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</si>
  <si>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</si>
  <si>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</si>
  <si>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</si>
  <si>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</si>
  <si>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</si>
  <si>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</si>
  <si>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</si>
  <si>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</si>
  <si>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</si>
  <si>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</si>
  <si>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</si>
  <si>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</si>
  <si>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</si>
  <si>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</si>
  <si>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</si>
  <si>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</si>
  <si>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</si>
  <si>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</si>
  <si>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</si>
  <si>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</si>
  <si>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</si>
  <si>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</si>
  <si>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</si>
  <si>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</si>
  <si>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</si>
  <si>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</si>
  <si>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</si>
  <si>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</si>
  <si>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</si>
  <si>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</si>
  <si>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</si>
  <si>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</si>
  <si>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</si>
  <si>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</si>
  <si>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</si>
  <si>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</si>
  <si>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</si>
  <si>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</si>
  <si>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</si>
  <si>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</si>
  <si>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</si>
  <si>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</si>
  <si>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</si>
  <si>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</si>
  <si>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</si>
  <si>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</si>
  <si>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</si>
  <si>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</si>
  <si>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</si>
  <si>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</si>
  <si>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</si>
  <si>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</si>
  <si>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</si>
  <si>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</si>
  <si>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</si>
  <si>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</si>
  <si>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</si>
  <si>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</si>
  <si>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</si>
  <si>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</si>
  <si>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</si>
  <si>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</si>
  <si>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</si>
  <si>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</si>
  <si>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</si>
  <si>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</si>
  <si>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</si>
  <si>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</si>
  <si>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</si>
  <si>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</si>
  <si>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</si>
  <si>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</si>
  <si>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</si>
  <si>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</si>
  <si>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</si>
  <si>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</si>
  <si>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</si>
  <si>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</si>
  <si>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</si>
  <si>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</si>
  <si>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</si>
  <si>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</si>
  <si>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</si>
  <si>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</si>
  <si>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</si>
  <si>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</si>
  <si>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</si>
  <si>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</si>
  <si>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</si>
  <si>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</si>
  <si>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</si>
  <si>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</si>
  <si>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</si>
  <si>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</si>
  <si>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</si>
  <si>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</si>
  <si>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</si>
  <si>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</si>
  <si>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</si>
  <si>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</si>
  <si>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</si>
  <si>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</si>
  <si>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</si>
  <si>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</si>
  <si>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</si>
  <si>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</si>
  <si>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</si>
  <si>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</si>
  <si>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</si>
  <si>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</si>
  <si>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</si>
  <si>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</si>
  <si>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</si>
  <si>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</si>
  <si>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</si>
  <si>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</si>
  <si>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</si>
  <si>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</si>
  <si>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</si>
  <si>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</si>
  <si>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</si>
  <si>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</si>
  <si>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</si>
  <si>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</si>
  <si>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</si>
  <si>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</si>
  <si>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</si>
  <si>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</si>
  <si>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</si>
  <si>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</si>
  <si>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</si>
  <si>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</si>
  <si>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</si>
  <si>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</si>
  <si>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</si>
  <si>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</si>
  <si>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</si>
  <si>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</si>
  <si>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</si>
  <si>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</si>
  <si>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</si>
  <si>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</si>
  <si>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</si>
  <si>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</si>
  <si>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</si>
  <si>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</si>
  <si>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</si>
  <si>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</si>
  <si>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</si>
  <si>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</si>
  <si>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</si>
  <si>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</si>
  <si>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</si>
  <si>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</si>
  <si>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</si>
  <si>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</si>
  <si>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</si>
  <si>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</si>
  <si>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</si>
  <si>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</si>
  <si>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</si>
  <si>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</si>
  <si>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</si>
  <si>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</si>
  <si>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</si>
  <si>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</si>
  <si>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</si>
  <si>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</si>
  <si>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</si>
  <si>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</si>
  <si>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</si>
  <si>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</si>
  <si>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</si>
  <si>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</si>
  <si>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</si>
  <si>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</si>
  <si>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</si>
  <si>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</si>
  <si>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</si>
  <si>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</si>
  <si>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</si>
  <si>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</si>
  <si>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</si>
  <si>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</si>
  <si>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</si>
  <si>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</si>
  <si>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</si>
  <si>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</si>
  <si>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</si>
  <si>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</si>
  <si>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</si>
  <si>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</si>
  <si>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</si>
  <si>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</si>
  <si>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</si>
  <si>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</si>
  <si>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</si>
  <si>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</si>
  <si>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</si>
  <si>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</si>
  <si>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</si>
  <si>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</si>
  <si>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</si>
  <si>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</si>
  <si>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</si>
  <si>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</si>
  <si>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</si>
  <si>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</si>
  <si>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</si>
  <si>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</si>
  <si>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</si>
  <si>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</si>
  <si>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</si>
  <si>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</si>
  <si>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</si>
  <si>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</si>
  <si>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</si>
  <si>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</si>
  <si>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</si>
  <si>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</si>
  <si>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</si>
  <si>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</si>
  <si>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</si>
  <si>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</si>
  <si>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</si>
  <si>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</si>
  <si>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</si>
  <si>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</si>
  <si>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</si>
  <si>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</si>
  <si>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</si>
  <si>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</si>
  <si>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</si>
  <si>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</si>
  <si>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</si>
  <si>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</si>
  <si>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</si>
  <si>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</si>
  <si>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</si>
  <si>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</si>
  <si>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</si>
  <si>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</si>
  <si>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</si>
  <si>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</si>
  <si>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</si>
  <si>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</si>
  <si>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</si>
  <si>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</si>
  <si>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</si>
  <si>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</si>
  <si>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</si>
  <si>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</si>
  <si>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</si>
  <si>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</si>
  <si>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</si>
  <si>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</si>
  <si>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</si>
  <si>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</si>
  <si>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</si>
  <si>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</si>
  <si>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</si>
  <si>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</si>
  <si>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</si>
  <si>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</si>
  <si>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</si>
  <si>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</si>
  <si>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</si>
  <si>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</si>
  <si>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</si>
  <si>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</si>
  <si>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</si>
  <si>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</si>
  <si>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</si>
  <si>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</si>
  <si>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</si>
  <si>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</si>
  <si>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</si>
  <si>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</si>
  <si>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</si>
  <si>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</si>
  <si>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</si>
  <si>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</si>
  <si>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</si>
  <si>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</si>
  <si>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</si>
  <si>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</si>
  <si>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</si>
  <si>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</si>
  <si>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</si>
  <si>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</si>
  <si>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</si>
  <si>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</si>
  <si>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</si>
  <si>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</si>
  <si>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</si>
  <si>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</si>
  <si>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</si>
  <si>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</si>
  <si>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</si>
  <si>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</si>
  <si>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</si>
  <si>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</si>
  <si>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</si>
  <si>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</si>
  <si>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</si>
  <si>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</si>
  <si>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</si>
  <si>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</si>
  <si>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</si>
  <si>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</si>
  <si>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</si>
  <si>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</si>
  <si>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</si>
  <si>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</si>
  <si>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</si>
  <si>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</si>
  <si>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</si>
  <si>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</si>
  <si>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</si>
  <si>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</si>
  <si>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</si>
  <si>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</si>
  <si>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</si>
  <si>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</si>
  <si>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</si>
  <si>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</si>
  <si>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</si>
  <si>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</si>
  <si>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</si>
  <si>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</si>
  <si>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</si>
  <si>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</si>
  <si>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</si>
  <si>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</si>
  <si>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</si>
  <si>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</si>
  <si>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</si>
  <si>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</si>
  <si>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</si>
  <si>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</si>
  <si>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</si>
  <si>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</si>
  <si>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</si>
  <si>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</si>
  <si>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</si>
  <si>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</si>
  <si>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</si>
  <si>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</si>
  <si>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</si>
  <si>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</si>
  <si>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</si>
  <si>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</si>
  <si>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</si>
  <si>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</si>
  <si>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</si>
  <si>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</si>
  <si>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</si>
  <si>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</si>
  <si>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</si>
  <si>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</si>
  <si>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</si>
  <si>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</si>
  <si>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</si>
  <si>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</si>
  <si>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</si>
  <si>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</si>
  <si>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</si>
  <si>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</si>
  <si>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</si>
  <si>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</si>
  <si>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</si>
  <si>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</si>
  <si>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</si>
  <si>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</si>
  <si>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</si>
  <si>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</si>
  <si>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</si>
  <si>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</si>
  <si>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</si>
  <si>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</si>
  <si>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</si>
  <si>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</si>
  <si>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</si>
  <si>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</si>
  <si>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</si>
  <si>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</si>
  <si>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</si>
  <si>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</si>
  <si>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</si>
  <si>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</si>
  <si>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</si>
  <si>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</si>
  <si>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</si>
  <si>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</si>
  <si>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</si>
  <si>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</si>
  <si>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</si>
  <si>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</si>
  <si>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</si>
  <si>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</si>
  <si>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</si>
  <si>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</si>
  <si>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</si>
  <si>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</si>
  <si>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</si>
  <si>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</si>
  <si>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</si>
  <si>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</si>
  <si>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</si>
  <si>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</si>
  <si>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</si>
  <si>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</si>
  <si>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</si>
  <si>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</si>
  <si>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</si>
  <si>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</si>
  <si>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</si>
  <si>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</si>
  <si>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</si>
  <si>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</si>
  <si>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</si>
  <si>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</si>
  <si>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</si>
  <si>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</si>
  <si>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</si>
  <si>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</si>
  <si>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</si>
  <si>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</si>
  <si>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</si>
  <si>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</si>
  <si>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</si>
  <si>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</si>
  <si>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</si>
  <si>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</si>
  <si>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</si>
  <si>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</si>
  <si>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</si>
  <si>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</si>
  <si>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</si>
  <si>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</si>
  <si>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</si>
  <si>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</si>
  <si>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</si>
  <si>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</si>
  <si>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</si>
  <si>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</si>
  <si>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</si>
  <si>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</si>
  <si>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</si>
  <si>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</si>
  <si>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</si>
  <si>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</si>
  <si>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</si>
  <si>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</si>
  <si>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</si>
  <si>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</si>
  <si>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</si>
  <si>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</si>
  <si>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</si>
  <si>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</si>
  <si>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</si>
  <si>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</si>
  <si>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</si>
  <si>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</si>
  <si>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</si>
  <si>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</si>
  <si>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</si>
  <si>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</si>
  <si>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</si>
  <si>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</si>
  <si>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</si>
  <si>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</si>
  <si>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</si>
  <si>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</si>
  <si>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</si>
  <si>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</si>
  <si>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</si>
  <si>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</si>
  <si>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</si>
  <si>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</si>
  <si>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</si>
  <si>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</si>
  <si>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</si>
  <si>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</si>
  <si>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</si>
  <si>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</si>
  <si>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</si>
  <si>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</si>
  <si>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</si>
  <si>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</si>
  <si>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</si>
  <si>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</si>
  <si>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</si>
  <si>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</si>
  <si>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</si>
  <si>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</si>
  <si>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</si>
  <si>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</si>
  <si>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</si>
  <si>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</si>
  <si>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</si>
  <si>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</si>
  <si>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</si>
  <si>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</si>
  <si>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</si>
  <si>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</si>
  <si>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</si>
  <si>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</si>
  <si>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</si>
  <si>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</si>
  <si>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</si>
  <si>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</si>
  <si>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</si>
  <si>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</si>
  <si>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</si>
  <si>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</si>
  <si>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</si>
  <si>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</si>
  <si>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</si>
  <si>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</si>
  <si>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</si>
  <si>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</si>
  <si>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</si>
  <si>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</si>
  <si>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</si>
  <si>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</si>
  <si>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</si>
  <si>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</si>
  <si>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</si>
  <si>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</si>
  <si>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</si>
  <si>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</si>
  <si>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</si>
  <si>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</si>
  <si>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</si>
  <si>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</si>
  <si>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</si>
  <si>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</si>
  <si>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</si>
  <si>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</si>
  <si>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</si>
  <si>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</si>
  <si>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</si>
  <si>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</si>
  <si>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</si>
  <si>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</si>
  <si>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</si>
  <si>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</si>
  <si>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</si>
  <si>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</si>
  <si>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</si>
  <si>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</si>
  <si>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</si>
  <si>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</si>
  <si>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</si>
  <si>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</si>
  <si>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</si>
  <si>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</si>
  <si>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</si>
  <si>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</si>
  <si>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</si>
  <si>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</si>
  <si>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</si>
  <si>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</si>
  <si>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</si>
  <si>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</si>
  <si>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</si>
  <si>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</si>
  <si>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</si>
  <si>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</si>
  <si>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</si>
  <si>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</si>
  <si>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</si>
  <si>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</si>
  <si>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</si>
  <si>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</si>
  <si>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</si>
  <si>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</si>
  <si>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</si>
  <si>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</si>
  <si>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</si>
  <si>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</si>
  <si>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</si>
  <si>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</si>
  <si>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</si>
  <si>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</si>
  <si>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</si>
  <si>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</si>
  <si>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</si>
  <si>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</si>
  <si>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</si>
  <si>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</si>
  <si>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</si>
  <si>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</si>
  <si>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</si>
  <si>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</si>
  <si>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</si>
  <si>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</si>
  <si>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</si>
  <si>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</si>
  <si>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</si>
  <si>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</si>
  <si>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</si>
  <si>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</si>
  <si>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</si>
  <si>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</si>
  <si>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</si>
  <si>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</si>
  <si>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</si>
  <si>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</si>
  <si>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</si>
  <si>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</si>
  <si>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</si>
  <si>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</si>
  <si>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</si>
  <si>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</si>
  <si>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</si>
  <si>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</si>
  <si>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</si>
  <si>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</si>
  <si>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</si>
  <si>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</si>
  <si>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</si>
  <si>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</si>
  <si>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</si>
  <si>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</si>
  <si>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</si>
  <si>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</si>
  <si>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</si>
  <si>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</si>
  <si>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</si>
  <si>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</si>
  <si>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</si>
  <si>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</si>
  <si>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</si>
  <si>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</si>
  <si>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</si>
  <si>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</si>
  <si>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</si>
  <si>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</si>
  <si>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</si>
  <si>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</si>
  <si>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</si>
  <si>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</si>
  <si>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</si>
  <si>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</si>
  <si>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</si>
  <si>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</si>
  <si>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</si>
  <si>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</si>
  <si>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</si>
  <si>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</si>
  <si>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</si>
  <si>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</si>
  <si>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</si>
  <si>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</si>
  <si>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</si>
  <si>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</si>
  <si>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</si>
  <si>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</si>
  <si>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</si>
  <si>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</si>
  <si>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</si>
  <si>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</si>
  <si>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</si>
  <si>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</si>
  <si>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</si>
  <si>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</si>
  <si>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</si>
  <si>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</si>
  <si>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</si>
  <si>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</si>
  <si>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</si>
  <si>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</si>
  <si>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</si>
  <si>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</si>
  <si>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</si>
  <si>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</si>
  <si>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</si>
  <si>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</si>
  <si>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</si>
  <si>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</si>
  <si>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</si>
  <si>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</si>
  <si>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</si>
  <si>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</si>
  <si>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</si>
  <si>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</si>
  <si>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</si>
  <si>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</si>
  <si>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</si>
  <si>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</si>
  <si>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</si>
  <si>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</si>
  <si>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</si>
  <si>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</si>
  <si>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</si>
  <si>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</si>
  <si>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</si>
  <si>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</si>
  <si>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</si>
  <si>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</si>
  <si>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</si>
  <si>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</si>
  <si>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</si>
  <si>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</si>
  <si>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</si>
  <si>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</si>
  <si>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</si>
  <si>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</si>
  <si>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</si>
  <si>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</si>
  <si>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</si>
  <si>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</si>
  <si>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</si>
  <si>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</si>
  <si>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</si>
  <si>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</si>
  <si>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</si>
  <si>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</si>
  <si>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</si>
  <si>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</si>
  <si>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</si>
  <si>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</si>
  <si>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</si>
  <si>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</si>
  <si>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</si>
  <si>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</si>
  <si>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</si>
  <si>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</si>
  <si>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</si>
  <si>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</si>
  <si>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</si>
  <si>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</si>
  <si>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</si>
  <si>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</si>
  <si>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</si>
  <si>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</si>
  <si>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</si>
  <si>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</si>
  <si>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</si>
  <si>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</si>
  <si>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</si>
  <si>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</si>
  <si>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</si>
  <si>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</si>
  <si>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</si>
  <si>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</si>
  <si>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</si>
  <si>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</si>
  <si>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</si>
  <si>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</si>
  <si>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</si>
  <si>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</si>
  <si>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</si>
  <si>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</si>
  <si>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</si>
  <si>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</si>
  <si>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</si>
  <si>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</si>
  <si>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</si>
  <si>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</si>
  <si>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</si>
  <si>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</si>
  <si>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</si>
  <si>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</si>
  <si>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</si>
  <si>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</si>
  <si>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</si>
  <si>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</si>
  <si>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</si>
  <si>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</si>
  <si>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</si>
  <si>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</si>
  <si>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</si>
  <si>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</si>
  <si>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</si>
  <si>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</si>
  <si>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</si>
  <si>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</si>
  <si>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</si>
  <si>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</si>
  <si>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</si>
  <si>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</si>
  <si>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</si>
  <si>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</si>
  <si>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</si>
  <si>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</si>
  <si>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</si>
  <si>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</si>
  <si>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</si>
  <si>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</si>
  <si>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</si>
  <si>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</si>
  <si>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</si>
  <si>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</si>
  <si>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</si>
  <si>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</si>
  <si>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</si>
  <si>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</si>
  <si>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</si>
  <si>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</si>
  <si>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</si>
  <si>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</si>
  <si>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</si>
  <si>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</si>
  <si>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</si>
  <si>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</si>
  <si>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</si>
  <si>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</si>
  <si>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</si>
  <si>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</si>
  <si>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</si>
  <si>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</si>
  <si>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</si>
  <si>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</si>
  <si>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</si>
  <si>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</si>
  <si>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</si>
  <si>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</si>
  <si>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</si>
  <si>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</si>
  <si>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</si>
  <si>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</si>
  <si>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</si>
  <si>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</si>
  <si>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</si>
  <si>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</si>
  <si>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</si>
  <si>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</si>
  <si>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</si>
  <si>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</si>
  <si>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</si>
  <si>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</si>
  <si>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</si>
  <si>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</si>
  <si>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</si>
  <si>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</si>
  <si>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</si>
  <si>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</si>
  <si>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</si>
  <si>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</si>
  <si>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</si>
  <si>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</si>
  <si>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</si>
  <si>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</si>
  <si>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</si>
  <si>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</si>
  <si>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</si>
  <si>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</si>
  <si>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</si>
  <si>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</si>
  <si>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</si>
  <si>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</si>
  <si>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</si>
  <si>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</si>
  <si>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</si>
  <si>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</si>
  <si>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</si>
  <si>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</si>
  <si>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</si>
  <si>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</si>
  <si>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</si>
  <si>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</si>
  <si>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</si>
  <si>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</si>
  <si>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</si>
  <si>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</si>
  <si>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</si>
  <si>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</si>
  <si>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</si>
  <si>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</si>
  <si>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</si>
  <si>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</si>
  <si>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</si>
  <si>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</si>
  <si>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</si>
  <si>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</si>
  <si>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</si>
  <si>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</si>
  <si>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</si>
  <si>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</si>
  <si>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</si>
  <si>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</si>
  <si>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</si>
  <si>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</si>
  <si>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</si>
  <si>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</si>
  <si>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</si>
  <si>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</si>
  <si>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</si>
  <si>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</si>
  <si>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</si>
  <si>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</si>
  <si>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</si>
  <si>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</si>
  <si>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</si>
  <si>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</si>
  <si>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</si>
  <si>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</si>
  <si>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</si>
  <si>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</si>
  <si>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</si>
  <si>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</si>
  <si>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</si>
  <si>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</si>
  <si>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</si>
  <si>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</si>
  <si>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</si>
  <si>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</si>
  <si>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</si>
  <si>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</si>
  <si>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</si>
  <si>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</si>
  <si>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</si>
  <si>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</si>
  <si>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</si>
  <si>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</si>
  <si>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</si>
  <si>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</si>
  <si>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</si>
  <si>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</si>
  <si>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</si>
  <si>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</si>
  <si>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</si>
  <si>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</si>
  <si>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</si>
  <si>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</si>
  <si>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</si>
  <si>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</si>
  <si>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</si>
  <si>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</si>
  <si>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</si>
  <si>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</si>
  <si>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</si>
  <si>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</si>
  <si>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</si>
  <si>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</si>
  <si>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</si>
  <si>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</si>
  <si>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</si>
  <si>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</si>
  <si>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</si>
  <si>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</si>
  <si>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</si>
  <si>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</si>
  <si>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</si>
  <si>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</si>
  <si>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</si>
  <si>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</si>
  <si>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</si>
  <si>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</si>
  <si>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</si>
  <si>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</si>
  <si>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</si>
  <si>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</si>
  <si>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</si>
  <si>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</si>
  <si>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</si>
  <si>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</si>
  <si>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</si>
  <si>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</si>
  <si>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</si>
  <si>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</si>
  <si>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</si>
  <si>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</si>
  <si>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</si>
  <si>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</si>
  <si>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</si>
  <si>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</si>
  <si>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</si>
  <si>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</si>
  <si>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</si>
  <si>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</si>
  <si>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</si>
  <si>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</si>
  <si>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</si>
  <si>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</si>
  <si>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</si>
  <si>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</si>
  <si>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</si>
  <si>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</si>
  <si>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</si>
  <si>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</si>
  <si>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</si>
  <si>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</si>
  <si>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</si>
  <si>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</si>
  <si>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</si>
  <si>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</si>
  <si>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</si>
  <si>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</si>
  <si>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</si>
  <si>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</si>
  <si>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</si>
  <si>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</si>
  <si>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</si>
  <si>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</si>
  <si>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</si>
  <si>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</si>
  <si>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</si>
  <si>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</si>
  <si>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</si>
  <si>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</si>
  <si>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</si>
  <si>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</si>
  <si>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</si>
  <si>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</si>
  <si>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</si>
  <si>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</si>
  <si>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</si>
  <si>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</si>
  <si>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</si>
  <si>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</si>
  <si>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</si>
  <si>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</si>
  <si>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</si>
  <si>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</si>
  <si>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</si>
  <si>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</si>
  <si>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</si>
  <si>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</si>
  <si>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</si>
  <si>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</si>
  <si>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</si>
  <si>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</si>
  <si>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</si>
  <si>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</si>
  <si>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</si>
  <si>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</si>
  <si>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</si>
  <si>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</si>
  <si>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</si>
  <si>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</si>
  <si>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</si>
  <si>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</si>
  <si>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</si>
  <si>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</si>
  <si>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</si>
  <si>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</si>
  <si>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</si>
  <si>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</si>
  <si>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</si>
  <si>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</si>
  <si>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</si>
  <si>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</si>
  <si>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</si>
  <si>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</si>
  <si>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</si>
  <si>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</si>
  <si>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</si>
  <si>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</si>
  <si>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</si>
  <si>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</si>
  <si>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</si>
  <si>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</si>
  <si>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</si>
  <si>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</si>
  <si>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</si>
  <si>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</si>
  <si>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</si>
  <si>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</si>
  <si>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</si>
  <si>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</si>
  <si>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</si>
  <si>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</si>
  <si>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</si>
  <si>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</si>
  <si>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</si>
  <si>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</si>
  <si>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</si>
  <si>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</si>
  <si>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</si>
  <si>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</si>
  <si>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</si>
  <si>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</si>
  <si>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</si>
  <si>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</si>
  <si>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</si>
  <si>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</si>
  <si>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</si>
  <si>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</si>
  <si>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</si>
  <si>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</si>
  <si>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</si>
  <si>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</si>
  <si>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</si>
  <si>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</si>
  <si>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</si>
  <si>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</si>
  <si>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</si>
  <si>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</si>
  <si>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</si>
  <si>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</si>
  <si>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</si>
  <si>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</si>
  <si>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</si>
  <si>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</si>
  <si>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</si>
  <si>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</si>
  <si>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</si>
  <si>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</si>
  <si>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</si>
  <si>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</si>
  <si>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</si>
  <si>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</si>
  <si>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</si>
  <si>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</si>
  <si>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</si>
  <si>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</si>
  <si>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</si>
  <si>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</si>
  <si>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</si>
  <si>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</si>
  <si>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</si>
  <si>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</si>
  <si>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</si>
  <si>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</si>
  <si>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</si>
  <si>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</si>
  <si>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</si>
  <si>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</si>
  <si>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</si>
  <si>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</si>
  <si>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</si>
  <si>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</si>
  <si>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</si>
  <si>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</si>
  <si>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</si>
  <si>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</si>
  <si>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</si>
  <si>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</si>
  <si>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</si>
  <si>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</si>
  <si>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</si>
  <si>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</si>
  <si>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</si>
  <si>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</si>
  <si>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</si>
  <si>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</si>
  <si>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</si>
  <si>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</si>
  <si>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</si>
  <si>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</si>
  <si>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</si>
  <si>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</si>
  <si>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</si>
  <si>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</si>
  <si>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</si>
  <si>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</si>
  <si>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</si>
  <si>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</si>
  <si>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</si>
  <si>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</si>
  <si>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</si>
  <si>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</si>
  <si>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</si>
  <si>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</si>
  <si>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</si>
  <si>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</si>
  <si>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</si>
  <si>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</si>
  <si>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</si>
  <si>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</si>
  <si>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</si>
  <si>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</si>
  <si>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</si>
  <si>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</si>
  <si>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</si>
  <si>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</si>
  <si>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</si>
  <si>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</si>
  <si>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</si>
  <si>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</si>
  <si>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</si>
  <si>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</si>
  <si>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</si>
  <si>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</si>
  <si>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</si>
  <si>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</si>
  <si>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</si>
  <si>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</si>
  <si>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</si>
  <si>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</si>
  <si>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</si>
  <si>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</si>
  <si>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</si>
  <si>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</si>
  <si>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</si>
  <si>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</si>
  <si>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</si>
  <si>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</si>
  <si>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</si>
  <si>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</si>
  <si>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</si>
  <si>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</si>
  <si>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</si>
  <si>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</si>
  <si>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</si>
  <si>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</si>
  <si>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</si>
  <si>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</si>
  <si>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</si>
  <si>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</si>
  <si>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</si>
  <si>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</si>
  <si>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</si>
  <si>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</si>
  <si>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</si>
  <si>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</si>
  <si>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</si>
  <si>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</si>
  <si>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</si>
  <si>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</si>
  <si>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</si>
  <si>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</si>
  <si>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</si>
  <si>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</si>
  <si>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</si>
  <si>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</si>
  <si>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</si>
  <si>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</si>
  <si>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</si>
  <si>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</si>
  <si>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</si>
  <si>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</si>
  <si>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</si>
  <si>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</si>
  <si>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</si>
  <si>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</si>
  <si>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</si>
  <si>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</si>
  <si>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</si>
  <si>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</si>
  <si>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</si>
  <si>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</si>
  <si>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</si>
  <si>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</si>
  <si>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</si>
  <si>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</si>
  <si>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</si>
  <si>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</si>
  <si>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</si>
  <si>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</si>
  <si>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</si>
  <si>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</si>
  <si>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</si>
  <si>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</si>
  <si>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</si>
  <si>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</si>
  <si>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</si>
  <si>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</si>
  <si>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</si>
  <si>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</si>
  <si>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</si>
  <si>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</si>
  <si>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</si>
  <si>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</si>
  <si>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</si>
  <si>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</si>
  <si>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</si>
  <si>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</si>
  <si>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</si>
  <si>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</si>
  <si>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</si>
  <si>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</si>
  <si>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</si>
  <si>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</si>
  <si>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</si>
  <si>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</si>
  <si>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</si>
  <si>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</si>
  <si>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</si>
  <si>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</si>
  <si>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</si>
  <si>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</si>
  <si>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</si>
  <si>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</si>
  <si>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</si>
  <si>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</si>
  <si>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</si>
  <si>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</si>
  <si>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</si>
  <si>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</si>
  <si>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</si>
  <si>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</si>
  <si>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</si>
  <si>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</si>
  <si>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</si>
  <si>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</si>
  <si>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</si>
  <si>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</si>
  <si>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</si>
  <si>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</si>
  <si>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</si>
  <si>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</si>
  <si>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</si>
  <si>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</si>
  <si>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</si>
  <si>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</si>
  <si>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</si>
  <si>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</si>
  <si>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</si>
  <si>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</si>
  <si>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</si>
  <si>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</si>
  <si>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</si>
  <si>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</si>
  <si>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</si>
  <si>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</si>
  <si>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</si>
  <si>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</si>
  <si>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</si>
  <si>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</si>
  <si>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</si>
  <si>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</si>
  <si>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</si>
  <si>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</si>
  <si>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</si>
  <si>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</si>
  <si>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</si>
  <si>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</si>
  <si>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</si>
  <si>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</si>
  <si>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</si>
  <si>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</si>
  <si>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</si>
  <si>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</si>
  <si>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</si>
  <si>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</si>
  <si>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</si>
  <si>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</si>
  <si>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</si>
  <si>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</si>
  <si>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</si>
  <si>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</si>
  <si>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</si>
  <si>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</si>
  <si>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</si>
  <si>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</si>
  <si>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</si>
  <si>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</si>
  <si>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</si>
  <si>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</si>
  <si>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</si>
  <si>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</si>
  <si>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</si>
  <si>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</si>
  <si>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</si>
  <si>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</si>
  <si>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</si>
  <si>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</si>
  <si>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</si>
  <si>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</si>
  <si>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</si>
  <si>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</si>
  <si>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</si>
  <si>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</si>
  <si>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</si>
  <si>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</si>
  <si>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</si>
  <si>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</si>
  <si>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</si>
  <si>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</si>
  <si>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</si>
  <si>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</si>
  <si>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</si>
  <si>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</si>
  <si>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</si>
  <si>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</si>
  <si>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</si>
  <si>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</si>
  <si>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</si>
  <si>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</si>
  <si>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</si>
  <si>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</si>
  <si>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</si>
  <si>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</si>
  <si>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</si>
  <si>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</si>
  <si>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</si>
  <si>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</si>
  <si>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</si>
  <si>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</si>
  <si>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</si>
  <si>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</si>
  <si>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</si>
  <si>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</si>
  <si>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</si>
  <si>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</si>
  <si>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</si>
  <si>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</si>
  <si>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</si>
  <si>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</si>
  <si>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</si>
  <si>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</si>
  <si>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</si>
  <si>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</si>
  <si>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</si>
  <si>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</si>
  <si>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</si>
  <si>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</si>
  <si>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</si>
  <si>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</si>
  <si>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</si>
  <si>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</si>
  <si>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</si>
  <si>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</si>
  <si>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</si>
  <si>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</si>
  <si>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</si>
  <si>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</si>
  <si>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</si>
  <si>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</si>
  <si>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</si>
  <si>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</si>
  <si>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</si>
  <si>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</si>
  <si>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</si>
  <si>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</si>
  <si>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</si>
  <si>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</si>
  <si>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</si>
  <si>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</si>
  <si>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</si>
  <si>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</si>
  <si>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</si>
  <si>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</si>
  <si>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</si>
  <si>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</si>
  <si>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</si>
  <si>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</si>
  <si>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</si>
  <si>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</si>
  <si>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</si>
  <si>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</si>
  <si>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</si>
  <si>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</si>
  <si>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</si>
  <si>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</si>
  <si>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</si>
  <si>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</si>
  <si>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</si>
  <si>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</si>
  <si>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</si>
  <si>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</si>
  <si>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</si>
  <si>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</si>
  <si>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</si>
  <si>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</si>
  <si>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</si>
  <si>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</si>
  <si>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</si>
  <si>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</si>
  <si>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</si>
  <si>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</si>
  <si>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</si>
  <si>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</si>
  <si>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</si>
  <si>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</si>
  <si>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</si>
  <si>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</si>
  <si>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</si>
  <si>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</si>
  <si>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</si>
  <si>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</si>
  <si>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</si>
  <si>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</si>
  <si>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</si>
  <si>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</si>
  <si>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</si>
  <si>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</si>
  <si>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</si>
  <si>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</si>
  <si>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</si>
  <si>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</si>
  <si>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</si>
  <si>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</si>
  <si>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</si>
  <si>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</si>
  <si>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</si>
  <si>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</si>
  <si>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</si>
  <si>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</si>
  <si>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</si>
  <si>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</si>
  <si>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</si>
  <si>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</si>
  <si>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</si>
  <si>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</si>
  <si>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</si>
  <si>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</si>
  <si>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</si>
  <si>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</si>
  <si>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</si>
  <si>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</si>
  <si>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</si>
  <si>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</si>
  <si>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</si>
  <si>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</si>
  <si>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</si>
  <si>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</si>
  <si>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</si>
  <si>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</si>
  <si>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</si>
  <si>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</si>
  <si>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</si>
  <si>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</si>
  <si>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</si>
  <si>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</si>
  <si>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</si>
  <si>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</si>
  <si>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</si>
  <si>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</si>
  <si>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</si>
  <si>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</si>
  <si>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</si>
  <si>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</si>
  <si>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</si>
  <si>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</si>
  <si>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</si>
  <si>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</si>
  <si>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</si>
  <si>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</si>
  <si>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</si>
  <si>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</si>
  <si>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</si>
  <si>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</si>
  <si>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</si>
  <si>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</si>
  <si>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</si>
  <si>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</si>
  <si>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</si>
  <si>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</si>
  <si>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</si>
  <si>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</si>
  <si>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</si>
  <si>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</si>
  <si>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</si>
  <si>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</si>
  <si>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</si>
  <si>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</si>
  <si>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</si>
  <si>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</si>
  <si>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</si>
  <si>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</si>
  <si>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</si>
  <si>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</si>
  <si>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</si>
  <si>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</si>
  <si>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</si>
  <si>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</si>
  <si>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</si>
  <si>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</si>
  <si>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</si>
  <si>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</si>
  <si>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</si>
  <si>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</si>
  <si>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</si>
  <si>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</si>
  <si>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</si>
  <si>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</si>
  <si>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</si>
  <si>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</si>
  <si>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</si>
  <si>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</si>
  <si>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</si>
  <si>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</si>
  <si>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</si>
  <si>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</si>
  <si>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</si>
  <si>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</si>
  <si>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</si>
  <si>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</si>
  <si>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</si>
  <si>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</si>
  <si>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</si>
  <si>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</si>
  <si>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</si>
  <si>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</si>
  <si>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</si>
  <si>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</si>
  <si>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</si>
  <si>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</si>
  <si>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</si>
  <si>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</si>
  <si>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</si>
  <si>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</si>
  <si>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</si>
  <si>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</si>
  <si>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</si>
  <si>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</si>
  <si>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</si>
  <si>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</si>
  <si>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</si>
  <si>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</si>
  <si>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</si>
  <si>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</si>
  <si>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</si>
  <si>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</si>
  <si>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</si>
  <si>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</si>
  <si>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</si>
  <si>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</si>
  <si>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</si>
  <si>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</si>
  <si>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</si>
  <si>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</si>
  <si>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</si>
  <si>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</si>
  <si>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</si>
  <si>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</si>
  <si>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</si>
  <si>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</si>
  <si>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</si>
  <si>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</si>
  <si>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</si>
  <si>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</si>
  <si>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</si>
  <si>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</si>
  <si>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</si>
  <si>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</si>
  <si>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</si>
  <si>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</si>
  <si>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</si>
  <si>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</si>
  <si>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</si>
  <si>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</si>
  <si>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</si>
  <si>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</si>
  <si>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</si>
  <si>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</si>
  <si>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</si>
  <si>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</si>
  <si>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</si>
  <si>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</si>
  <si>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</si>
  <si>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</si>
  <si>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</si>
  <si>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</si>
  <si>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</si>
  <si>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</si>
  <si>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</si>
  <si>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</si>
  <si>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</si>
  <si>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</si>
  <si>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</si>
  <si>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</si>
  <si>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</si>
  <si>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</si>
  <si>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</si>
  <si>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</si>
  <si>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</si>
  <si>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</si>
  <si>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</si>
  <si>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</si>
  <si>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</si>
  <si>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</si>
  <si>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</si>
  <si>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</si>
  <si>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</si>
  <si>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</si>
  <si>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</si>
  <si>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</si>
  <si>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</si>
  <si>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</si>
  <si>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</si>
  <si>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</si>
  <si>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</si>
  <si>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</si>
  <si>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</si>
  <si>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</si>
  <si>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</si>
  <si>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</si>
  <si>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</si>
  <si>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</si>
  <si>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</si>
  <si>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</si>
  <si>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</si>
  <si>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</si>
  <si>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</si>
  <si>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</si>
  <si>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</si>
  <si>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</si>
  <si>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</si>
  <si>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</si>
  <si>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</si>
  <si>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</si>
  <si>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</si>
  <si>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</si>
  <si>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</si>
  <si>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</si>
  <si>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</si>
  <si>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</si>
  <si>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</si>
  <si>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</si>
  <si>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</si>
  <si>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</si>
  <si>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</si>
  <si>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</si>
  <si>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</si>
  <si>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</si>
  <si>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</si>
  <si>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</si>
  <si>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</si>
  <si>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</si>
  <si>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</si>
  <si>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</si>
  <si>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</si>
  <si>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</si>
  <si>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</si>
  <si>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</si>
  <si>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</si>
  <si>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</si>
  <si>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</si>
  <si>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</si>
  <si>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</si>
  <si>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</si>
  <si>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</si>
  <si>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</si>
  <si>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</si>
  <si>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</si>
  <si>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</si>
  <si>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</si>
  <si>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</si>
  <si>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</si>
  <si>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</si>
  <si>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</si>
  <si>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</si>
  <si>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</si>
  <si>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</si>
  <si>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</si>
  <si>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</si>
  <si>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</si>
  <si>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</si>
  <si>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</si>
  <si>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</si>
  <si>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</si>
  <si>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</si>
  <si>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</si>
  <si>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</si>
  <si>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</si>
  <si>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</si>
  <si>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</si>
  <si>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</si>
  <si>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</si>
  <si>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</si>
  <si>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</si>
  <si>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</si>
  <si>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</si>
  <si>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</si>
  <si>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</si>
  <si>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</si>
  <si>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</si>
  <si>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</si>
  <si>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</si>
  <si>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</si>
  <si>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</si>
  <si>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</si>
  <si>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</si>
  <si>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</si>
  <si>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</si>
  <si>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</si>
  <si>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</si>
  <si>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</si>
  <si>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</si>
  <si>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</si>
  <si>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</si>
  <si>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</si>
  <si>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</si>
  <si>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</si>
  <si>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</si>
  <si>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</si>
  <si>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</si>
  <si>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</si>
  <si>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</si>
  <si>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</si>
  <si>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</si>
  <si>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</si>
  <si>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</si>
  <si>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</si>
  <si>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</si>
  <si>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</si>
  <si>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</si>
  <si>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</si>
  <si>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</si>
  <si>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</si>
  <si>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</si>
  <si>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</si>
  <si>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</si>
  <si>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</si>
  <si>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</si>
  <si>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</si>
  <si>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</si>
  <si>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</si>
  <si>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</si>
  <si>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</si>
  <si>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</si>
  <si>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</si>
  <si>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</si>
  <si>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</si>
  <si>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</si>
  <si>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</si>
  <si>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</si>
  <si>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</si>
  <si>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</si>
  <si>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</si>
  <si>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</si>
  <si>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</si>
  <si>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</si>
  <si>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</si>
  <si>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</si>
  <si>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</si>
  <si>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</si>
  <si>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</si>
  <si>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</si>
  <si>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</si>
  <si>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</si>
  <si>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</si>
  <si>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</si>
  <si>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</si>
  <si>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</si>
  <si>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</si>
  <si>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</si>
  <si>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</si>
  <si>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</si>
  <si>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</si>
  <si>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</si>
  <si>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</si>
  <si>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</si>
  <si>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</si>
  <si>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</si>
  <si>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</si>
  <si>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</si>
  <si>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</si>
  <si>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</si>
  <si>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</si>
  <si>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</si>
  <si>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</si>
  <si>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</si>
  <si>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</si>
  <si>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</si>
  <si>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</si>
  <si>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</si>
  <si>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</si>
  <si>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</si>
  <si>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</si>
  <si>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</si>
  <si>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</si>
  <si>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</si>
  <si>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</si>
  <si>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</si>
  <si>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</si>
  <si>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</si>
  <si>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</si>
  <si>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</si>
  <si>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</si>
  <si>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</si>
  <si>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</si>
  <si>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</si>
  <si>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</si>
  <si>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</si>
  <si>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</si>
  <si>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</si>
  <si>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</si>
  <si>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</si>
  <si>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</si>
  <si>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</si>
  <si>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</si>
  <si>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</si>
  <si>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</si>
  <si>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</si>
  <si>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</si>
  <si>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</si>
  <si>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</si>
  <si>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</si>
  <si>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</si>
  <si>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</si>
  <si>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</si>
  <si>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</si>
  <si>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</si>
  <si>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</si>
  <si>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</si>
  <si>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</si>
  <si>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</si>
  <si>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</si>
  <si>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</si>
  <si>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</si>
  <si>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</si>
  <si>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</si>
  <si>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</si>
  <si>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</si>
  <si>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</si>
  <si>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</si>
  <si>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</si>
  <si>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</si>
  <si>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</si>
  <si>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</si>
  <si>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</si>
  <si>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</si>
  <si>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</si>
  <si>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</si>
  <si>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</si>
  <si>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</si>
  <si>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</si>
  <si>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</si>
  <si>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</si>
  <si>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</si>
  <si>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</si>
  <si>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</si>
  <si>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</si>
  <si>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</si>
  <si>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</si>
  <si>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</si>
  <si>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</si>
  <si>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</si>
  <si>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</si>
  <si>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</si>
  <si>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</si>
  <si>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</si>
  <si>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</si>
  <si>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</si>
  <si>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</si>
  <si>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</si>
  <si>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</si>
  <si>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</si>
  <si>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</si>
  <si>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</si>
  <si>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</si>
  <si>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</si>
  <si>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</si>
  <si>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</si>
  <si>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</si>
  <si>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</si>
  <si>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</si>
  <si>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</si>
  <si>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</si>
  <si>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</si>
  <si>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</si>
  <si>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</si>
  <si>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</si>
  <si>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</si>
  <si>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</si>
  <si>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</si>
  <si>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</si>
  <si>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</si>
  <si>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</si>
  <si>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</si>
  <si>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</si>
  <si>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</si>
  <si>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</si>
  <si>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</si>
  <si>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</si>
  <si>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</si>
  <si>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</si>
  <si>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</si>
  <si>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</si>
  <si>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</si>
  <si>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</si>
  <si>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</si>
  <si>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</si>
  <si>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</si>
  <si>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</si>
  <si>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</si>
  <si>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</si>
  <si>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</si>
  <si>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</si>
  <si>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</si>
  <si>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</si>
  <si>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</si>
  <si>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</si>
  <si>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</si>
  <si>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</si>
  <si>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</si>
  <si>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</si>
  <si>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</si>
  <si>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</si>
  <si>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</si>
  <si>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</si>
  <si>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</si>
  <si>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</si>
  <si>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</si>
  <si>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</si>
  <si>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</si>
  <si>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</si>
  <si>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</si>
  <si>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</si>
  <si>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</si>
  <si>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</si>
  <si>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</si>
  <si>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</si>
  <si>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</si>
  <si>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</si>
  <si>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</si>
  <si>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</si>
  <si>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</si>
  <si>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</si>
  <si>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</si>
  <si>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</si>
  <si>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</si>
  <si>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</si>
  <si>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</si>
  <si>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</si>
  <si>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</si>
  <si>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</si>
  <si>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</si>
  <si>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</si>
  <si>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</si>
  <si>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</si>
  <si>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</si>
  <si>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</si>
  <si>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</si>
  <si>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</si>
  <si>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</si>
  <si>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</si>
  <si>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</si>
  <si>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</si>
  <si>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</si>
  <si>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</si>
  <si>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</si>
  <si>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</si>
  <si>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</si>
  <si>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</si>
  <si>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</si>
  <si>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</si>
  <si>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</si>
  <si>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</si>
  <si>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</si>
  <si>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</si>
  <si>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</si>
  <si>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</si>
  <si>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</si>
  <si>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</si>
  <si>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</si>
  <si>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</si>
  <si>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</si>
  <si>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</si>
  <si>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</si>
  <si>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</si>
  <si>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</si>
  <si>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</si>
  <si>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</si>
  <si>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</si>
  <si>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</si>
  <si>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</si>
  <si>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</si>
  <si>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</si>
  <si>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</si>
  <si>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</si>
  <si>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</si>
  <si>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</si>
  <si>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</si>
  <si>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</si>
  <si>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</si>
  <si>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</si>
  <si>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</si>
  <si>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</si>
  <si>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</si>
  <si>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</si>
  <si>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</si>
  <si>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</si>
  <si>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</si>
  <si>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</si>
  <si>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</si>
  <si>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</si>
  <si>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</si>
  <si>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</si>
  <si>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</si>
  <si>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</si>
  <si>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</si>
  <si>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</si>
  <si>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</si>
  <si>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</si>
  <si>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</si>
  <si>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</si>
  <si>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</si>
  <si>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</si>
  <si>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</si>
  <si>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</si>
  <si>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</si>
  <si>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</si>
  <si>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</si>
  <si>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</si>
  <si>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</si>
  <si>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</si>
  <si>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</si>
  <si>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</si>
  <si>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</si>
  <si>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</si>
  <si>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</si>
  <si>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</si>
  <si>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</si>
  <si>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</si>
  <si>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</si>
  <si>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</si>
  <si>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</si>
  <si>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</si>
  <si>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</si>
  <si>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</si>
  <si>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</si>
  <si>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</si>
  <si>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</si>
  <si>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</si>
  <si>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</si>
  <si>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</si>
  <si>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</si>
  <si>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</si>
  <si>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</si>
  <si>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</si>
  <si>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</si>
  <si>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</si>
  <si>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</si>
  <si>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</si>
  <si>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</si>
  <si>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</si>
  <si>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</si>
  <si>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</si>
  <si>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</si>
  <si>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</si>
  <si>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</si>
  <si>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</si>
  <si>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</si>
  <si>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</si>
  <si>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</si>
  <si>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</si>
  <si>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</si>
  <si>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</si>
  <si>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</si>
  <si>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</si>
  <si>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</si>
  <si>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</si>
  <si>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</si>
  <si>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</si>
  <si>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</si>
  <si>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</si>
  <si>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</si>
  <si>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</si>
  <si>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</si>
  <si>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</si>
  <si>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</si>
  <si>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</si>
  <si>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</si>
  <si>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</si>
  <si>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</si>
  <si>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</si>
  <si>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</si>
  <si>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</si>
  <si>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</si>
  <si>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</si>
  <si>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</si>
  <si>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</si>
  <si>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</si>
  <si>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</si>
  <si>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</si>
  <si>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</si>
  <si>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</si>
  <si>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</si>
  <si>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</si>
  <si>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</si>
  <si>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</si>
  <si>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</si>
  <si>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</si>
  <si>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</si>
  <si>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</si>
  <si>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</si>
  <si>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</si>
  <si>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</si>
  <si>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</si>
  <si>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</si>
  <si>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</si>
  <si>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</si>
  <si>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</si>
  <si>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</si>
  <si>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</si>
  <si>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</si>
  <si>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</si>
  <si>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</si>
  <si>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</si>
  <si>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</si>
  <si>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</si>
  <si>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</si>
  <si>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</si>
  <si>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</si>
  <si>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</si>
  <si>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</si>
  <si>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</si>
  <si>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</si>
  <si>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</si>
  <si>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</si>
  <si>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</si>
  <si>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</si>
  <si>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</si>
  <si>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</si>
  <si>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</si>
  <si>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</si>
  <si>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</si>
  <si>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</si>
  <si>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</si>
  <si>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</si>
  <si>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</si>
  <si>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</si>
  <si>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</si>
  <si>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</si>
  <si>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</si>
  <si>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</si>
  <si>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</si>
  <si>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</si>
  <si>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</si>
  <si>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</si>
  <si>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</si>
  <si>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</si>
  <si>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</si>
  <si>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</si>
  <si>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</si>
  <si>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</si>
  <si>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</si>
  <si>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</si>
  <si>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</si>
  <si>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</si>
  <si>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</si>
  <si>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</si>
  <si>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</si>
  <si>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</si>
  <si>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</si>
  <si>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</si>
  <si>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</si>
  <si>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</si>
  <si>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</si>
  <si>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</si>
  <si>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</si>
  <si>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</si>
  <si>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</si>
  <si>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</si>
  <si>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</si>
  <si>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</si>
  <si>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</si>
  <si>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</si>
  <si>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</si>
  <si>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</si>
  <si>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</si>
  <si>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</si>
  <si>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</si>
  <si>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</si>
  <si>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</si>
  <si>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</si>
  <si>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</si>
  <si>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</si>
  <si>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</si>
  <si>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</si>
  <si>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</si>
  <si>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</si>
  <si>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</si>
  <si>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</si>
  <si>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</si>
  <si>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</si>
  <si>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</si>
  <si>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</si>
  <si>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</si>
  <si>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</si>
  <si>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</si>
  <si>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</si>
  <si>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</si>
  <si>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</si>
  <si>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</si>
  <si>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</si>
  <si>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</si>
  <si>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</si>
  <si>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</si>
  <si>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</si>
  <si>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</si>
  <si>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</si>
  <si>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</si>
  <si>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</si>
  <si>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</si>
  <si>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</si>
  <si>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</si>
  <si>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</si>
  <si>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</si>
  <si>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</si>
  <si>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</si>
  <si>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</si>
  <si>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</si>
  <si>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</si>
  <si>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</si>
  <si>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</si>
  <si>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</si>
  <si>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</si>
  <si>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</si>
  <si>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</si>
  <si>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</si>
  <si>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</si>
  <si>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</si>
  <si>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</si>
  <si>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</si>
  <si>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</si>
  <si>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</si>
  <si>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</si>
  <si>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</si>
  <si>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</si>
  <si>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</si>
  <si>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</si>
  <si>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</si>
  <si>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</si>
  <si>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</si>
  <si>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</si>
  <si>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</si>
  <si>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</si>
  <si>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</si>
  <si>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</si>
  <si>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</si>
  <si>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</si>
  <si>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</si>
  <si>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</si>
  <si>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</si>
  <si>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</si>
  <si>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</si>
  <si>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</si>
  <si>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</si>
  <si>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</si>
  <si>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</si>
  <si>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</si>
  <si>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</si>
  <si>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</si>
  <si>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</si>
  <si>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</si>
  <si>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</si>
  <si>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</si>
  <si>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</si>
  <si>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</si>
  <si>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</si>
  <si>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</si>
  <si>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</si>
  <si>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</si>
  <si>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</si>
  <si>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</si>
  <si>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</si>
  <si>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</si>
  <si>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</si>
  <si>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</si>
  <si>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</si>
  <si>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</si>
  <si>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</si>
  <si>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</si>
  <si>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</si>
  <si>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</si>
  <si>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</si>
  <si>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</si>
  <si>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</si>
  <si>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</si>
  <si>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</si>
  <si>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</si>
  <si>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</si>
  <si>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</si>
  <si>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</si>
  <si>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</si>
  <si>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</si>
  <si>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</si>
  <si>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</si>
  <si>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</si>
  <si>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</si>
  <si>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</si>
  <si>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</si>
  <si>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</si>
  <si>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</si>
  <si>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</si>
  <si>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</si>
  <si>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</si>
  <si>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</si>
  <si>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</si>
  <si>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</si>
  <si>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</si>
  <si>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</si>
  <si>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</si>
  <si>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</si>
  <si>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</si>
  <si>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</si>
  <si>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</si>
  <si>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</si>
  <si>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</si>
  <si>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</si>
  <si>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</si>
  <si>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</si>
  <si>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</si>
  <si>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</si>
  <si>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</si>
  <si>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</si>
  <si>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</si>
  <si>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</si>
  <si>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</si>
  <si>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</si>
  <si>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</si>
  <si>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</si>
  <si>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</si>
  <si>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</si>
  <si>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</si>
  <si>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</si>
  <si>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</si>
  <si>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</si>
  <si>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</si>
  <si>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</si>
  <si>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</si>
  <si>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</si>
  <si>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</si>
  <si>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</si>
  <si>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</si>
  <si>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</si>
  <si>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</si>
  <si>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</si>
  <si>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</si>
  <si>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</si>
  <si>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</si>
  <si>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</si>
  <si>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</si>
  <si>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</si>
  <si>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</si>
  <si>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</si>
  <si>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</si>
  <si>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</si>
  <si>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</si>
  <si>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</si>
  <si>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</si>
  <si>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</si>
  <si>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</si>
  <si>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</si>
  <si>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</si>
  <si>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</si>
  <si>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</si>
  <si>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</si>
  <si>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</si>
  <si>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</si>
  <si>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</si>
  <si>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</si>
  <si>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</si>
  <si>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</si>
  <si>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</si>
  <si>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</si>
  <si>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</si>
  <si>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</si>
  <si>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</si>
  <si>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</si>
  <si>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</si>
  <si>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</si>
  <si>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</si>
  <si>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</si>
  <si>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</si>
  <si>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</si>
  <si>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</si>
  <si>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</si>
  <si>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</si>
  <si>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</si>
  <si>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</si>
  <si>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</si>
  <si>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</si>
  <si>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</si>
  <si>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</si>
  <si>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</si>
  <si>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</si>
  <si>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</si>
  <si>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</si>
  <si>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</si>
  <si>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</si>
  <si>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</si>
  <si>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</si>
  <si>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</si>
  <si>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</si>
  <si>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</si>
  <si>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</si>
  <si>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</si>
  <si>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</si>
  <si>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</si>
  <si>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</si>
  <si>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</si>
  <si>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</si>
  <si>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</si>
  <si>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</si>
  <si>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</si>
  <si>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</si>
  <si>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</si>
  <si>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</si>
  <si>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</si>
  <si>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</si>
  <si>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</si>
  <si>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</si>
  <si>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</si>
  <si>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</si>
  <si>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</si>
  <si>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</si>
  <si>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</si>
  <si>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</si>
  <si>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</si>
  <si>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</si>
  <si>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</si>
  <si>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</si>
  <si>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</si>
  <si>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</si>
  <si>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</si>
  <si>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</si>
  <si>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</si>
  <si>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</si>
  <si>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</si>
  <si>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</si>
  <si>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</si>
  <si>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</si>
  <si>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</si>
  <si>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</si>
  <si>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</si>
  <si>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</si>
  <si>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</si>
  <si>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</si>
  <si>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</si>
  <si>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</si>
  <si>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</si>
  <si>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</si>
  <si>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</si>
  <si>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</si>
  <si>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</si>
  <si>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</si>
  <si>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</si>
  <si>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</si>
  <si>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</si>
  <si>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</si>
  <si>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</si>
  <si>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</si>
  <si>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</si>
  <si>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</si>
  <si>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</si>
  <si>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</si>
  <si>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</si>
  <si>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</si>
  <si>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</si>
  <si>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</si>
  <si>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</si>
  <si>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</si>
  <si>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</si>
  <si>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</si>
  <si>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</si>
  <si>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</si>
  <si>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</si>
  <si>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</si>
  <si>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</si>
  <si>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</si>
  <si>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</si>
  <si>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</si>
  <si>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</si>
  <si>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</si>
  <si>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</si>
  <si>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</si>
  <si>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</si>
  <si>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</si>
  <si>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</si>
  <si>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</si>
  <si>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</si>
  <si>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</si>
  <si>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</si>
  <si>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</si>
  <si>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</si>
  <si>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</si>
  <si>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</si>
  <si>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</si>
  <si>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</si>
  <si>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</si>
  <si>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</si>
  <si>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</si>
  <si>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</si>
  <si>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</si>
  <si>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</si>
  <si>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</si>
  <si>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</si>
  <si>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</si>
  <si>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</si>
  <si>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</si>
  <si>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</si>
  <si>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</si>
  <si>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</si>
  <si>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</si>
  <si>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</si>
  <si>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</si>
  <si>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</si>
  <si>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</si>
  <si>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</si>
  <si>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</si>
  <si>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</si>
  <si>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</si>
  <si>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</si>
  <si>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</si>
  <si>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</si>
  <si>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</si>
  <si>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</si>
  <si>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</si>
  <si>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</si>
  <si>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</si>
  <si>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</si>
  <si>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</si>
  <si>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</si>
  <si>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</si>
  <si>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</si>
  <si>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</si>
  <si>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</si>
  <si>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</si>
  <si>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</si>
  <si>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</si>
  <si>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</si>
  <si>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</si>
  <si>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</si>
  <si>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</si>
  <si>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</si>
  <si>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</si>
  <si>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</si>
  <si>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</si>
  <si>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</si>
  <si>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</si>
  <si>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</si>
  <si>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</si>
  <si>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</si>
  <si>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</si>
  <si>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</si>
  <si>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</si>
  <si>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</si>
  <si>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</si>
  <si>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</si>
  <si>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</si>
  <si>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</si>
  <si>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</si>
  <si>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</si>
  <si>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</si>
  <si>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</si>
  <si>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</si>
  <si>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</si>
  <si>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</si>
  <si>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</si>
  <si>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</si>
  <si>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</si>
  <si>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</si>
  <si>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</si>
  <si>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</si>
  <si>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</si>
  <si>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</si>
  <si>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</si>
  <si>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</si>
  <si>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</si>
  <si>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</si>
  <si>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</si>
  <si>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</si>
  <si>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</si>
  <si>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</si>
  <si>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</si>
  <si>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</si>
  <si>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</si>
  <si>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</si>
  <si>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</si>
  <si>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</si>
  <si>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</si>
  <si>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</si>
  <si>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</si>
  <si>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</si>
  <si>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</si>
  <si>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</si>
  <si>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</si>
  <si>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</si>
  <si>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</si>
  <si>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</si>
  <si>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</si>
  <si>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</si>
  <si>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</si>
  <si>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</si>
  <si>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</si>
  <si>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</si>
  <si>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</si>
  <si>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</si>
  <si>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</si>
  <si>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</si>
  <si>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</si>
  <si>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</si>
  <si>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</si>
  <si>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</si>
  <si>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</si>
  <si>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</si>
  <si>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</si>
  <si>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</si>
  <si>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</si>
  <si>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</si>
  <si>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</si>
  <si>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</si>
  <si>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</si>
  <si>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</si>
  <si>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</si>
  <si>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</si>
  <si>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</si>
  <si>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</si>
  <si>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</si>
  <si>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</si>
  <si>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</si>
  <si>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</si>
  <si>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</si>
  <si>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</si>
  <si>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</si>
  <si>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</si>
  <si>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</si>
  <si>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</si>
  <si>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</si>
  <si>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</si>
  <si>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</si>
  <si>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</si>
  <si>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</si>
  <si>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</si>
  <si>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</si>
  <si>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</si>
  <si>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</si>
  <si>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</si>
  <si>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</si>
  <si>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</si>
  <si>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</si>
  <si>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</si>
  <si>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</si>
  <si>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</si>
  <si>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</si>
  <si>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</si>
  <si>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</si>
  <si>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</si>
  <si>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</si>
  <si>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</si>
  <si>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</si>
  <si>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</si>
  <si>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</si>
  <si>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</si>
  <si>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</si>
  <si>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</si>
  <si>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</si>
  <si>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</si>
  <si>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</si>
  <si>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</si>
  <si>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</si>
  <si>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</si>
  <si>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</si>
  <si>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</si>
  <si>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</si>
  <si>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</si>
  <si>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</si>
  <si>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</si>
  <si>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</si>
  <si>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</si>
  <si>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</si>
  <si>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</si>
  <si>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</si>
  <si>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</si>
  <si>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</si>
  <si>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</si>
  <si>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</si>
  <si>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</si>
  <si>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</si>
  <si>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</si>
  <si>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</si>
  <si>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</si>
  <si>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</si>
  <si>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</si>
  <si>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</si>
  <si>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</si>
  <si>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</si>
  <si>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</si>
  <si>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</si>
  <si>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</si>
  <si>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</si>
  <si>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</si>
  <si>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</si>
  <si>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</si>
  <si>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</si>
  <si>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</si>
  <si>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</si>
  <si>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</si>
  <si>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</si>
  <si>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</si>
  <si>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</si>
  <si>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</si>
  <si>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</si>
  <si>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</si>
  <si>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</si>
  <si>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</si>
  <si>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</si>
  <si>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</si>
  <si>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</si>
  <si>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</si>
  <si>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</si>
  <si>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</si>
  <si>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</si>
  <si>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</si>
  <si>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</si>
  <si>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</si>
  <si>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</si>
  <si>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</si>
  <si>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</si>
  <si>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</si>
  <si>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</si>
  <si>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</si>
  <si>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</si>
  <si>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</si>
  <si>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</si>
  <si>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</si>
  <si>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</si>
  <si>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</si>
  <si>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</si>
  <si>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</si>
  <si>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</si>
  <si>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</si>
  <si>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</si>
  <si>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</si>
  <si>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</si>
  <si>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</si>
  <si>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</si>
  <si>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</si>
  <si>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</si>
  <si>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</si>
  <si>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</si>
  <si>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</si>
  <si>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</si>
  <si>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</si>
  <si>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</si>
  <si>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</si>
  <si>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</si>
  <si>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</si>
  <si>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</si>
  <si>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</si>
  <si>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</si>
  <si>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</si>
  <si>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</si>
  <si>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</si>
  <si>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</si>
  <si>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</si>
  <si>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</si>
  <si>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</si>
  <si>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</si>
  <si>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</si>
  <si>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</si>
  <si>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</si>
  <si>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</si>
  <si>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</si>
  <si>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</si>
  <si>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</si>
  <si>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</si>
  <si>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</si>
  <si>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</si>
  <si>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</si>
  <si>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</si>
  <si>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</si>
  <si>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</si>
  <si>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</si>
  <si>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</si>
  <si>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</si>
  <si>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</si>
  <si>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</si>
  <si>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</si>
  <si>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</si>
  <si>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</si>
  <si>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</si>
  <si>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</si>
  <si>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</si>
  <si>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</si>
  <si>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</si>
  <si>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</si>
  <si>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</si>
  <si>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</si>
  <si>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</si>
  <si>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</si>
  <si>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</si>
  <si>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</si>
  <si>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</si>
  <si>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</si>
  <si>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</si>
  <si>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</si>
  <si>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</si>
  <si>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</si>
  <si>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</si>
  <si>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</si>
  <si>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</si>
  <si>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</si>
  <si>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</si>
  <si>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</si>
  <si>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</si>
  <si>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</si>
  <si>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</si>
  <si>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</si>
  <si>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</si>
  <si>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</si>
  <si>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</si>
  <si>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</si>
  <si>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</si>
  <si>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</si>
  <si>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</si>
  <si>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</si>
  <si>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</si>
  <si>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</si>
  <si>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</si>
  <si>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</si>
  <si>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</si>
  <si>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</si>
  <si>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</si>
  <si>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</si>
  <si>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</si>
  <si>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</si>
  <si>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</si>
  <si>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</si>
  <si>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</si>
  <si>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</si>
  <si>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</si>
  <si>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</si>
  <si>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</si>
  <si>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</si>
  <si>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</si>
  <si>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</si>
  <si>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</si>
  <si>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</si>
  <si>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</si>
  <si>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</si>
  <si>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</si>
  <si>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</si>
  <si>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</si>
  <si>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</si>
  <si>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</si>
  <si>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</si>
  <si>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</si>
  <si>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</si>
  <si>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</si>
  <si>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</si>
  <si>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</si>
  <si>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</si>
  <si>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</si>
  <si>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</si>
  <si>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</si>
  <si>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</si>
  <si>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</si>
  <si>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</si>
  <si>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</si>
  <si>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</si>
  <si>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</si>
  <si>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</si>
  <si>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</si>
  <si>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</si>
  <si>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</si>
  <si>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</si>
  <si>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</si>
  <si>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</si>
  <si>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</si>
  <si>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</si>
  <si>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</si>
  <si>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</si>
  <si>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</si>
  <si>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</si>
  <si>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</si>
  <si>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</si>
  <si>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</si>
  <si>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</si>
  <si>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</si>
  <si>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</si>
  <si>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</si>
  <si>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</si>
  <si>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</si>
  <si>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</si>
  <si>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</si>
  <si>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</si>
  <si>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</si>
  <si>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</si>
  <si>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</si>
  <si>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</si>
  <si>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</si>
  <si>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</si>
  <si>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</si>
  <si>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</si>
  <si>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</si>
  <si>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</si>
  <si>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</si>
  <si>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</si>
  <si>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</si>
  <si>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</si>
  <si>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</si>
  <si>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</si>
  <si>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</si>
  <si>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</si>
  <si>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</si>
  <si>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</si>
  <si>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</si>
  <si>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</si>
  <si>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</si>
  <si>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</si>
  <si>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</si>
  <si>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</si>
  <si>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</si>
  <si>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</si>
  <si>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</si>
  <si>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</si>
  <si>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</si>
  <si>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</si>
  <si>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</si>
  <si>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</si>
  <si>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</si>
  <si>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</si>
  <si>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</si>
  <si>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</si>
  <si>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</si>
  <si>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</si>
  <si>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</si>
  <si>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</si>
  <si>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</si>
  <si>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</si>
  <si>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</si>
  <si>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</si>
  <si>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</si>
  <si>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</si>
  <si>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</si>
  <si>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</si>
  <si>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</si>
  <si>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</si>
  <si>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</si>
  <si>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</si>
  <si>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</si>
  <si>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</si>
  <si>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</si>
  <si>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</si>
  <si>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</si>
  <si>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</si>
  <si>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</si>
  <si>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</si>
  <si>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</si>
  <si>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</si>
  <si>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</si>
  <si>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</si>
  <si>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</si>
  <si>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</si>
  <si>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</si>
  <si>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</si>
  <si>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</si>
  <si>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</si>
  <si>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</si>
  <si>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</si>
  <si>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</si>
  <si>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</si>
  <si>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</si>
  <si>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</si>
  <si>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</si>
  <si>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</si>
  <si>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</si>
  <si>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</si>
  <si>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</si>
  <si>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</si>
  <si>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</si>
  <si>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</si>
  <si>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</si>
  <si>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</si>
  <si>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</si>
  <si>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</si>
  <si>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</si>
  <si>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</si>
  <si>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</si>
  <si>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</si>
  <si>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</si>
  <si>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</si>
  <si>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</si>
  <si>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</si>
  <si>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</si>
  <si>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</si>
  <si>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</si>
  <si>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</si>
  <si>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</si>
  <si>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</si>
  <si>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</si>
  <si>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</si>
  <si>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</si>
  <si>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</si>
  <si>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</si>
  <si>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</si>
  <si>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</si>
  <si>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</si>
  <si>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</si>
  <si>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</si>
  <si>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</si>
  <si>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</si>
  <si>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</si>
  <si>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</si>
  <si>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</si>
  <si>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</si>
  <si>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</si>
  <si>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</si>
  <si>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</si>
  <si>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</si>
  <si>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</si>
  <si>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</si>
  <si>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</si>
  <si>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</si>
  <si>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</si>
  <si>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</si>
  <si>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</si>
  <si>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</si>
  <si>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</si>
  <si>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</si>
  <si>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</si>
  <si>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</si>
  <si>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</si>
  <si>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</si>
  <si>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</si>
  <si>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</si>
  <si>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</si>
  <si>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</si>
  <si>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</si>
  <si>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</si>
  <si>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</si>
  <si>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</si>
  <si>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</si>
  <si>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</si>
  <si>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</si>
  <si>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</si>
  <si>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</si>
  <si>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</si>
  <si>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</si>
  <si>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</si>
  <si>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</si>
  <si>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</si>
  <si>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</si>
  <si>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</si>
  <si>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</si>
  <si>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</si>
  <si>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</si>
  <si>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</si>
  <si>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</si>
  <si>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</si>
  <si>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</si>
  <si>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</si>
  <si>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</si>
  <si>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</si>
  <si>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</si>
  <si>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</si>
  <si>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</si>
  <si>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</si>
  <si>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</si>
  <si>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</si>
  <si>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</si>
  <si>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</si>
  <si>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</si>
  <si>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</si>
  <si>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</si>
  <si>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</si>
  <si>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</si>
  <si>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</si>
  <si>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</si>
  <si>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</si>
  <si>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</si>
  <si>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</si>
  <si>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</si>
  <si>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</si>
  <si>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</si>
  <si>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</si>
  <si>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</si>
  <si>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</si>
  <si>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</si>
  <si>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</si>
  <si>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</si>
  <si>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</si>
  <si>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</si>
  <si>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</si>
  <si>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</si>
  <si>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</si>
  <si>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</si>
  <si>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</si>
  <si>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</si>
  <si>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</si>
  <si>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</si>
  <si>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</si>
  <si>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</si>
  <si>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</si>
  <si>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</si>
  <si>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</si>
  <si>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</si>
  <si>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</si>
  <si>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</si>
  <si>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</si>
  <si>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</si>
  <si>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</si>
  <si>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</si>
  <si>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</si>
  <si>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</si>
  <si>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</si>
  <si>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</si>
  <si>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</si>
  <si>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</si>
  <si>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</si>
  <si>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</si>
  <si>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</si>
  <si>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</si>
  <si>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</si>
  <si>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</si>
  <si>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</si>
  <si>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</si>
  <si>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</si>
  <si>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</si>
  <si>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</si>
  <si>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</si>
  <si>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</si>
  <si>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</si>
  <si>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</si>
  <si>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</si>
  <si>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</si>
  <si>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</si>
  <si>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</si>
  <si>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</si>
  <si>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</si>
  <si>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</si>
  <si>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</si>
  <si>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</si>
  <si>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</si>
  <si>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</si>
  <si>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</si>
  <si>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</si>
  <si>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</si>
  <si>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</si>
  <si>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</si>
  <si>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</si>
  <si>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</si>
  <si>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</si>
  <si>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</si>
  <si>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</si>
  <si>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</si>
  <si>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</si>
  <si>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</si>
  <si>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</si>
  <si>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</si>
  <si>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</si>
  <si>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</si>
  <si>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</si>
  <si>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</si>
  <si>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</si>
  <si>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</si>
  <si>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</si>
  <si>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</si>
  <si>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</si>
  <si>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</si>
  <si>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</si>
  <si>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</si>
  <si>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</si>
  <si>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</si>
  <si>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</si>
  <si>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</si>
  <si>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</si>
  <si>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</si>
  <si>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</si>
  <si>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</si>
  <si>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</si>
  <si>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</si>
  <si>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</si>
  <si>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</si>
  <si>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</si>
  <si>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</si>
  <si>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</si>
  <si>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</si>
  <si>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</si>
  <si>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</si>
  <si>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</si>
  <si>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</si>
  <si>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</si>
  <si>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</si>
  <si>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</si>
  <si>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</si>
  <si>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</si>
  <si>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</si>
  <si>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</si>
  <si>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</si>
  <si>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</si>
  <si>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</si>
  <si>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</si>
  <si>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</si>
  <si>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</si>
  <si>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</si>
  <si>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</si>
  <si>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</si>
  <si>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</si>
  <si>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</si>
  <si>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</si>
  <si>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</si>
  <si>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</si>
  <si>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</si>
  <si>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</si>
  <si>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</si>
  <si>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</si>
  <si>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</si>
  <si>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</si>
  <si>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</si>
  <si>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</si>
  <si>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</si>
  <si>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</si>
  <si>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</si>
  <si>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</si>
  <si>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</si>
  <si>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</si>
  <si>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</si>
  <si>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</si>
  <si>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</si>
  <si>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</si>
  <si>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</si>
  <si>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</si>
  <si>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</si>
  <si>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</si>
  <si>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</si>
  <si>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</si>
  <si>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</si>
  <si>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</si>
  <si>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</si>
  <si>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</si>
  <si>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</si>
  <si>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</si>
  <si>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</si>
  <si>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</si>
  <si>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</si>
  <si>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</si>
  <si>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</si>
  <si>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</si>
  <si>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</si>
  <si>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</si>
  <si>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</si>
  <si>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</si>
  <si>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</si>
  <si>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</si>
  <si>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</si>
  <si>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</si>
  <si>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</si>
  <si>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</si>
  <si>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</si>
  <si>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</si>
  <si>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</si>
  <si>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</si>
  <si>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</si>
  <si>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</si>
  <si>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</si>
  <si>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</si>
  <si>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</si>
  <si>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</si>
  <si>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</si>
  <si>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</si>
  <si>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</si>
  <si>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</si>
  <si>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</si>
  <si>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</si>
  <si>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</si>
  <si>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</si>
  <si>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</si>
  <si>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</si>
  <si>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</si>
  <si>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</si>
  <si>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</si>
  <si>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</si>
  <si>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</si>
  <si>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</si>
  <si>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</si>
  <si>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</si>
  <si>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</si>
  <si>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</si>
  <si>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</si>
  <si>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</si>
  <si>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</si>
  <si>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</si>
  <si>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</si>
  <si>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</si>
  <si>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</si>
  <si>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</si>
  <si>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</si>
  <si>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</si>
  <si>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</si>
  <si>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</si>
  <si>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</si>
  <si>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</si>
  <si>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</si>
  <si>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</si>
  <si>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</si>
  <si>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</si>
  <si>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</si>
  <si>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</si>
  <si>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</si>
  <si>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</si>
  <si>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</si>
  <si>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</si>
  <si>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</si>
  <si>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</si>
  <si>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</si>
  <si>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</si>
  <si>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</si>
  <si>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</si>
  <si>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</si>
  <si>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</si>
  <si>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</si>
  <si>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</si>
  <si>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</si>
  <si>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</si>
  <si>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</si>
  <si>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</si>
  <si>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</si>
  <si>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</si>
  <si>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</si>
  <si>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</si>
  <si>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</si>
  <si>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</si>
  <si>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</si>
  <si>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</si>
  <si>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</si>
  <si>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</si>
  <si>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</si>
  <si>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</si>
  <si>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</si>
  <si>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</si>
  <si>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</si>
  <si>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</si>
  <si>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</si>
  <si>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</si>
  <si>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</si>
  <si>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</si>
  <si>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</si>
  <si>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</si>
  <si>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</si>
  <si>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</si>
  <si>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</si>
  <si>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</si>
  <si>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</si>
  <si>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</si>
  <si>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</si>
  <si>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</si>
  <si>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</si>
  <si>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</si>
  <si>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</si>
  <si>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</si>
  <si>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</si>
  <si>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</si>
  <si>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</si>
  <si>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</si>
  <si>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</si>
  <si>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</si>
  <si>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</si>
  <si>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</si>
  <si>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</si>
  <si>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</si>
  <si>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</si>
  <si>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</si>
  <si>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</si>
  <si>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</si>
  <si>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</si>
  <si>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</si>
  <si>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</si>
  <si>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</si>
  <si>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</si>
  <si>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</si>
  <si>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</si>
  <si>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</si>
  <si>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</si>
  <si>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</si>
  <si>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</si>
  <si>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</si>
  <si>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</si>
  <si>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</si>
  <si>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</si>
  <si>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</si>
  <si>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</si>
  <si>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</si>
  <si>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</si>
  <si>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</si>
  <si>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</si>
  <si>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</si>
  <si>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</si>
  <si>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</si>
  <si>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</si>
  <si>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</si>
  <si>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</si>
  <si>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</si>
  <si>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</si>
  <si>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</si>
  <si>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</si>
  <si>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</si>
  <si>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</si>
  <si>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</si>
  <si>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</si>
  <si>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</si>
  <si>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</si>
  <si>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</si>
  <si>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</si>
  <si>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</si>
  <si>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</si>
  <si>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</si>
  <si>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</si>
  <si>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</si>
  <si>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</si>
  <si>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</si>
  <si>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</si>
  <si>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</si>
  <si>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</si>
  <si>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</si>
  <si>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</si>
  <si>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</si>
  <si>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</si>
  <si>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</si>
  <si>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</si>
  <si>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</si>
  <si>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</si>
  <si>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</si>
  <si>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</si>
  <si>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</si>
  <si>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</si>
  <si>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</si>
  <si>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</si>
  <si>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</si>
  <si>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</si>
  <si>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</si>
  <si>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</si>
  <si>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</si>
  <si>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</si>
  <si>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</si>
  <si>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</si>
  <si>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</si>
  <si>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</si>
  <si>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</si>
  <si>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</si>
  <si>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</si>
  <si>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</si>
  <si>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</si>
  <si>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</si>
  <si>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</si>
  <si>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</si>
  <si>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</si>
  <si>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</si>
  <si>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</si>
  <si>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</si>
  <si>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</si>
  <si>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</si>
  <si>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</si>
  <si>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</si>
  <si>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</si>
  <si>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</si>
  <si>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</si>
  <si>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</si>
  <si>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</si>
  <si>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</si>
  <si>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</si>
  <si>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</si>
  <si>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</si>
  <si>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</si>
  <si>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</si>
  <si>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</si>
  <si>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</si>
  <si>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</si>
  <si>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</si>
  <si>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</si>
  <si>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</si>
  <si>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</si>
  <si>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</si>
  <si>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</si>
  <si>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</si>
  <si>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</si>
  <si>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</si>
  <si>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</si>
  <si>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</si>
  <si>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</si>
  <si>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</si>
  <si>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</si>
  <si>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</si>
  <si>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</si>
  <si>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</si>
  <si>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</si>
  <si>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</si>
  <si>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</si>
  <si>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</si>
  <si>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</si>
  <si>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</si>
  <si>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</si>
  <si>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</si>
  <si>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</si>
  <si>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</si>
  <si>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</si>
  <si>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</si>
  <si>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</si>
  <si>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</si>
  <si>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</si>
  <si>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</si>
  <si>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</si>
  <si>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</si>
  <si>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</si>
  <si>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</si>
  <si>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</si>
  <si>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</si>
  <si>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</si>
  <si>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</si>
  <si>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</si>
  <si>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</si>
  <si>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</si>
  <si>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</si>
  <si>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</si>
  <si>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</si>
  <si>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</si>
  <si>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</si>
  <si>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</si>
  <si>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</si>
  <si>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</si>
  <si>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</si>
  <si>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</si>
  <si>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</si>
  <si>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</si>
  <si>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</si>
  <si>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</si>
  <si>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</si>
  <si>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</si>
  <si>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</si>
  <si>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</si>
  <si>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</si>
  <si>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</si>
  <si>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</si>
  <si>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</si>
  <si>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</si>
  <si>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</si>
  <si>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</si>
  <si>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</si>
  <si>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</si>
  <si>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</si>
  <si>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</si>
  <si>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</si>
  <si>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</si>
  <si>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</si>
  <si>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</si>
  <si>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</si>
  <si>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</si>
  <si>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</si>
  <si>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</si>
  <si>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</si>
  <si>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</si>
  <si>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</si>
  <si>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</si>
  <si>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</si>
  <si>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</si>
  <si>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</si>
  <si>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</si>
  <si>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</si>
  <si>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</si>
  <si>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</si>
  <si>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</si>
  <si>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</si>
  <si>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</si>
  <si>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</si>
  <si>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</si>
  <si>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</si>
  <si>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</si>
  <si>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</si>
  <si>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</si>
  <si>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</si>
  <si>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</si>
  <si>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</si>
  <si>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</si>
  <si>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</si>
  <si>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</si>
  <si>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</si>
  <si>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</si>
  <si>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</si>
  <si>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</si>
  <si>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</si>
  <si>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</si>
  <si>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</si>
  <si>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</si>
  <si>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</si>
  <si>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</si>
  <si>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</si>
  <si>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</si>
  <si>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</si>
  <si>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</si>
  <si>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</si>
  <si>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</si>
  <si>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</si>
  <si>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</si>
  <si>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</si>
  <si>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</si>
  <si>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</si>
  <si>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</si>
  <si>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</si>
  <si>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</si>
  <si>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</si>
  <si>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</si>
  <si>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</si>
  <si>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</si>
  <si>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</si>
  <si>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</si>
  <si>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</si>
  <si>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</si>
  <si>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</si>
  <si>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</si>
  <si>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</si>
  <si>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</si>
  <si>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</si>
  <si>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</si>
  <si>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</si>
  <si>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</si>
  <si>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</si>
  <si>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</si>
  <si>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</si>
  <si>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</si>
  <si>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</si>
  <si>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</si>
  <si>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</si>
  <si>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</si>
  <si>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</si>
  <si>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</si>
  <si>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</si>
  <si>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</si>
  <si>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</si>
  <si>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</si>
  <si>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</si>
  <si>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</si>
  <si>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</si>
  <si>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</si>
  <si>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</si>
  <si>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</si>
  <si>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</si>
  <si>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</si>
  <si>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</si>
  <si>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</si>
  <si>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</si>
  <si>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</si>
  <si>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</si>
  <si>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</si>
  <si>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</si>
  <si>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</si>
  <si>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</si>
  <si>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</si>
  <si>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</si>
  <si>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</si>
  <si>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</si>
  <si>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</si>
  <si>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</si>
  <si>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</si>
  <si>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</si>
  <si>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</si>
  <si>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</si>
  <si>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</si>
  <si>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</si>
  <si>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</si>
  <si>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</si>
  <si>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</si>
  <si>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</si>
  <si>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</si>
  <si>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</si>
  <si>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</si>
  <si>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</si>
  <si>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</si>
  <si>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</si>
  <si>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</si>
  <si>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</si>
  <si>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</si>
  <si>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</si>
  <si>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</si>
  <si>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</si>
  <si>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</si>
  <si>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</si>
  <si>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</si>
  <si>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</si>
  <si>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</si>
  <si>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</si>
  <si>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</si>
  <si>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</si>
  <si>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</si>
  <si>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</si>
  <si>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</si>
  <si>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</si>
  <si>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</si>
  <si>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</si>
  <si>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</si>
  <si>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</si>
  <si>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</si>
  <si>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</si>
  <si>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</si>
  <si>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</si>
  <si>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</si>
  <si>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</si>
  <si>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</si>
  <si>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</si>
  <si>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</si>
  <si>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</si>
  <si>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</si>
  <si>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</si>
  <si>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</si>
  <si>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</si>
  <si>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</si>
  <si>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</si>
  <si>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</si>
  <si>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</si>
  <si>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</si>
  <si>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</si>
  <si>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</si>
  <si>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</si>
  <si>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</si>
  <si>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</si>
  <si>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</si>
  <si>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</si>
  <si>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</si>
  <si>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</si>
  <si>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</si>
  <si>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</si>
  <si>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</si>
  <si>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</si>
  <si>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</si>
  <si>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</si>
  <si>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</si>
  <si>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</si>
  <si>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</si>
  <si>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</si>
  <si>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</si>
  <si>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</si>
  <si>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</si>
  <si>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</si>
  <si>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</si>
  <si>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</si>
  <si>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</si>
  <si>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</si>
  <si>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</si>
  <si>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</si>
  <si>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</si>
  <si>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</si>
  <si>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</si>
  <si>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</si>
  <si>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</si>
  <si>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</si>
  <si>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</si>
  <si>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</si>
  <si>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</si>
  <si>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</si>
  <si>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</si>
  <si>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</si>
  <si>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</si>
  <si>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</si>
  <si>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</si>
  <si>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</si>
  <si>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</si>
  <si>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</si>
  <si>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</si>
  <si>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</si>
  <si>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</si>
  <si>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</si>
  <si>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</si>
  <si>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</si>
  <si>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</si>
  <si>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</si>
  <si>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</si>
  <si>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</si>
  <si>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</si>
  <si>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</si>
  <si>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</si>
  <si>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</si>
  <si>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</si>
  <si>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</si>
  <si>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</si>
  <si>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</si>
  <si>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</si>
  <si>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</si>
  <si>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</si>
  <si>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</si>
  <si>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</si>
  <si>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</si>
  <si>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</si>
  <si>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</si>
  <si>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</si>
  <si>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</si>
  <si>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</si>
  <si>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</si>
  <si>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</si>
  <si>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</si>
  <si>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</si>
  <si>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</si>
  <si>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</si>
  <si>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</si>
  <si>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</si>
  <si>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</si>
  <si>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</si>
  <si>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</si>
  <si>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</si>
  <si>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</si>
  <si>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</si>
  <si>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</si>
  <si>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</si>
  <si>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</si>
  <si>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</si>
  <si>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</si>
  <si>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</si>
  <si>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</si>
  <si>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</si>
  <si>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</si>
  <si>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</si>
  <si>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</si>
  <si>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</si>
  <si>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</si>
  <si>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</si>
  <si>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</si>
  <si>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</si>
  <si>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</si>
  <si>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</si>
  <si>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</si>
  <si>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</si>
  <si>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</si>
  <si>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</si>
  <si>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</si>
  <si>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</si>
  <si>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</si>
  <si>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</si>
  <si>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</si>
  <si>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</si>
  <si>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</si>
  <si>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</si>
  <si>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</si>
  <si>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</si>
  <si>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</si>
  <si>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</si>
  <si>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</si>
  <si>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</si>
  <si>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</si>
  <si>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</si>
  <si>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</si>
  <si>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</si>
  <si>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</si>
  <si>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</si>
  <si>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</si>
  <si>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</si>
  <si>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</si>
  <si>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</si>
  <si>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</si>
  <si>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</si>
  <si>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</si>
  <si>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</si>
  <si>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</si>
  <si>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</si>
  <si>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</si>
  <si>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</si>
  <si>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</si>
  <si>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</si>
  <si>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</si>
  <si>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</si>
  <si>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</si>
  <si>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</si>
  <si>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</si>
  <si>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</si>
  <si>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</si>
  <si>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</si>
  <si>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</si>
  <si>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</si>
  <si>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</si>
  <si>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</si>
  <si>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</si>
  <si>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</si>
  <si>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</si>
  <si>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</si>
  <si>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</si>
  <si>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</si>
  <si>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</si>
  <si>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</si>
  <si>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</si>
  <si>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</si>
  <si>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</si>
  <si>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</si>
  <si>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</si>
  <si>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</si>
  <si>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</si>
  <si>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</si>
  <si>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</si>
  <si>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</si>
  <si>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</si>
  <si>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</si>
  <si>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</si>
  <si>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</si>
  <si>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</si>
  <si>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</si>
  <si>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</si>
  <si>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</si>
  <si>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</si>
  <si>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</si>
  <si>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</si>
  <si>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</si>
  <si>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</si>
  <si>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</si>
  <si>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</si>
  <si>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</si>
  <si>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</si>
  <si>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</si>
  <si>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</si>
  <si>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</si>
  <si>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</si>
  <si>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</si>
  <si>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</si>
  <si>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</si>
  <si>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</si>
  <si>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</si>
  <si>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</si>
  <si>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</si>
  <si>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</si>
  <si>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</si>
  <si>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</si>
  <si>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</si>
  <si>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</si>
  <si>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</si>
  <si>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</si>
  <si>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</si>
  <si>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</si>
  <si>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</si>
  <si>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</si>
  <si>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</si>
  <si>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</si>
  <si>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</si>
  <si>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</si>
  <si>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</si>
  <si>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</si>
  <si>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</si>
  <si>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</si>
  <si>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</si>
  <si>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</si>
  <si>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</si>
  <si>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</si>
  <si>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</si>
  <si>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</si>
  <si>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</si>
  <si>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</si>
  <si>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</si>
  <si>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</si>
  <si>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</si>
  <si>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</si>
  <si>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</si>
  <si>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</si>
  <si>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</si>
  <si>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</si>
  <si>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</si>
  <si>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</si>
  <si>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</si>
  <si>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</si>
  <si>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</si>
  <si>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</si>
  <si>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</si>
  <si>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</si>
  <si>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</si>
  <si>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</si>
  <si>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</si>
  <si>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</si>
  <si>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</si>
  <si>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</si>
  <si>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</si>
  <si>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</si>
  <si>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</si>
  <si>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</si>
  <si>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</si>
  <si>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</si>
  <si>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</si>
  <si>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</si>
  <si>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</si>
  <si>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</si>
  <si>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</si>
  <si>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</si>
  <si>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</si>
  <si>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</si>
  <si>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</si>
  <si>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</si>
  <si>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</si>
  <si>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</si>
  <si>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</si>
  <si>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</si>
  <si>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</si>
  <si>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</si>
  <si>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</si>
  <si>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</si>
  <si>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</si>
  <si>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</si>
  <si>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</si>
  <si>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</si>
  <si>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</si>
  <si>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</si>
  <si>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</si>
  <si>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</si>
  <si>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</si>
  <si>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</si>
  <si>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</si>
  <si>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</si>
  <si>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</si>
  <si>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</si>
  <si>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</si>
  <si>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</si>
  <si>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</si>
  <si>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</si>
  <si>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</si>
  <si>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</si>
  <si>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</si>
  <si>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</si>
  <si>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</si>
  <si>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</si>
  <si>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</si>
  <si>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</si>
  <si>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</si>
  <si>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</si>
  <si>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</si>
  <si>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</si>
  <si>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</si>
  <si>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</si>
  <si>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</si>
  <si>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</si>
  <si>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</si>
  <si>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</si>
  <si>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</si>
  <si>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</si>
  <si>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</si>
  <si>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</si>
  <si>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</si>
  <si>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</si>
  <si>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</si>
  <si>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</si>
  <si>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</si>
  <si>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</si>
  <si>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</si>
  <si>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</si>
  <si>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</si>
  <si>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</si>
  <si>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</si>
  <si>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</si>
  <si>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</si>
  <si>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</si>
  <si>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</si>
  <si>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</si>
  <si>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</si>
  <si>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</si>
  <si>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</si>
  <si>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</si>
  <si>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</si>
  <si>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</si>
  <si>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</si>
  <si>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</si>
  <si>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</si>
  <si>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</si>
  <si>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</si>
  <si>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</si>
  <si>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</si>
  <si>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</si>
  <si>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</si>
  <si>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</si>
  <si>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</si>
  <si>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</si>
  <si>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</si>
  <si>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</si>
  <si>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</si>
  <si>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</si>
  <si>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</si>
  <si>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</si>
  <si>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</si>
  <si>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</si>
  <si>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</si>
  <si>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</si>
  <si>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</si>
  <si>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</si>
  <si>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</si>
  <si>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</si>
  <si>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</si>
  <si>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</si>
  <si>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</si>
  <si>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</si>
  <si>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</si>
  <si>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</si>
  <si>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</si>
  <si>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</si>
  <si>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</si>
  <si>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</si>
  <si>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</si>
  <si>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</si>
  <si>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</si>
  <si>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</si>
  <si>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</si>
  <si>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</si>
  <si>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</si>
  <si>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</si>
  <si>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</si>
  <si>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</si>
  <si>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</si>
  <si>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</si>
  <si>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</si>
  <si>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</si>
  <si>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</si>
  <si>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</si>
  <si>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</si>
  <si>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</si>
  <si>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</si>
  <si>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</si>
  <si>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</si>
  <si>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</si>
  <si>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</si>
  <si>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</si>
  <si>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</si>
  <si>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</si>
  <si>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</si>
  <si>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</si>
  <si>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</si>
  <si>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</si>
  <si>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</si>
  <si>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</si>
  <si>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</si>
  <si>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</si>
  <si>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</si>
  <si>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</si>
  <si>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</si>
  <si>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</si>
  <si>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</si>
  <si>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</si>
  <si>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</si>
  <si>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</si>
  <si>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</si>
  <si>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</si>
  <si>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</si>
  <si>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</si>
  <si>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</si>
  <si>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</si>
  <si>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</si>
  <si>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</si>
  <si>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</si>
  <si>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</si>
  <si>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</si>
  <si>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</si>
  <si>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</si>
  <si>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</si>
  <si>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</si>
  <si>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</si>
  <si>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</si>
  <si>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</si>
  <si>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</si>
  <si>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</si>
  <si>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</si>
  <si>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</si>
  <si>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</si>
  <si>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</si>
  <si>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</si>
  <si>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</si>
  <si>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</si>
  <si>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</si>
  <si>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</si>
  <si>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</si>
  <si>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</si>
  <si>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</si>
  <si>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</si>
  <si>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</si>
  <si>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</si>
  <si>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</si>
  <si>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</si>
  <si>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</si>
  <si>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</si>
  <si>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</si>
  <si>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</si>
  <si>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</si>
  <si>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</si>
  <si>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</si>
  <si>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</si>
  <si>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</si>
  <si>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</si>
  <si>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</si>
  <si>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</si>
  <si>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</si>
  <si>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</si>
  <si>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</si>
  <si>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</si>
  <si>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</si>
  <si>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</si>
  <si>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</si>
  <si>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</si>
  <si>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</si>
  <si>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</si>
  <si>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</si>
  <si>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</si>
  <si>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</si>
  <si>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</si>
  <si>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</si>
  <si>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</si>
  <si>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</si>
  <si>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</si>
  <si>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</si>
  <si>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</si>
  <si>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</si>
  <si>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</si>
  <si>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</si>
  <si>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</si>
  <si>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</si>
  <si>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</si>
  <si>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</si>
  <si>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</si>
  <si>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</si>
  <si>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</si>
  <si>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</si>
  <si>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</si>
  <si>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</si>
  <si>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</si>
  <si>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</si>
  <si>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</si>
  <si>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</si>
  <si>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</si>
  <si>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</si>
  <si>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</si>
  <si>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</si>
  <si>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</si>
  <si>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</si>
  <si>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</si>
  <si>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</si>
  <si>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</si>
  <si>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</si>
  <si>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</si>
  <si>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</si>
  <si>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</si>
  <si>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</si>
  <si>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</si>
  <si>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</si>
  <si>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</si>
  <si>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</si>
  <si>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</si>
  <si>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</si>
  <si>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</si>
  <si>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</si>
  <si>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</si>
  <si>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</si>
  <si>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</si>
  <si>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</si>
  <si>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</si>
  <si>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</si>
  <si>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</si>
  <si>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</si>
  <si>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</si>
  <si>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</si>
  <si>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</si>
  <si>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</si>
  <si>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</si>
  <si>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</si>
  <si>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</si>
  <si>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</si>
  <si>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</si>
  <si>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</si>
  <si>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</si>
  <si>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</si>
  <si>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</si>
  <si>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</si>
  <si>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</si>
  <si>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</si>
  <si>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</si>
  <si>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</si>
  <si>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</si>
  <si>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</si>
  <si>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</si>
  <si>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</si>
  <si>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</si>
  <si>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</si>
  <si>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</si>
  <si>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</si>
  <si>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</si>
  <si>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</si>
  <si>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</si>
  <si>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</si>
  <si>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</si>
  <si>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</si>
  <si>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</si>
  <si>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</si>
  <si>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</si>
  <si>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</si>
  <si>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</si>
  <si>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</si>
  <si>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</si>
  <si>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</si>
  <si>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</si>
  <si>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</si>
  <si>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</si>
  <si>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</si>
  <si>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</si>
  <si>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</si>
  <si>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</si>
  <si>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</si>
  <si>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</si>
  <si>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</si>
  <si>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</si>
  <si>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</si>
  <si>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</si>
  <si>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</si>
  <si>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</si>
  <si>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</si>
  <si>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</si>
  <si>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</si>
  <si>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</si>
  <si>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</si>
  <si>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</si>
  <si>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</si>
  <si>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</si>
  <si>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</si>
  <si>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</si>
  <si>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</si>
  <si>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</si>
  <si>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</si>
  <si>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</si>
  <si>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</si>
  <si>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</si>
  <si>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</si>
  <si>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</si>
  <si>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</si>
  <si>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</si>
  <si>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</si>
  <si>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</si>
  <si>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</si>
  <si>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</si>
  <si>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</si>
  <si>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</si>
  <si>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</si>
  <si>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</si>
  <si>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</si>
  <si>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</si>
  <si>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</si>
  <si>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</si>
  <si>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</si>
  <si>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</si>
  <si>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</si>
  <si>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</si>
  <si>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</si>
  <si>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</si>
  <si>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</si>
  <si>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</si>
  <si>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</si>
  <si>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</si>
  <si>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</si>
  <si>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</si>
  <si>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</si>
  <si>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</si>
  <si>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</si>
  <si>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</si>
  <si>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</si>
  <si>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</si>
  <si>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</si>
  <si>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</si>
  <si>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</si>
  <si>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</si>
  <si>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</si>
  <si>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</si>
  <si>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</si>
  <si>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</si>
  <si>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</si>
  <si>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</si>
  <si>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</si>
  <si>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</si>
  <si>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</si>
  <si>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</si>
  <si>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</si>
  <si>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</si>
  <si>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</si>
  <si>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</si>
  <si>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</si>
  <si>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</si>
  <si>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</si>
  <si>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</si>
  <si>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</si>
  <si>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</si>
  <si>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</si>
  <si>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</si>
  <si>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</si>
  <si>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</si>
  <si>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</si>
  <si>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</si>
  <si>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</si>
  <si>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</si>
  <si>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</si>
  <si>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</si>
  <si>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</si>
  <si>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</si>
  <si>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</si>
  <si>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</si>
  <si>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</si>
  <si>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</si>
  <si>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</si>
  <si>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</si>
  <si>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</si>
  <si>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</si>
  <si>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</si>
  <si>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</si>
  <si>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</si>
  <si>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</si>
  <si>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</si>
  <si>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</si>
  <si>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</si>
  <si>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</si>
  <si>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</si>
  <si>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</si>
  <si>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</si>
  <si>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</si>
  <si>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</si>
  <si>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</si>
  <si>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</si>
  <si>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</si>
  <si>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</si>
  <si>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</si>
  <si>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</si>
  <si>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</si>
  <si>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</si>
  <si>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</si>
  <si>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</si>
  <si>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</si>
  <si>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</si>
  <si>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</si>
  <si>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</si>
  <si>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</si>
  <si>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</si>
  <si>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</si>
  <si>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</si>
  <si>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</si>
  <si>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</si>
  <si>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</si>
  <si>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</si>
  <si>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</si>
  <si>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</si>
  <si>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</si>
  <si>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</si>
  <si>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</si>
  <si>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</si>
  <si>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</si>
  <si>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</si>
  <si>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</si>
  <si>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</si>
  <si>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</si>
  <si>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</si>
  <si>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</si>
  <si>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</si>
  <si>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</si>
  <si>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</si>
  <si>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</si>
  <si>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</si>
  <si>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</si>
  <si>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</si>
  <si>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</si>
  <si>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</si>
  <si>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</si>
  <si>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</si>
  <si>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</si>
  <si>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</si>
  <si>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</si>
  <si>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</si>
  <si>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</si>
  <si>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</si>
  <si>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</si>
  <si>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</si>
  <si>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</si>
  <si>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</si>
  <si>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</si>
  <si>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</si>
  <si>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</si>
  <si>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</si>
  <si>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</si>
  <si>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</si>
  <si>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</si>
  <si>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</si>
  <si>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</si>
  <si>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</si>
  <si>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</si>
  <si>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</si>
  <si>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</si>
  <si>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</si>
  <si>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</si>
  <si>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</si>
  <si>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</si>
  <si>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</si>
  <si>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</si>
  <si>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</si>
  <si>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</si>
  <si>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</si>
  <si>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</si>
  <si>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</si>
  <si>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</si>
  <si>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</si>
  <si>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</si>
  <si>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</si>
  <si>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</si>
  <si>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</si>
  <si>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</si>
  <si>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</si>
  <si>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</si>
  <si>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</si>
  <si>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</si>
  <si>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</si>
  <si>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</si>
  <si>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</si>
  <si>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</si>
  <si>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</si>
  <si>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</si>
  <si>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</si>
  <si>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</si>
  <si>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</si>
  <si>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</si>
  <si>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</si>
  <si>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</si>
  <si>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</si>
  <si>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</si>
  <si>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</si>
  <si>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</si>
  <si>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</si>
  <si>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</si>
  <si>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</si>
  <si>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</si>
  <si>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</si>
  <si>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</si>
  <si>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</si>
  <si>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</si>
  <si>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</si>
  <si>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</si>
  <si>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</si>
  <si>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</si>
  <si>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</si>
  <si>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</si>
  <si>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</si>
  <si>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</si>
  <si>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</si>
  <si>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</si>
  <si>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</si>
  <si>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</si>
  <si>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</si>
  <si>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</si>
  <si>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</si>
  <si>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</si>
  <si>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</si>
  <si>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</si>
  <si>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</si>
  <si>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</si>
  <si>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</si>
  <si>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</si>
  <si>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</si>
  <si>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</si>
  <si>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</si>
  <si>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</si>
  <si>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</si>
  <si>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</si>
  <si>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</si>
  <si>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</si>
  <si>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</si>
  <si>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</si>
  <si>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</si>
  <si>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</si>
  <si>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</si>
  <si>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</si>
  <si>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</si>
  <si>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</si>
  <si>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</si>
  <si>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</si>
  <si>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</si>
  <si>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</si>
  <si>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</si>
  <si>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</si>
  <si>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</si>
  <si>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</si>
  <si>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</si>
  <si>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</si>
  <si>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</si>
  <si>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</si>
  <si>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</si>
  <si>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</si>
  <si>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</si>
  <si>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</si>
  <si>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</si>
  <si>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</si>
  <si>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</si>
  <si>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</si>
  <si>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</si>
  <si>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</si>
  <si>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</si>
  <si>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</si>
  <si>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</si>
  <si>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</si>
  <si>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</si>
  <si>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</si>
  <si>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</si>
  <si>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</si>
  <si>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</si>
  <si>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</si>
  <si>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</si>
  <si>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</si>
  <si>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</si>
  <si>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</si>
  <si>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</si>
  <si>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</si>
  <si>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</si>
  <si>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</si>
  <si>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</si>
  <si>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</si>
  <si>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</si>
  <si>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</si>
  <si>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</si>
  <si>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</si>
  <si>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</si>
  <si>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</si>
  <si>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</si>
  <si>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</si>
  <si>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</si>
  <si>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</si>
  <si>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</si>
  <si>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</si>
  <si>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</si>
  <si>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</si>
  <si>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</si>
  <si>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</si>
  <si>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</si>
  <si>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</si>
  <si>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</si>
  <si>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</si>
  <si>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</si>
  <si>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</si>
  <si>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</si>
  <si>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</si>
  <si>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</si>
  <si>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</si>
  <si>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</si>
  <si>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</si>
  <si>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</si>
  <si>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</si>
  <si>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</si>
  <si>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</si>
  <si>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</si>
  <si>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</si>
  <si>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</si>
  <si>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</si>
  <si>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</si>
  <si>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</si>
  <si>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</si>
  <si>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</si>
  <si>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</si>
  <si>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</si>
  <si>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</si>
  <si>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</si>
  <si>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</si>
  <si>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</si>
  <si>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</si>
  <si>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</si>
  <si>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</si>
  <si>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</si>
  <si>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</si>
  <si>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</si>
  <si>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</si>
  <si>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</si>
  <si>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</si>
  <si>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</si>
  <si>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</si>
  <si>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</si>
  <si>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</si>
  <si>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</si>
  <si>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</si>
  <si>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</si>
  <si>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</si>
  <si>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</si>
  <si>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</si>
  <si>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</si>
  <si>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</si>
  <si>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</si>
  <si>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</si>
  <si>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</si>
  <si>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</si>
  <si>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</si>
  <si>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</si>
  <si>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</si>
  <si>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</si>
  <si>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</si>
  <si>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</si>
  <si>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</si>
  <si>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</si>
  <si>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</si>
  <si>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</si>
  <si>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</si>
  <si>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</si>
  <si>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</si>
  <si>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</si>
  <si>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</si>
  <si>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</si>
  <si>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</si>
  <si>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</si>
  <si>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</si>
  <si>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</si>
  <si>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</si>
  <si>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</si>
  <si>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</si>
  <si>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</si>
  <si>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</si>
  <si>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</si>
  <si>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</si>
  <si>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</si>
  <si>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</si>
  <si>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</si>
  <si>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</si>
  <si>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</si>
  <si>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</si>
  <si>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</si>
  <si>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</si>
  <si>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</si>
  <si>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</si>
  <si>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</si>
  <si>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</si>
  <si>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</si>
  <si>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</si>
  <si>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</si>
  <si>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</si>
  <si>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</si>
  <si>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</si>
  <si>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</si>
  <si>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</si>
  <si>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</si>
  <si>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</si>
  <si>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</si>
  <si>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</si>
  <si>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</si>
  <si>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</si>
  <si>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</si>
  <si>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</si>
  <si>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</si>
  <si>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</si>
  <si>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</si>
  <si>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</si>
  <si>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</si>
  <si>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</si>
  <si>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</si>
  <si>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</si>
  <si>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</si>
  <si>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</si>
  <si>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</si>
  <si>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</si>
  <si>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</si>
  <si>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</si>
  <si>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</si>
  <si>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</si>
  <si>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</si>
  <si>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</si>
  <si>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</si>
  <si>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</si>
  <si>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</si>
  <si>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</si>
  <si>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</si>
  <si>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</si>
  <si>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</si>
  <si>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</si>
  <si>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</si>
  <si>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</si>
  <si>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</si>
  <si>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</si>
  <si>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</si>
  <si>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</si>
  <si>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</si>
  <si>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</si>
  <si>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</si>
  <si>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</si>
  <si>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</si>
  <si>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</si>
  <si>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</si>
  <si>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</si>
  <si>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</si>
  <si>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</si>
  <si>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</si>
  <si>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</si>
  <si>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</si>
  <si>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</si>
  <si>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</si>
  <si>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</si>
  <si>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</si>
  <si>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</si>
  <si>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</si>
  <si>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</si>
  <si>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</si>
  <si>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</si>
  <si>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</si>
  <si>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</si>
  <si>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</si>
  <si>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</si>
  <si>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</si>
  <si>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</si>
  <si>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</si>
  <si>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</si>
  <si>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</si>
  <si>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</si>
  <si>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</si>
  <si>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</si>
  <si>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</si>
  <si>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</si>
  <si>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</si>
  <si>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</si>
  <si>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</si>
  <si>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</si>
  <si>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</si>
  <si>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</si>
  <si>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</si>
  <si>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</si>
  <si>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</si>
  <si>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</si>
  <si>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</si>
  <si>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</si>
  <si>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</si>
  <si>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</si>
  <si>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</si>
  <si>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</si>
  <si>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</si>
  <si>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</si>
  <si>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</si>
  <si>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</si>
  <si>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</si>
  <si>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</si>
  <si>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</si>
  <si>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</si>
  <si>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</si>
  <si>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</si>
  <si>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</si>
  <si>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</si>
  <si>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</si>
  <si>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</si>
  <si>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</si>
  <si>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</si>
  <si>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</si>
  <si>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</si>
  <si>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</si>
  <si>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</si>
  <si>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</si>
  <si>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</si>
  <si>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</si>
  <si>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</si>
  <si>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</si>
  <si>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</si>
  <si>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</si>
  <si>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</si>
  <si>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</si>
  <si>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</si>
  <si>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</si>
  <si>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</si>
  <si>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</si>
  <si>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</si>
  <si>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</si>
  <si>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</si>
  <si>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</si>
  <si>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</si>
  <si>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</si>
  <si>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</si>
  <si>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</si>
  <si>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</si>
  <si>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</si>
  <si>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</si>
  <si>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</si>
  <si>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</si>
  <si>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</si>
  <si>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</si>
  <si>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</si>
  <si>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</si>
  <si>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</si>
  <si>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</si>
  <si>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</si>
  <si>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</si>
  <si>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</si>
  <si>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</si>
  <si>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</si>
  <si>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</si>
  <si>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</si>
  <si>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</si>
  <si>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</si>
  <si>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</si>
  <si>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</si>
  <si>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</si>
  <si>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</si>
  <si>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</si>
  <si>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</si>
  <si>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</si>
  <si>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</si>
  <si>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</si>
  <si>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</si>
  <si>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</si>
  <si>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</si>
  <si>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</si>
  <si>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</si>
  <si>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</si>
  <si>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</si>
  <si>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</si>
  <si>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</si>
  <si>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</si>
  <si>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</si>
  <si>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</si>
  <si>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</si>
  <si>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</si>
  <si>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</si>
  <si>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</si>
  <si>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</si>
  <si>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</si>
  <si>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</si>
  <si>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</si>
  <si>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</si>
  <si>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</si>
  <si>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</si>
  <si>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</si>
  <si>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</si>
  <si>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</si>
  <si>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</si>
  <si>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</si>
  <si>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</si>
  <si>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</si>
  <si>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</si>
  <si>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</si>
  <si>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</si>
  <si>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</si>
  <si>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</si>
  <si>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</si>
  <si>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</si>
  <si>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</si>
  <si>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</si>
  <si>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</si>
  <si>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</si>
  <si>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</si>
  <si>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</si>
  <si>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</si>
  <si>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</si>
  <si>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</si>
  <si>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</si>
  <si>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</si>
  <si>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</si>
  <si>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</si>
  <si>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</si>
  <si>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</si>
  <si>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</si>
  <si>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</si>
  <si>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</si>
  <si>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</si>
  <si>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</si>
  <si>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</si>
  <si>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</si>
  <si>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</si>
  <si>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</si>
  <si>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</si>
  <si>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</si>
  <si>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</si>
  <si>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</si>
  <si>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</si>
  <si>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</si>
  <si>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</si>
  <si>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</si>
  <si>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</si>
  <si>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</si>
  <si>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</si>
  <si>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</si>
  <si>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</si>
  <si>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</si>
  <si>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</si>
  <si>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</si>
  <si>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</si>
  <si>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</si>
  <si>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</si>
  <si>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</si>
  <si>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</si>
  <si>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</si>
  <si>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</si>
  <si>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</si>
  <si>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</si>
  <si>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</si>
  <si>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</si>
  <si>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</si>
  <si>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</si>
  <si>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</si>
  <si>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</si>
  <si>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</si>
  <si>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</si>
  <si>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</si>
  <si>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</si>
  <si>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</si>
  <si>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</si>
  <si>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</si>
  <si>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</si>
  <si>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</si>
  <si>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</si>
  <si>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</si>
  <si>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</si>
  <si>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</si>
  <si>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</si>
  <si>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</si>
  <si>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</si>
  <si>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</si>
  <si>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</si>
  <si>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</si>
  <si>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</si>
  <si>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</si>
  <si>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</si>
  <si>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</si>
  <si>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</si>
  <si>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</si>
  <si>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</si>
  <si>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</si>
  <si>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</si>
  <si>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</si>
  <si>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</si>
  <si>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</si>
  <si>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</si>
  <si>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</si>
  <si>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</si>
  <si>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</si>
  <si>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</si>
  <si>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</si>
  <si>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</si>
  <si>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</si>
  <si>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</si>
  <si>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</si>
  <si>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</si>
  <si>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</si>
  <si>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</si>
  <si>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</si>
  <si>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</si>
  <si>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</si>
  <si>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</si>
  <si>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</si>
  <si>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</si>
  <si>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</si>
  <si>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</si>
  <si>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</si>
  <si>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</si>
  <si>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</si>
  <si>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</si>
  <si>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</si>
  <si>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</si>
  <si>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</si>
  <si>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</si>
  <si>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</si>
  <si>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</si>
  <si>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</si>
  <si>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</si>
  <si>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</si>
  <si>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</si>
  <si>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</si>
  <si>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</si>
  <si>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</si>
  <si>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</si>
  <si>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</si>
  <si>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</si>
  <si>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</si>
  <si>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</si>
  <si>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</si>
  <si>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</si>
  <si>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</si>
  <si>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</si>
  <si>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</si>
  <si>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</si>
  <si>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</si>
  <si>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</si>
  <si>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</si>
  <si>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</si>
  <si>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</si>
  <si>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</si>
  <si>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</si>
  <si>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</si>
  <si>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</si>
  <si>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</si>
  <si>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</si>
  <si>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</si>
  <si>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</si>
  <si>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</si>
  <si>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</si>
  <si>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</si>
  <si>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</si>
  <si>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</si>
  <si>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</si>
  <si>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</si>
  <si>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</si>
  <si>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</si>
  <si>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</si>
  <si>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</si>
  <si>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</si>
  <si>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</si>
  <si>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</si>
  <si>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</si>
  <si>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</si>
  <si>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</si>
  <si>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</si>
  <si>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</si>
  <si>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</si>
  <si>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</si>
  <si>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</si>
  <si>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</si>
  <si>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</si>
  <si>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</si>
  <si>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</si>
  <si>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</si>
  <si>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</si>
  <si>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</si>
  <si>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</si>
  <si>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</si>
  <si>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</si>
  <si>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</si>
  <si>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</si>
  <si>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</si>
  <si>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</si>
  <si>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</si>
  <si>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</si>
  <si>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</si>
  <si>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</si>
  <si>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</si>
  <si>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</si>
  <si>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</si>
  <si>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</si>
  <si>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</si>
  <si>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</si>
  <si>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</si>
  <si>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</si>
  <si>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</si>
  <si>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</si>
  <si>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</si>
  <si>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</si>
  <si>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</si>
  <si>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</si>
  <si>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</si>
  <si>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</si>
  <si>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</si>
  <si>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</si>
  <si>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</si>
  <si>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</si>
  <si>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</si>
  <si>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</si>
  <si>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</si>
  <si>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</si>
  <si>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</si>
  <si>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</si>
  <si>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</si>
  <si>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</si>
  <si>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</si>
  <si>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</si>
  <si>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</si>
  <si>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</si>
  <si>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</si>
  <si>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</si>
  <si>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</si>
  <si>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</si>
  <si>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</si>
  <si>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</si>
  <si>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</si>
  <si>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</si>
  <si>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</si>
  <si>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</si>
  <si>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</si>
  <si>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</si>
  <si>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</si>
  <si>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</si>
  <si>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</si>
  <si>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</si>
  <si>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</si>
  <si>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</si>
  <si>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</si>
  <si>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</si>
  <si>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</si>
  <si>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</si>
  <si>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</si>
  <si>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</si>
  <si>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</si>
  <si>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</si>
  <si>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</si>
  <si>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</si>
  <si>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</si>
  <si>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</si>
  <si>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</si>
  <si>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</si>
  <si>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</si>
  <si>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</si>
  <si>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</si>
  <si>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</si>
  <si>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</si>
  <si>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</si>
  <si>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</si>
  <si>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</si>
  <si>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</si>
  <si>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</si>
  <si>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</si>
  <si>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</si>
  <si>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</si>
  <si>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</si>
  <si>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</si>
  <si>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</si>
  <si>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</si>
  <si>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</si>
  <si>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</si>
  <si>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</si>
  <si>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</si>
  <si>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</si>
  <si>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</si>
  <si>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</si>
  <si>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</si>
  <si>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</si>
  <si>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</si>
  <si>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</si>
  <si>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</si>
  <si>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</si>
  <si>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</si>
  <si>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</si>
  <si>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</si>
  <si>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</si>
  <si>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</si>
  <si>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</si>
  <si>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</si>
  <si>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</si>
  <si>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</si>
  <si>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</si>
  <si>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</si>
  <si>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</si>
  <si>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</si>
  <si>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</si>
  <si>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</si>
  <si>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</si>
  <si>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</si>
  <si>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</si>
  <si>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</si>
  <si>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</si>
  <si>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</si>
  <si>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</si>
  <si>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</si>
  <si>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</si>
  <si>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</si>
  <si>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</si>
  <si>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</si>
  <si>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</si>
  <si>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</si>
  <si>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</si>
  <si>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</si>
  <si>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</si>
  <si>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</si>
  <si>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</si>
  <si>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</si>
  <si>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</si>
  <si>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</si>
  <si>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</si>
  <si>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</si>
  <si>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</si>
  <si>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</si>
  <si>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</si>
  <si>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</si>
  <si>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</si>
  <si>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</si>
  <si>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</si>
  <si>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</si>
  <si>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</si>
  <si>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</si>
  <si>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</si>
  <si>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</si>
  <si>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</si>
  <si>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</si>
  <si>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</si>
  <si>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</si>
  <si>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</si>
  <si>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</si>
  <si>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</si>
  <si>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</si>
  <si>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</si>
  <si>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</si>
  <si>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</si>
  <si>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</si>
  <si>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</si>
  <si>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</si>
  <si>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</si>
  <si>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</si>
  <si>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</si>
  <si>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</si>
  <si>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</si>
  <si>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</si>
  <si>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</si>
  <si>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</si>
  <si>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</si>
  <si>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</si>
  <si>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</si>
  <si>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</si>
  <si>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</si>
  <si>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</si>
  <si>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</si>
  <si>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</si>
  <si>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</si>
  <si>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</si>
  <si>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</si>
  <si>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</si>
  <si>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</si>
  <si>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</si>
  <si>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</si>
  <si>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</si>
  <si>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</si>
  <si>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</si>
  <si>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</si>
  <si>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</si>
  <si>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</si>
  <si>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</si>
  <si>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</si>
  <si>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</si>
  <si>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</si>
  <si>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</si>
  <si>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</si>
  <si>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</si>
  <si>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</si>
  <si>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</si>
  <si>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</si>
  <si>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</si>
  <si>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</si>
  <si>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</si>
  <si>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</si>
  <si>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</si>
  <si>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</si>
  <si>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</si>
  <si>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</si>
  <si>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</si>
  <si>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</si>
  <si>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</si>
  <si>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</si>
  <si>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</si>
  <si>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</si>
  <si>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</si>
  <si>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</si>
  <si>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</si>
  <si>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</si>
  <si>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</si>
  <si>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</si>
  <si>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</si>
  <si>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</si>
  <si>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</si>
  <si>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</si>
  <si>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</si>
  <si>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</si>
  <si>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</si>
  <si>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</si>
  <si>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</si>
  <si>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</si>
  <si>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</si>
  <si>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</si>
  <si>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</si>
  <si>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</si>
  <si>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</si>
  <si>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</si>
  <si>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</si>
  <si>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</si>
  <si>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</si>
  <si>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</si>
  <si>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</si>
  <si>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</si>
  <si>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</si>
  <si>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</si>
  <si>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</si>
  <si>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</si>
  <si>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</si>
  <si>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</si>
  <si>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</si>
  <si>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</si>
  <si>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</si>
  <si>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</si>
  <si>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</si>
  <si>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</si>
  <si>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</si>
  <si>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</si>
  <si>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</si>
  <si>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</si>
  <si>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</si>
  <si>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</si>
  <si>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</si>
  <si>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</si>
  <si>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</si>
  <si>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</si>
  <si>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</si>
  <si>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</si>
  <si>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</si>
  <si>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</si>
  <si>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</si>
  <si>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</si>
  <si>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</si>
  <si>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</si>
  <si>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</si>
  <si>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</si>
  <si>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</si>
  <si>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</si>
  <si>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</si>
  <si>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</si>
  <si>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</si>
  <si>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</si>
  <si>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</si>
  <si>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</si>
  <si>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</si>
  <si>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</si>
  <si>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</si>
  <si>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</si>
  <si>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</si>
  <si>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</si>
  <si>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</si>
  <si>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</si>
  <si>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</si>
  <si>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</si>
  <si>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</si>
  <si>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</si>
  <si>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</si>
  <si>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</si>
  <si>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</si>
  <si>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</si>
  <si>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</si>
  <si>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</si>
  <si>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</si>
  <si>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</si>
  <si>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</si>
  <si>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</si>
  <si>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</si>
  <si>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</si>
  <si>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</si>
  <si>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</si>
  <si>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</si>
  <si>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</si>
  <si>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</si>
  <si>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</si>
  <si>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</si>
  <si>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</si>
  <si>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</si>
  <si>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</si>
  <si>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</si>
  <si>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</si>
  <si>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</si>
  <si>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</si>
  <si>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</si>
  <si>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</si>
  <si>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</si>
  <si>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</si>
  <si>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</si>
  <si>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</si>
  <si>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</si>
  <si>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</si>
  <si>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</si>
  <si>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</si>
  <si>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</si>
  <si>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</si>
  <si>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</si>
  <si>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</si>
  <si>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</si>
  <si>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</si>
  <si>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</si>
  <si>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</si>
  <si>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</si>
  <si>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</si>
  <si>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</si>
  <si>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</si>
  <si>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</si>
  <si>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</si>
  <si>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</si>
  <si>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</si>
  <si>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</si>
  <si>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</si>
  <si>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</si>
  <si>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</si>
  <si>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</si>
  <si>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</si>
  <si>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</si>
  <si>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</si>
  <si>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</si>
  <si>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</si>
  <si>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</si>
  <si>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</si>
  <si>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</si>
  <si>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</si>
  <si>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</si>
  <si>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</si>
  <si>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</si>
  <si>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</si>
  <si>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</si>
  <si>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</si>
  <si>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</si>
  <si>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</si>
  <si>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</si>
  <si>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</si>
  <si>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</si>
  <si>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</si>
  <si>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</si>
  <si>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</si>
  <si>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</si>
  <si>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</si>
  <si>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</si>
  <si>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</si>
  <si>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</si>
  <si>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</si>
  <si>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</si>
  <si>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</si>
  <si>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</si>
  <si>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</si>
  <si>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</si>
  <si>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</si>
  <si>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</si>
  <si>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</si>
  <si>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</si>
  <si>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</si>
  <si>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</si>
  <si>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</si>
  <si>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</si>
  <si>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</si>
  <si>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</si>
  <si>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</si>
  <si>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</si>
  <si>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</si>
  <si>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</si>
  <si>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</si>
  <si>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</si>
  <si>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</si>
  <si>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</si>
  <si>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</si>
  <si>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</si>
  <si>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</si>
  <si>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</si>
  <si>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</si>
  <si>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</si>
  <si>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</si>
  <si>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</si>
  <si>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</si>
  <si>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</si>
  <si>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</si>
  <si>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</si>
  <si>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</si>
  <si>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</si>
  <si>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</si>
  <si>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</si>
  <si>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</si>
  <si>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</si>
  <si>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</si>
  <si>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</si>
  <si>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</si>
  <si>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</si>
  <si>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</si>
  <si>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</si>
  <si>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</si>
  <si>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</si>
  <si>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</si>
  <si>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</si>
  <si>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</si>
  <si>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</si>
  <si>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</si>
  <si>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</si>
  <si>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</si>
  <si>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</si>
  <si>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</si>
  <si>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</si>
  <si>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</si>
  <si>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</si>
  <si>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</si>
  <si>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</si>
  <si>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</si>
  <si>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</si>
  <si>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</si>
  <si>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</si>
  <si>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</si>
  <si>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</si>
  <si>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</si>
  <si>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</si>
  <si>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</si>
  <si>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</si>
  <si>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</si>
  <si>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</si>
  <si>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</si>
  <si>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</si>
  <si>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</si>
  <si>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</si>
  <si>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</si>
  <si>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</si>
  <si>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</si>
  <si>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</si>
  <si>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</si>
  <si>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</si>
  <si>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</si>
  <si>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</si>
  <si>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</si>
  <si>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</si>
  <si>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</si>
  <si>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</si>
  <si>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</si>
  <si>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</si>
  <si>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</si>
  <si>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</si>
  <si>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</si>
  <si>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</si>
  <si>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</si>
  <si>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</si>
  <si>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</si>
  <si>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</si>
  <si>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</si>
  <si>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</si>
  <si>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</si>
  <si>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</si>
  <si>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</si>
  <si>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</si>
  <si>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</si>
  <si>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</si>
  <si>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</si>
  <si>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</si>
  <si>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</si>
  <si>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</si>
  <si>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</si>
  <si>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</si>
  <si>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</si>
  <si>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</si>
  <si>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</si>
  <si>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</si>
  <si>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</si>
  <si>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</si>
  <si>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</si>
  <si>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</si>
  <si>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</si>
  <si>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</si>
  <si>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</si>
  <si>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</si>
  <si>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</si>
  <si>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</si>
  <si>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</si>
  <si>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</si>
  <si>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</si>
  <si>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</si>
  <si>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</si>
  <si>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</si>
  <si>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</si>
  <si>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</si>
  <si>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</si>
  <si>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</si>
  <si>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</si>
  <si>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</si>
  <si>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</si>
  <si>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</si>
  <si>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</si>
  <si>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</si>
  <si>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</si>
  <si>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</si>
  <si>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</si>
  <si>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</si>
  <si>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</si>
  <si>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</si>
  <si>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</si>
  <si>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</si>
  <si>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</si>
  <si>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</si>
  <si>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</si>
  <si>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</si>
  <si>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</si>
  <si>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</si>
  <si>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</si>
  <si>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</si>
  <si>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</si>
  <si>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</si>
  <si>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</si>
  <si>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</si>
  <si>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</si>
  <si>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</si>
  <si>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</si>
  <si>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</si>
  <si>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</si>
  <si>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</si>
  <si>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</si>
  <si>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</si>
  <si>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</si>
  <si>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</si>
  <si>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</si>
  <si>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</si>
  <si>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</si>
  <si>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</si>
  <si>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</si>
  <si>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</si>
  <si>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</si>
  <si>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</si>
  <si>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</si>
  <si>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</si>
  <si>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</si>
  <si>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</si>
  <si>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</si>
  <si>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</si>
  <si>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</si>
  <si>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</si>
  <si>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</si>
  <si>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</si>
  <si>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</si>
  <si>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</si>
  <si>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</si>
  <si>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</si>
  <si>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</si>
  <si>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</si>
  <si>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</si>
  <si>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</si>
  <si>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</si>
  <si>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</si>
  <si>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</si>
  <si>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</si>
  <si>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</si>
  <si>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</si>
  <si>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</si>
  <si>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</si>
  <si>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</si>
  <si>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</si>
  <si>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</si>
  <si>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</si>
  <si>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</si>
  <si>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</si>
  <si>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</si>
  <si>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</si>
  <si>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</si>
  <si>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</si>
  <si>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</si>
  <si>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</si>
  <si>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</si>
  <si>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</si>
  <si>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</si>
  <si>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</si>
  <si>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</si>
  <si>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</si>
  <si>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</si>
  <si>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</si>
  <si>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</si>
  <si>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</si>
  <si>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</si>
  <si>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</si>
  <si>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</si>
  <si>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</si>
  <si>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</si>
  <si>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</si>
  <si>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</si>
  <si>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</si>
  <si>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</si>
  <si>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</si>
  <si>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</si>
  <si>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</si>
  <si>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</si>
  <si>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</si>
  <si>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</si>
  <si>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</si>
  <si>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</si>
  <si>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</si>
  <si>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</si>
  <si>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</si>
  <si>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</si>
  <si>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</si>
  <si>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</si>
  <si>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</si>
  <si>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</si>
  <si>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</si>
  <si>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</si>
  <si>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</si>
  <si>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</si>
  <si>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</si>
  <si>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</si>
  <si>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</si>
  <si>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</si>
  <si>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</si>
  <si>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</si>
  <si>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</si>
  <si>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</si>
  <si>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</si>
  <si>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</si>
  <si>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</si>
  <si>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</si>
  <si>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</si>
  <si>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</si>
  <si>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</si>
  <si>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</si>
  <si>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</si>
  <si>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</si>
  <si>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</si>
  <si>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</si>
  <si>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</si>
  <si>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</si>
  <si>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</si>
  <si>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</si>
  <si>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</si>
  <si>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</si>
  <si>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</si>
  <si>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</si>
  <si>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</si>
  <si>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</si>
  <si>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</si>
  <si>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</si>
  <si>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</si>
  <si>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</si>
  <si>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</si>
  <si>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</si>
  <si>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</si>
  <si>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</si>
  <si>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</si>
  <si>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</si>
  <si>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</si>
  <si>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</si>
  <si>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</si>
  <si>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</si>
  <si>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</si>
  <si>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</si>
  <si>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</si>
  <si>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</si>
  <si>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</si>
  <si>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</si>
  <si>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</si>
  <si>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</si>
  <si>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</si>
  <si>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</si>
  <si>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</si>
  <si>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</si>
  <si>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</si>
  <si>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</si>
  <si>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</si>
  <si>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</si>
  <si>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</si>
  <si>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</si>
  <si>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</si>
  <si>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</si>
  <si>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</si>
  <si>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</si>
  <si>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</si>
  <si>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</si>
  <si>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</si>
  <si>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</si>
  <si>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</si>
  <si>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</si>
  <si>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</si>
  <si>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</si>
  <si>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</si>
  <si>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</si>
  <si>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</si>
  <si>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</si>
  <si>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</si>
  <si>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</si>
  <si>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</si>
  <si>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</si>
  <si>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</si>
  <si>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</si>
  <si>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</si>
  <si>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</si>
  <si>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</si>
  <si>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</si>
  <si>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</si>
  <si>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</si>
  <si>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</si>
  <si>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</si>
  <si>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</si>
  <si>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</si>
  <si>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</si>
  <si>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</si>
  <si>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</si>
  <si>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</si>
  <si>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</si>
  <si>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</si>
  <si>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</si>
  <si>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</si>
  <si>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</si>
  <si>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</si>
  <si>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</si>
  <si>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</si>
  <si>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</si>
  <si>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</si>
  <si>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</si>
  <si>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</si>
  <si>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</si>
  <si>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</si>
  <si>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</si>
  <si>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</si>
  <si>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</si>
  <si>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</si>
  <si>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</si>
  <si>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</si>
  <si>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</si>
  <si>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</si>
  <si>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</si>
  <si>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</si>
  <si>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</si>
  <si>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</si>
  <si>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</si>
  <si>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</si>
  <si>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</si>
  <si>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</si>
  <si>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</si>
  <si>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</si>
  <si>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</si>
  <si>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</si>
  <si>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</si>
  <si>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</si>
  <si>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</si>
  <si>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</si>
  <si>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</si>
  <si>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</si>
  <si>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</si>
  <si>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</si>
  <si>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</si>
  <si>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</si>
  <si>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</si>
  <si>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</si>
  <si>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</si>
  <si>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</si>
  <si>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</si>
  <si>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</si>
  <si>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</si>
  <si>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</si>
  <si>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</si>
  <si>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</si>
  <si>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</si>
  <si>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</si>
  <si>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</si>
  <si>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</si>
  <si>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</si>
  <si>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</si>
  <si>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</si>
  <si>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</si>
  <si>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</si>
  <si>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</si>
  <si>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</si>
  <si>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</si>
  <si>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</si>
  <si>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</si>
  <si>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</si>
  <si>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</si>
  <si>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</si>
  <si>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</si>
  <si>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</si>
  <si>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</si>
  <si>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</si>
  <si>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</si>
  <si>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</si>
  <si>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</si>
  <si>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</si>
  <si>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</si>
  <si>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</si>
  <si>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</si>
  <si>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</si>
  <si>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</si>
  <si>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</si>
  <si>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</si>
  <si>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</si>
  <si>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</si>
  <si>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</si>
  <si>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</si>
  <si>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</si>
  <si>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</si>
  <si>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</si>
  <si>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</si>
  <si>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</si>
  <si>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</si>
  <si>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</si>
  <si>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</si>
  <si>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</si>
  <si>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</si>
  <si>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</si>
  <si>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</si>
  <si>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</si>
  <si>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</si>
  <si>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</si>
  <si>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</si>
  <si>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</si>
  <si>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</si>
  <si>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</si>
  <si>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</si>
  <si>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</si>
  <si>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</si>
  <si>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</si>
  <si>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</si>
  <si>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</si>
  <si>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</si>
  <si>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</si>
  <si>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</si>
  <si>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</si>
  <si>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</si>
  <si>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</si>
  <si>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</si>
  <si>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</si>
  <si>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</si>
  <si>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</si>
  <si>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</si>
  <si>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</si>
  <si>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</si>
  <si>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</si>
  <si>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</si>
  <si>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</si>
  <si>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</si>
  <si>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</si>
  <si>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</si>
  <si>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</si>
  <si>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</si>
  <si>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</si>
  <si>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</si>
  <si>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</si>
  <si>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</si>
  <si>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</si>
  <si>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</si>
  <si>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</si>
  <si>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</si>
  <si>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</si>
  <si>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</si>
  <si>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</si>
  <si>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</si>
  <si>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</si>
  <si>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</si>
  <si>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</si>
  <si>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</si>
  <si>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</si>
  <si>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</si>
  <si>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</si>
  <si>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</si>
  <si>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</si>
  <si>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</si>
  <si>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</si>
  <si>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</si>
  <si>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</si>
  <si>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</si>
  <si>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</si>
  <si>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</si>
  <si>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</si>
  <si>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</si>
  <si>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</si>
  <si>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</si>
  <si>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</si>
  <si>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</si>
  <si>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</si>
  <si>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</si>
  <si>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</si>
  <si>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</si>
  <si>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</si>
  <si>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</si>
  <si>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</si>
  <si>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</si>
  <si>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</si>
  <si>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</si>
  <si>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</si>
  <si>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</si>
  <si>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</si>
  <si>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</si>
  <si>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</si>
  <si>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</si>
  <si>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</si>
  <si>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</si>
  <si>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</si>
  <si>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</si>
  <si>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</si>
  <si>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</si>
  <si>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</si>
  <si>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</si>
  <si>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</si>
  <si>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</si>
  <si>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</si>
  <si>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</si>
  <si>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</si>
  <si>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</si>
  <si>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</si>
  <si>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</si>
  <si>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</si>
  <si>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</si>
  <si>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</si>
  <si>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</si>
  <si>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</si>
  <si>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</si>
  <si>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</si>
  <si>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</si>
  <si>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</si>
  <si>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</si>
  <si>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</si>
  <si>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</si>
  <si>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</si>
  <si>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</si>
  <si>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</si>
  <si>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</si>
  <si>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</si>
  <si>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</si>
  <si>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</si>
  <si>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</si>
  <si>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</si>
  <si>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</si>
  <si>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</si>
  <si>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</si>
  <si>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</si>
  <si>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</si>
  <si>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</si>
  <si>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</si>
  <si>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</si>
  <si>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</si>
  <si>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</si>
  <si>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</si>
  <si>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</si>
  <si>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</si>
  <si>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</si>
  <si>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</si>
  <si>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</si>
  <si>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</si>
  <si>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</si>
  <si>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</si>
  <si>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</si>
  <si>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</si>
  <si>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</si>
  <si>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</si>
  <si>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</si>
  <si>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</si>
  <si>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</si>
  <si>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</si>
  <si>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</si>
  <si>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</si>
  <si>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</si>
  <si>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</si>
  <si>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</si>
  <si>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</si>
  <si>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</si>
  <si>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</si>
  <si>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</si>
  <si>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</si>
  <si>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</si>
  <si>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</si>
  <si>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</si>
  <si>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</si>
  <si>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</si>
  <si>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</si>
  <si>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</si>
  <si>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</si>
  <si>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</si>
  <si>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</si>
  <si>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</si>
  <si>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</si>
  <si>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</si>
  <si>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</si>
  <si>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</si>
  <si>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</si>
  <si>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</si>
  <si>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</si>
  <si>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</si>
  <si>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</si>
  <si>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</si>
  <si>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</si>
  <si>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</si>
  <si>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</si>
  <si>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</si>
  <si>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</si>
  <si>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</si>
  <si>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</si>
  <si>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</si>
  <si>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</si>
  <si>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</si>
  <si>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</si>
  <si>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</si>
  <si>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</si>
  <si>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</si>
  <si>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</si>
  <si>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</si>
  <si>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</si>
  <si>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</si>
  <si>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</si>
  <si>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</si>
  <si>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</si>
  <si>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</si>
  <si>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</si>
  <si>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</si>
  <si>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</si>
  <si>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</si>
  <si>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</si>
  <si>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</si>
  <si>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</si>
  <si>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</si>
  <si>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</si>
  <si>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</si>
  <si>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</si>
  <si>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</si>
  <si>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</si>
  <si>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</si>
  <si>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</si>
  <si>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</si>
  <si>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</si>
  <si>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</si>
  <si>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</si>
  <si>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</si>
  <si>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</si>
  <si>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</si>
  <si>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</si>
  <si>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</si>
  <si>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</si>
  <si>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</si>
  <si>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</si>
  <si>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</si>
  <si>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</si>
  <si>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</si>
  <si>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</si>
  <si>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</si>
  <si>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</si>
  <si>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</si>
  <si>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</si>
  <si>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</si>
  <si>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</si>
  <si>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</si>
  <si>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</si>
  <si>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</si>
  <si>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</si>
  <si>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</si>
  <si>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</si>
  <si>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</si>
  <si>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</si>
  <si>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</si>
  <si>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</si>
  <si>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</si>
  <si>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</si>
  <si>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</si>
  <si>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</si>
  <si>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</si>
  <si>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</si>
  <si>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</si>
  <si>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</si>
  <si>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</si>
  <si>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</si>
  <si>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</si>
  <si>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</si>
  <si>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</si>
  <si>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</si>
  <si>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</si>
  <si>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</si>
  <si>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</si>
  <si>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</si>
  <si>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</si>
  <si>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</si>
  <si>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</si>
  <si>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</si>
  <si>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</si>
  <si>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</si>
  <si>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</si>
  <si>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</si>
  <si>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</si>
  <si>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</si>
  <si>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</si>
  <si>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</si>
  <si>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</si>
  <si>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</si>
  <si>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</si>
  <si>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</si>
  <si>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</si>
  <si>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</si>
  <si>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</si>
  <si>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</si>
  <si>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</si>
  <si>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</si>
  <si>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</si>
  <si>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</si>
  <si>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</si>
  <si>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</si>
  <si>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</si>
  <si>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</si>
  <si>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</si>
  <si>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</si>
  <si>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</si>
  <si>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</si>
  <si>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</si>
  <si>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</si>
  <si>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</si>
  <si>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</si>
  <si>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</si>
  <si>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</si>
  <si>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</si>
  <si>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</si>
  <si>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</si>
  <si>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</si>
  <si>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</si>
  <si>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</si>
  <si>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</si>
  <si>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</si>
  <si>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</si>
  <si>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</si>
  <si>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</si>
  <si>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</si>
  <si>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</si>
  <si>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</si>
  <si>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</si>
  <si>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</si>
  <si>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</si>
  <si>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</si>
  <si>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</si>
  <si>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</si>
  <si>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</si>
  <si>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</si>
  <si>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</si>
  <si>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</si>
  <si>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</si>
  <si>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</si>
  <si>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</si>
  <si>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</si>
  <si>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</si>
  <si>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</si>
  <si>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</si>
  <si>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</si>
  <si>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</si>
  <si>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</si>
  <si>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</si>
  <si>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</si>
  <si>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</si>
  <si>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</si>
  <si>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</si>
  <si>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</si>
  <si>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</si>
  <si>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</si>
  <si>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</si>
  <si>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</si>
  <si>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</si>
  <si>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</si>
  <si>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</si>
  <si>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</si>
  <si>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</si>
  <si>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</si>
  <si>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</si>
  <si>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</si>
  <si>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</si>
  <si>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</si>
  <si>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</si>
  <si>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</si>
  <si>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</si>
  <si>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</si>
  <si>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</si>
  <si>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</si>
  <si>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</si>
  <si>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</si>
  <si>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</si>
  <si>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</si>
  <si>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</si>
  <si>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</si>
  <si>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</si>
  <si>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</si>
  <si>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</si>
  <si>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</si>
  <si>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</si>
  <si>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</si>
  <si>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</si>
  <si>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</si>
  <si>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</si>
  <si>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</si>
  <si>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</si>
  <si>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</si>
  <si>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</si>
  <si>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</si>
  <si>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</si>
  <si>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</si>
  <si>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</si>
  <si>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</si>
  <si>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</si>
  <si>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</si>
  <si>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</si>
  <si>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</si>
  <si>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</si>
  <si>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</si>
  <si>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</si>
  <si>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</si>
  <si>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</si>
  <si>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</si>
  <si>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</si>
  <si>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</si>
  <si>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</si>
  <si>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</si>
  <si>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</si>
  <si>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</si>
  <si>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</si>
  <si>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</si>
  <si>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</si>
  <si>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</si>
  <si>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</si>
  <si>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</si>
  <si>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</si>
  <si>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</si>
  <si>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</si>
  <si>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</si>
  <si>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</si>
  <si>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</si>
  <si>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</si>
  <si>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</si>
  <si>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</si>
  <si>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</si>
  <si>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</si>
  <si>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</si>
  <si>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</si>
  <si>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</si>
  <si>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</si>
  <si>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</si>
  <si>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</si>
  <si>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</si>
  <si>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</si>
  <si>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</si>
  <si>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</si>
  <si>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</si>
  <si>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</si>
  <si>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</si>
  <si>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</si>
  <si>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</si>
  <si>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</si>
  <si>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</si>
  <si>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</si>
  <si>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</si>
  <si>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</si>
  <si>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</si>
  <si>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</si>
  <si>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</si>
  <si>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</si>
  <si>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</si>
  <si>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</si>
  <si>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</si>
  <si>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</si>
  <si>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</si>
  <si>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</si>
  <si>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</si>
  <si>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</si>
  <si>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</si>
  <si>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</si>
  <si>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</si>
  <si>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</si>
  <si>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</si>
  <si>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</si>
  <si>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</si>
  <si>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</si>
  <si>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</si>
  <si>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</si>
  <si>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</si>
  <si>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</si>
  <si>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</si>
  <si>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</si>
  <si>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</si>
  <si>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</si>
  <si>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</si>
  <si>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</si>
  <si>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</si>
  <si>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</si>
  <si>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</si>
  <si>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</si>
  <si>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</si>
  <si>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</si>
  <si>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</si>
  <si>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</si>
  <si>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</si>
  <si>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</si>
  <si>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</si>
  <si>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</si>
  <si>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</si>
  <si>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</si>
  <si>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</si>
  <si>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</si>
  <si>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</si>
  <si>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</si>
  <si>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</si>
  <si>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</si>
  <si>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</si>
  <si>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</si>
  <si>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</si>
  <si>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</si>
  <si>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</si>
  <si>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</si>
  <si>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</si>
  <si>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</si>
  <si>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</si>
  <si>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</si>
  <si>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</si>
  <si>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</si>
  <si>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</si>
  <si>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</si>
  <si>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</si>
  <si>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</si>
  <si>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</si>
  <si>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</si>
  <si>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</si>
  <si>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</si>
  <si>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</si>
  <si>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</si>
  <si>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</si>
  <si>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</si>
  <si>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</si>
  <si>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</si>
  <si>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</si>
  <si>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</si>
  <si>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</si>
  <si>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</si>
  <si>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</si>
  <si>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</si>
  <si>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</si>
  <si>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</si>
  <si>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</si>
  <si>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</si>
  <si>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</si>
  <si>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</si>
  <si>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</si>
  <si>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</si>
  <si>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</si>
  <si>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</si>
  <si>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</si>
  <si>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</si>
  <si>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</si>
  <si>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</si>
  <si>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</si>
  <si>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</si>
  <si>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</si>
  <si>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</si>
  <si>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</si>
  <si>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</si>
  <si>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</si>
  <si>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</si>
  <si>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</si>
  <si>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</si>
  <si>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</si>
  <si>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</si>
  <si>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</si>
  <si>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</si>
  <si>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</si>
  <si>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</si>
  <si>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</si>
  <si>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</si>
  <si>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</si>
  <si>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</si>
  <si>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</si>
  <si>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</si>
  <si>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</si>
  <si>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</si>
  <si>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</si>
  <si>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</si>
  <si>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</si>
  <si>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</si>
  <si>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</si>
  <si>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</si>
  <si>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</si>
  <si>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</si>
  <si>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</si>
  <si>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</si>
  <si>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</si>
  <si>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</si>
  <si>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</si>
  <si>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</si>
  <si>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</si>
  <si>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</si>
  <si>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</si>
  <si>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</si>
  <si>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</si>
  <si>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</si>
  <si>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</si>
  <si>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</si>
  <si>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</si>
  <si>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</si>
  <si>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</si>
  <si>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</si>
  <si>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</si>
  <si>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</si>
  <si>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</si>
  <si>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</si>
  <si>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</si>
  <si>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</si>
  <si>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</si>
  <si>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</si>
  <si>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</si>
  <si>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</si>
  <si>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</si>
  <si>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</si>
  <si>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</si>
  <si>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</si>
  <si>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</si>
  <si>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</si>
  <si>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</si>
  <si>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</si>
  <si>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</si>
  <si>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</si>
  <si>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</si>
  <si>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</si>
  <si>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</si>
  <si>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</si>
  <si>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</si>
  <si>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</si>
  <si>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</si>
  <si>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</si>
  <si>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</si>
  <si>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</si>
  <si>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</si>
  <si>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</si>
  <si>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</si>
  <si>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</si>
  <si>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</si>
  <si>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</si>
  <si>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</si>
  <si>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</si>
  <si>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</si>
  <si>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</si>
  <si>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</si>
  <si>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</si>
  <si>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</si>
  <si>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</si>
  <si>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</si>
  <si>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</si>
  <si>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</si>
  <si>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</si>
  <si>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</si>
  <si>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</si>
  <si>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</si>
  <si>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</si>
  <si>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</si>
  <si>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</si>
  <si>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</si>
  <si>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</si>
  <si>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</si>
  <si>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</si>
  <si>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</si>
  <si>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</si>
  <si>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</si>
  <si>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</si>
  <si>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</si>
  <si>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</si>
  <si>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</si>
  <si>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</si>
  <si>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</si>
  <si>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</si>
  <si>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</si>
  <si>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</si>
  <si>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</si>
  <si>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</si>
  <si>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</si>
  <si>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</si>
  <si>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</si>
  <si>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</si>
  <si>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</si>
  <si>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</si>
  <si>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</si>
  <si>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</si>
  <si>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</si>
  <si>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</si>
  <si>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</si>
  <si>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</si>
  <si>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</si>
  <si>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</si>
  <si>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</si>
  <si>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</si>
  <si>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</si>
  <si>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</si>
  <si>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</si>
  <si>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</si>
  <si>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</si>
  <si>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</si>
  <si>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</si>
  <si>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</si>
  <si>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</si>
  <si>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</si>
  <si>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</si>
  <si>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</si>
  <si>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</si>
  <si>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</si>
  <si>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</si>
  <si>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</si>
  <si>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</si>
  <si>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</si>
  <si>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</si>
  <si>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</si>
  <si>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</si>
  <si>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</si>
  <si>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</si>
  <si>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</si>
  <si>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</si>
  <si>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</si>
  <si>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</si>
  <si>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</si>
  <si>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</si>
  <si>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</si>
  <si>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</si>
  <si>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</si>
  <si>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</si>
  <si>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</si>
  <si>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</si>
  <si>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</si>
  <si>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</si>
  <si>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</si>
  <si>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</si>
  <si>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</si>
  <si>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</si>
  <si>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</si>
  <si>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</si>
  <si>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</si>
  <si>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</si>
  <si>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</si>
  <si>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</si>
  <si>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</si>
  <si>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</si>
  <si>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</si>
  <si>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</si>
  <si>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</si>
  <si>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</si>
  <si>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</si>
  <si>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</si>
  <si>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</si>
  <si>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</si>
  <si>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</si>
  <si>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</si>
  <si>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</si>
  <si>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</si>
  <si>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</si>
  <si>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</si>
  <si>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</si>
  <si>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</si>
  <si>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</si>
  <si>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</si>
  <si>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</si>
  <si>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</si>
  <si>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</si>
  <si>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</si>
  <si>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</si>
  <si>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</si>
  <si>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</si>
  <si>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</si>
  <si>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</si>
  <si>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</si>
  <si>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</si>
  <si>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</si>
  <si>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</si>
  <si>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</si>
  <si>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</si>
  <si>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</si>
  <si>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</si>
  <si>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</si>
  <si>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</si>
  <si>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</si>
  <si>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</si>
  <si>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</si>
  <si>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</si>
  <si>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</si>
  <si>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</si>
  <si>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</si>
  <si>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</si>
  <si>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</si>
  <si>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</si>
  <si>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</si>
  <si>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</si>
  <si>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</si>
  <si>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</si>
  <si>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</si>
  <si>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</si>
  <si>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</si>
  <si>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</si>
  <si>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</si>
  <si>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</si>
  <si>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</si>
  <si>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</si>
  <si>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</si>
  <si>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</si>
  <si>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</si>
  <si>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</si>
  <si>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</si>
  <si>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</si>
  <si>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</si>
  <si>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</si>
  <si>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</si>
  <si>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</si>
  <si>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</si>
  <si>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</si>
  <si>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</si>
  <si>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</si>
  <si>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</si>
  <si>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</si>
  <si>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</si>
  <si>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</si>
  <si>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</si>
  <si>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</si>
  <si>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</si>
  <si>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</si>
  <si>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</si>
  <si>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</si>
  <si>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</si>
  <si>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</si>
  <si>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</si>
  <si>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</si>
  <si>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</si>
  <si>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</si>
  <si>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</si>
  <si>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</si>
  <si>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</si>
  <si>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</si>
  <si>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</si>
  <si>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</si>
  <si>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</si>
  <si>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</si>
  <si>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</si>
  <si>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</si>
  <si>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</si>
  <si>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</si>
  <si>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</si>
  <si>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</si>
  <si>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</si>
  <si>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</si>
  <si>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</si>
  <si>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</si>
  <si>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</si>
  <si>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</si>
  <si>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</si>
  <si>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</si>
  <si>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</si>
  <si>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</si>
  <si>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</si>
  <si>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</si>
  <si>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</si>
  <si>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</si>
  <si>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</si>
  <si>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</si>
  <si>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</si>
  <si>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</si>
  <si>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</si>
  <si>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</si>
  <si>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</si>
  <si>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</si>
  <si>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</si>
  <si>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</si>
  <si>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</si>
  <si>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</si>
  <si>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</si>
  <si>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</si>
  <si>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</si>
  <si>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</si>
  <si>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</si>
  <si>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</si>
  <si>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</si>
  <si>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</si>
  <si>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</si>
  <si>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</si>
  <si>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</si>
  <si>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</si>
  <si>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</si>
  <si>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</si>
  <si>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</si>
  <si>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</si>
  <si>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</si>
  <si>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</si>
  <si>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</si>
  <si>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</si>
  <si>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</si>
  <si>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</si>
  <si>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</si>
  <si>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</si>
  <si>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</si>
  <si>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</si>
  <si>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</si>
  <si>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</si>
  <si>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</si>
  <si>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</si>
  <si>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</si>
  <si>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</si>
  <si>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</si>
  <si>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</si>
  <si>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</si>
  <si>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</si>
  <si>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</si>
  <si>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</si>
  <si>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</si>
  <si>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</si>
  <si>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</si>
  <si>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</si>
  <si>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</si>
  <si>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</si>
  <si>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</si>
  <si>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</si>
  <si>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</si>
  <si>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</si>
  <si>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</si>
  <si>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</si>
  <si>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</si>
  <si>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</si>
  <si>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</si>
  <si>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</si>
  <si>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</si>
  <si>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</si>
  <si>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</si>
  <si>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</si>
  <si>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</si>
  <si>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</si>
  <si>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</si>
  <si>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</si>
  <si>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</si>
  <si>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</si>
  <si>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</si>
  <si>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</si>
  <si>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</si>
  <si>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</si>
  <si>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</si>
  <si>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</si>
  <si>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</si>
  <si>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</si>
  <si>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</si>
  <si>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</si>
  <si>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</si>
  <si>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</si>
  <si>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</si>
  <si>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</si>
  <si>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</si>
  <si>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</si>
  <si>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</si>
  <si>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</si>
  <si>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</si>
  <si>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</si>
  <si>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</si>
  <si>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</si>
  <si>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</si>
  <si>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</si>
  <si>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</si>
  <si>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</si>
  <si>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</si>
  <si>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</si>
  <si>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</si>
  <si>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</si>
  <si>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</si>
  <si>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</si>
  <si>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</si>
  <si>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</si>
  <si>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</si>
  <si>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</si>
  <si>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</si>
  <si>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</si>
  <si>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</si>
  <si>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</si>
  <si>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</si>
  <si>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</si>
  <si>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</si>
  <si>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</si>
  <si>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</si>
  <si>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</si>
  <si>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</si>
  <si>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</si>
  <si>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</si>
  <si>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</si>
  <si>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</si>
  <si>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</si>
  <si>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</si>
  <si>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</si>
  <si>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</si>
  <si>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</si>
  <si>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</si>
  <si>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</si>
  <si>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</si>
  <si>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</si>
  <si>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</si>
  <si>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</si>
  <si>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</si>
  <si>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</si>
  <si>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</si>
  <si>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</si>
  <si>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</si>
  <si>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</si>
  <si>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</si>
  <si>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</si>
  <si>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</si>
  <si>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</si>
  <si>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</si>
  <si>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</si>
  <si>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</si>
  <si>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</si>
  <si>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</si>
  <si>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</si>
  <si>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</si>
  <si>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</si>
  <si>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</si>
  <si>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</si>
  <si>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</si>
  <si>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</si>
  <si>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</si>
  <si>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</si>
  <si>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</si>
  <si>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</si>
  <si>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</si>
  <si>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</si>
  <si>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</si>
  <si>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</si>
  <si>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</si>
  <si>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</si>
  <si>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</si>
  <si>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</si>
  <si>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</si>
  <si>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</si>
  <si>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</si>
  <si>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</si>
  <si>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</si>
  <si>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</si>
  <si>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</si>
  <si>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</si>
  <si>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</si>
  <si>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</si>
  <si>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</si>
  <si>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</si>
  <si>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</si>
  <si>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</si>
  <si>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</si>
  <si>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</si>
  <si>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</si>
  <si>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</si>
  <si>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</si>
  <si>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</si>
  <si>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</si>
  <si>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</si>
  <si>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</si>
  <si>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</si>
  <si>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</si>
  <si>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</si>
  <si>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</si>
  <si>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</si>
  <si>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</si>
  <si>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</si>
  <si>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</si>
  <si>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</si>
  <si>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</si>
  <si>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</si>
  <si>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</si>
  <si>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</si>
  <si>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</si>
  <si>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</si>
  <si>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</si>
  <si>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</si>
  <si>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</si>
  <si>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</si>
  <si>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</si>
  <si>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</si>
  <si>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</si>
  <si>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</si>
  <si>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</si>
  <si>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</si>
  <si>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</si>
  <si>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</si>
  <si>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</si>
  <si>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</si>
  <si>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</si>
  <si>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</si>
  <si>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</si>
  <si>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</si>
  <si>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</si>
  <si>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</si>
  <si>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</si>
  <si>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</si>
  <si>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</si>
  <si>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</si>
  <si>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</si>
  <si>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</si>
  <si>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</si>
  <si>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</si>
  <si>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</si>
  <si>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</si>
  <si>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</si>
  <si>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</si>
  <si>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</si>
  <si>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</si>
  <si>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</si>
  <si>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</si>
  <si>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</si>
  <si>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</si>
  <si>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</si>
  <si>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</si>
  <si>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</si>
  <si>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</si>
  <si>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</si>
  <si>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</si>
  <si>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</si>
  <si>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</si>
  <si>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</si>
  <si>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</si>
  <si>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</si>
  <si>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</si>
  <si>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</si>
  <si>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</si>
  <si>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</si>
  <si>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</si>
  <si>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</si>
  <si>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</si>
  <si>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</si>
  <si>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</si>
  <si>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</si>
  <si>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</si>
  <si>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</si>
  <si>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</si>
  <si>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</si>
  <si>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</si>
  <si>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</si>
  <si>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</si>
  <si>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</si>
  <si>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</si>
  <si>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</si>
  <si>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</si>
  <si>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</si>
  <si>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</si>
  <si>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</si>
  <si>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</si>
  <si>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</si>
  <si>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</si>
  <si>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</si>
  <si>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</si>
  <si>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</si>
  <si>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</si>
  <si>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</si>
  <si>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</si>
  <si>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</si>
  <si>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</si>
  <si>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</si>
  <si>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</si>
  <si>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</si>
  <si>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</si>
  <si>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</si>
  <si>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</si>
  <si>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</si>
  <si>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</si>
  <si>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</si>
  <si>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</si>
  <si>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</si>
  <si>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</si>
  <si>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</si>
  <si>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</si>
  <si>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</si>
  <si>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</si>
  <si>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</si>
  <si>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</si>
  <si>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</si>
  <si>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</si>
  <si>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</si>
  <si>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</si>
  <si>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</si>
  <si>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</si>
  <si>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</si>
  <si>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</si>
  <si>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</si>
  <si>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</si>
  <si>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</si>
  <si>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</si>
  <si>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</si>
  <si>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</si>
  <si>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</si>
  <si>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</si>
  <si>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</si>
  <si>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</si>
  <si>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</si>
  <si>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</si>
  <si>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</si>
  <si>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</si>
  <si>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</si>
  <si>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</si>
  <si>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</si>
  <si>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</si>
  <si>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</si>
  <si>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</si>
  <si>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</si>
  <si>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</si>
  <si>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</si>
  <si>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</si>
  <si>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</si>
  <si>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</si>
  <si>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</si>
  <si>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</si>
  <si>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</si>
  <si>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</si>
  <si>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</si>
  <si>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</si>
  <si>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</si>
  <si>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</si>
  <si>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</si>
  <si>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</si>
  <si>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</si>
  <si>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</si>
  <si>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</si>
  <si>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</si>
  <si>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</si>
  <si>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</si>
  <si>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</si>
  <si>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</si>
  <si>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</si>
  <si>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</si>
  <si>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</si>
  <si>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</si>
  <si>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</si>
  <si>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</si>
  <si>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</si>
  <si>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</si>
  <si>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</si>
  <si>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</si>
  <si>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</si>
  <si>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</si>
  <si>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</si>
  <si>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</si>
  <si>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</si>
  <si>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</si>
  <si>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</si>
  <si>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</si>
  <si>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</si>
  <si>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</si>
  <si>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</si>
  <si>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</si>
  <si>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</si>
  <si>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</si>
  <si>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</si>
  <si>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</si>
  <si>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</si>
  <si>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</si>
  <si>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</si>
  <si>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</si>
  <si>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</si>
  <si>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</si>
  <si>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</si>
  <si>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</si>
  <si>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</si>
  <si>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</si>
  <si>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</si>
  <si>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</si>
  <si>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</si>
  <si>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</si>
  <si>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</si>
  <si>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</si>
  <si>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</si>
  <si>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</si>
  <si>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</si>
  <si>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</si>
  <si>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</si>
  <si>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</si>
  <si>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</si>
  <si>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</si>
  <si>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</si>
  <si>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</si>
  <si>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</si>
  <si>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</si>
  <si>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</si>
  <si>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</si>
  <si>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</si>
  <si>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</si>
  <si>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</si>
  <si>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</si>
  <si>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</si>
  <si>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</si>
  <si>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</si>
  <si>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</si>
  <si>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</si>
  <si>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</si>
  <si>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</si>
  <si>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</si>
  <si>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</si>
  <si>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</si>
  <si>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</si>
  <si>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</si>
  <si>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</si>
  <si>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</si>
  <si>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</si>
  <si>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</si>
  <si>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</si>
  <si>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</si>
  <si>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</si>
  <si>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</si>
  <si>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</si>
  <si>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</si>
  <si>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</si>
  <si>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</si>
  <si>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</si>
  <si>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</si>
  <si>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</si>
  <si>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</si>
  <si>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</si>
  <si>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</si>
  <si>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</si>
  <si>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</si>
  <si>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</si>
  <si>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</si>
  <si>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</si>
  <si>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</si>
  <si>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</si>
  <si>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</si>
  <si>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</si>
  <si>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</si>
  <si>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</si>
  <si>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</si>
  <si>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</si>
  <si>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</si>
  <si>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</si>
  <si>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</si>
  <si>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</si>
  <si>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</si>
  <si>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</si>
  <si>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</si>
  <si>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</si>
  <si>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</si>
  <si>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</si>
  <si>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</si>
  <si>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</si>
  <si>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</si>
  <si>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</si>
  <si>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</si>
  <si>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</si>
  <si>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</si>
  <si>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</si>
  <si>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</si>
  <si>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</si>
  <si>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</si>
  <si>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</si>
  <si>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</si>
  <si>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</si>
  <si>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</si>
  <si>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</si>
  <si>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</si>
  <si>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</si>
  <si>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</si>
  <si>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</si>
  <si>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</si>
  <si>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</si>
  <si>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</si>
  <si>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</si>
  <si>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</si>
  <si>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</si>
  <si>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</si>
  <si>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</si>
  <si>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</si>
  <si>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</si>
  <si>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</si>
  <si>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</si>
  <si>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</si>
  <si>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</si>
  <si>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</si>
  <si>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</si>
  <si>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</si>
  <si>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</si>
  <si>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</si>
  <si>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</si>
  <si>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</si>
  <si>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</si>
  <si>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</si>
  <si>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</si>
  <si>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</si>
  <si>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</si>
  <si>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</si>
  <si>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</si>
  <si>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</si>
  <si>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</si>
  <si>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</si>
  <si>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</si>
  <si>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</si>
  <si>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</si>
  <si>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</si>
  <si>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</si>
  <si>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</si>
  <si>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</si>
  <si>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</si>
  <si>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</si>
  <si>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</si>
  <si>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</si>
  <si>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</si>
  <si>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</si>
  <si>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</si>
  <si>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</si>
  <si>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</si>
  <si>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</si>
  <si>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</si>
  <si>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</si>
  <si>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</si>
  <si>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</si>
  <si>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</si>
  <si>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</si>
  <si>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</si>
  <si>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</si>
  <si>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</si>
  <si>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</si>
  <si>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</si>
  <si>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</si>
  <si>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</si>
  <si>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</si>
  <si>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</si>
  <si>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</si>
  <si>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</si>
  <si>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</si>
  <si>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</si>
  <si>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</si>
  <si>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</si>
  <si>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</si>
  <si>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</si>
  <si>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</si>
  <si>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</si>
  <si>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</si>
  <si>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</si>
  <si>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</si>
  <si>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</si>
  <si>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</si>
  <si>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</si>
  <si>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</si>
  <si>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</si>
  <si>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</si>
  <si>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</si>
  <si>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</si>
  <si>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</si>
  <si>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</si>
  <si>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</si>
  <si>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</si>
  <si>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</si>
  <si>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</si>
  <si>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</si>
  <si>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</si>
  <si>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</si>
  <si>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</si>
  <si>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</si>
  <si>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</si>
  <si>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</si>
  <si>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</si>
  <si>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</si>
  <si>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</si>
  <si>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</si>
  <si>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</si>
  <si>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</si>
  <si>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</si>
  <si>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</si>
  <si>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</si>
  <si>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</si>
  <si>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</si>
  <si>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</si>
  <si>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</si>
  <si>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</si>
  <si>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</si>
  <si>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</si>
  <si>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</si>
  <si>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</si>
  <si>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</si>
  <si>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</si>
  <si>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</si>
  <si>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</si>
  <si>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</si>
  <si>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</si>
  <si>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</si>
  <si>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</si>
  <si>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</si>
  <si>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</si>
  <si>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</si>
  <si>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</si>
  <si>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</si>
  <si>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</si>
  <si>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</si>
  <si>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</si>
  <si>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</si>
  <si>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</si>
  <si>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</si>
  <si>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</si>
  <si>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</si>
  <si>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</si>
  <si>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</si>
  <si>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</si>
  <si>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</si>
  <si>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</si>
  <si>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</si>
  <si>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</si>
  <si>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</si>
  <si>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</si>
  <si>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</si>
  <si>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</si>
  <si>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</si>
  <si>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</si>
  <si>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</si>
  <si>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</si>
  <si>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</si>
  <si>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</si>
  <si>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</si>
  <si>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</si>
  <si>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</si>
  <si>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</si>
  <si>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</si>
  <si>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</si>
  <si>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</si>
  <si>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</si>
  <si>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</si>
  <si>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</si>
  <si>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</si>
  <si>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</si>
  <si>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</si>
  <si>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</si>
  <si>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</si>
  <si>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</si>
  <si>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</si>
  <si>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</si>
  <si>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</si>
  <si>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</si>
  <si>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</si>
  <si>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</si>
  <si>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</si>
  <si>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</si>
  <si>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</si>
  <si>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</si>
  <si>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</si>
  <si>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</si>
  <si>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</si>
  <si>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</si>
  <si>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</si>
  <si>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</si>
  <si>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</si>
  <si>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</si>
  <si>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</si>
  <si>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</si>
  <si>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</si>
  <si>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</si>
  <si>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</si>
  <si>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</si>
  <si>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</si>
  <si>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</si>
  <si>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</si>
  <si>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</si>
  <si>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</si>
  <si>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</si>
  <si>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</si>
  <si>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</si>
  <si>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</si>
  <si>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</si>
  <si>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</si>
  <si>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</si>
  <si>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</si>
  <si>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</si>
  <si>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</si>
  <si>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</si>
  <si>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</si>
  <si>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</si>
  <si>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</si>
  <si>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</si>
  <si>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</si>
  <si>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</si>
  <si>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</si>
  <si>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</si>
  <si>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</si>
  <si>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</si>
  <si>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</si>
  <si>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</si>
  <si>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</si>
  <si>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</si>
  <si>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</si>
  <si>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</si>
  <si>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</si>
  <si>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</si>
  <si>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</si>
  <si>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</si>
  <si>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</si>
  <si>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</si>
  <si>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</si>
  <si>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</si>
  <si>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</si>
  <si>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</si>
  <si>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</si>
  <si>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</si>
  <si>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</si>
  <si>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</si>
  <si>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</si>
  <si>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</si>
  <si>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</si>
  <si>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</si>
  <si>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</si>
  <si>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</si>
  <si>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</si>
  <si>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</si>
  <si>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</si>
  <si>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</si>
  <si>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</si>
  <si>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</si>
  <si>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</si>
  <si>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</si>
  <si>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</si>
  <si>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</si>
  <si>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</si>
  <si>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</si>
  <si>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</si>
  <si>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</si>
  <si>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</si>
  <si>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</si>
  <si>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</si>
  <si>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</si>
  <si>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</si>
  <si>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</si>
  <si>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</si>
  <si>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</si>
  <si>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</si>
  <si>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</si>
  <si>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</si>
  <si>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</si>
  <si>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</si>
  <si>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</si>
  <si>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</si>
  <si>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</si>
  <si>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</si>
  <si>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</si>
  <si>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</si>
  <si>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</si>
  <si>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</si>
  <si>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</si>
  <si>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</si>
  <si>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</si>
  <si>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</si>
  <si>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</si>
  <si>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</si>
  <si>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</si>
  <si>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</si>
  <si>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</si>
  <si>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Failed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</si>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</sst>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[$$-409]* #,##0_);_([$$-409]* \(#,##0\);_([$$-409]* &quot;-&quot;??_);_(@_)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44" fontId="0" fillId="0" borderId="0" xfId="1" applyFont="1"/>
    <xf numFmtId="166" fontId="0" fillId="0" borderId="0" xfId="1" applyNumberFormat="1" applyFont="1"/>
    <xf numFmtId="0" fontId="0" fillId="0" borderId="0" xfId="0" applyAlignment="1">
      <alignment horizontal="center"/>
    </xf>
    <xf numFmtId="166" fontId="0" fillId="0" borderId="0" xfId="1" applyNumberFormat="1" applyFont="1" applyAlignment="1">
      <alignment horizontal="center"/>
    </xf>
  </cellXfs>
  <cellStyles count="2">
    <cellStyle name="Currency" xfId="1" builtinId="4"/>
    <cellStyle name="Normal" xfId="0" builtinId="0"/>
  </cellStyles>
  <dxfs count="5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 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20547784468117955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9A-DF41-BE91-7811A891532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DF41-BE91-7811A891532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9A-DF41-BE91-7811A8915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3298864"/>
        <c:axId val="1343300512"/>
      </c:lineChart>
      <c:catAx>
        <c:axId val="1343298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300512"/>
        <c:crosses val="autoZero"/>
        <c:auto val="1"/>
        <c:lblAlgn val="ctr"/>
        <c:lblOffset val="100"/>
        <c:noMultiLvlLbl val="0"/>
      </c:catAx>
      <c:valAx>
        <c:axId val="134330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29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 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AF-FC43-86EE-5FCD397F2AD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FAF-FC43-86EE-5FCD397F2AD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FAF-FC43-86EE-5FCD397F2AD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FAF-FC43-86EE-5FCD397F2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3263440"/>
        <c:axId val="193324928"/>
      </c:barChart>
      <c:catAx>
        <c:axId val="19326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24928"/>
        <c:crosses val="autoZero"/>
        <c:auto val="1"/>
        <c:lblAlgn val="ctr"/>
        <c:lblOffset val="100"/>
        <c:noMultiLvlLbl val="0"/>
      </c:catAx>
      <c:valAx>
        <c:axId val="19332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6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 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AF-7640-8347-DDBBA504904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2AF-7640-8347-DDBBA504904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2AF-7640-8347-DDBBA504904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2AF-7640-8347-DDBBA5049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688047"/>
        <c:axId val="1850108367"/>
      </c:lineChart>
      <c:catAx>
        <c:axId val="185068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108367"/>
        <c:crosses val="autoZero"/>
        <c:auto val="1"/>
        <c:lblAlgn val="ctr"/>
        <c:lblOffset val="100"/>
        <c:noMultiLvlLbl val="0"/>
      </c:catAx>
      <c:valAx>
        <c:axId val="18501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68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 _Challenge.xlsx]Subcategory Statistics!PivotTable4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D1-8A42-8D12-DE80328837D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FD1-8A42-8D12-DE80328837D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FD1-8A42-8D12-DE8032883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8565024"/>
        <c:axId val="142090256"/>
      </c:barChart>
      <c:catAx>
        <c:axId val="13856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90256"/>
        <c:crosses val="autoZero"/>
        <c:auto val="1"/>
        <c:lblAlgn val="ctr"/>
        <c:lblOffset val="100"/>
        <c:noMultiLvlLbl val="0"/>
      </c:catAx>
      <c:valAx>
        <c:axId val="14209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6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Campaign Outcomes by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42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AF-5241-A745-6B4E829027F2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58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AF-5241-A745-6B4E829027F2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AF-5241-A745-6B4E82902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522752"/>
        <c:axId val="329035632"/>
      </c:lineChart>
      <c:catAx>
        <c:axId val="328522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Goal</a:t>
                </a:r>
                <a:r>
                  <a:rPr lang="en-US" baseline="0"/>
                  <a:t> Amount Ranges ($USD)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035632"/>
        <c:crosses val="autoZero"/>
        <c:auto val="1"/>
        <c:lblAlgn val="ctr"/>
        <c:lblOffset val="100"/>
        <c:noMultiLvlLbl val="0"/>
      </c:catAx>
      <c:valAx>
        <c:axId val="32903563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52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3</xdr:row>
      <xdr:rowOff>63500</xdr:rowOff>
    </xdr:from>
    <xdr:to>
      <xdr:col>12</xdr:col>
      <xdr:colOff>762000</xdr:colOff>
      <xdr:row>20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76B6EE-99C7-C440-80C6-5744571E0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666750</xdr:colOff>
      <xdr:row>4</xdr:row>
      <xdr:rowOff>12700</xdr:rowOff>
    </xdr:from>
    <xdr:to>
      <xdr:col>14</xdr:col>
      <xdr:colOff>482600</xdr:colOff>
      <xdr:row>19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198FE8-0D40-924E-B94E-58E3D102E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673100</xdr:colOff>
      <xdr:row>2</xdr:row>
      <xdr:rowOff>12700</xdr:rowOff>
    </xdr:from>
    <xdr:to>
      <xdr:col>12</xdr:col>
      <xdr:colOff>584200</xdr:colOff>
      <xdr:row>17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7830D0-0AD3-2641-AC40-022430D09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11</xdr:row>
      <xdr:rowOff>25400</xdr:rowOff>
    </xdr:from>
    <xdr:to>
      <xdr:col>15</xdr:col>
      <xdr:colOff>127000</xdr:colOff>
      <xdr:row>31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551DAB-537E-4343-8741-4CD36AE226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742950</xdr:colOff>
      <xdr:row>1</xdr:row>
      <xdr:rowOff>101600</xdr:rowOff>
    </xdr:from>
    <xdr:to>
      <xdr:col>17</xdr:col>
      <xdr:colOff>215900</xdr:colOff>
      <xdr:row>20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351295-CD50-2B42-BE77-30595DC49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Gomoll" refreshedDate="44606.356825694442" createdVersion="7" refreshedVersion="7" minRefreshableVersion="3" recordCount="4114" xr:uid="{1262C335-3EF6-D94C-8933-C7B23A74D2A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Gomoll" refreshedDate="44606.375489814818" createdVersion="7" refreshedVersion="7" minRefreshableVersion="3" recordCount="4114" xr:uid="{8DCA0642-5423-0246-B932-5659A988CB2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Gomoll" refreshedDate="44608.441807754629" createdVersion="7" refreshedVersion="7" minRefreshableVersion="3" recordCount="4114" xr:uid="{DE0DD9FC-FA6B-F74C-9E06-60CDA101254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2C745E-FEC4-3945-BFA4-7A033C063DB9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6FECBD-2D87-D14C-80C0-FBA43968E5D1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85D5D4-5598-9248-A5CB-1373DD537B7F}" name="PivotTable5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EED2A0-6DAA-2E41-87F2-B321C04D8E4B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48D48-A45E-2C43-9D37-E0342666676E}">
  <dimension ref="A1:E18"/>
  <sheetViews>
    <sheetView tabSelected="1" workbookViewId="0">
      <selection activeCell="H25" sqref="H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8397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P1" zoomScale="113" zoomScaleNormal="113" workbookViewId="0">
      <pane ySplit="1" topLeftCell="A529" activePane="bottomLeft" state="frozen"/>
      <selection activeCell="H1" sqref="H1"/>
      <selection pane="bottomLeft" activeCell="C535" sqref="A535:XFD535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  <col min="22" max="22" width="21" bestFit="1" customWidth="1"/>
  </cols>
  <sheetData>
    <row r="1" spans="1:22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8397</v>
      </c>
      <c r="V1" s="1"/>
    </row>
    <row r="2" spans="1:22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2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>YEAR(S3)</f>
        <v>2017</v>
      </c>
    </row>
    <row r="4" spans="1:22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>YEAR(S4)</f>
        <v>2016</v>
      </c>
    </row>
    <row r="5" spans="1:22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ref="U5:U68" si="4">YEAR(S5)</f>
        <v>2014</v>
      </c>
    </row>
    <row r="6" spans="1:22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2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2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2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2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2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2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2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2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2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2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si="4"/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4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ref="U69:U132" si="9">YEAR(S69)</f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si="9"/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9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ref="U133:U196" si="14">YEAR(S133)</f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si="14"/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4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ref="U197:U260" si="19">YEAR(S197)</f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si="19"/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19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ref="U261:U324" si="24">YEAR(S261)</f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si="24"/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4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ref="U325:U388" si="29">YEAR(S325)</f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si="29"/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29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ref="U389:U452" si="34">YEAR(S389)</f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si="34"/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4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ref="U453:U516" si="39">YEAR(S453)</f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si="39"/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39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ref="U517:U580" si="44">YEAR(S517)</f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si="44"/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4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ref="U581:U644" si="49">YEAR(S581)</f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si="49"/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49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ref="U645:U708" si="54">YEAR(S645)</f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si="54"/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4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ref="U709:U772" si="59">YEAR(S709)</f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si="59"/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59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ref="U773:U836" si="64">YEAR(S773)</f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si="64"/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4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ref="U837:U900" si="69">YEAR(S837)</f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si="69"/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69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ref="U901:U964" si="74">YEAR(S901)</f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si="74"/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4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ref="U965:U1028" si="79">YEAR(S965)</f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si="79"/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79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ref="U1029:U1092" si="84">YEAR(S1029)</f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si="84"/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4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ref="U1093:U1156" si="89">YEAR(S1093)</f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si="89"/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89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ref="U1157:U1220" si="94">YEAR(S1157)</f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si="94"/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4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ref="U1221:U1284" si="99">YEAR(S1221)</f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si="99"/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99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ref="U1285:U1348" si="104">YEAR(S1285)</f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si="104"/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4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ref="U1349:U1412" si="109">YEAR(S1349)</f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si="109"/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09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ref="U1413:U1476" si="114">YEAR(S1413)</f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si="114"/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4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ref="U1477:U1540" si="119">YEAR(S1477)</f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si="119"/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19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ref="U1541:U1604" si="124">YEAR(S1541)</f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si="124"/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4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ref="U1605:U1668" si="129">YEAR(S1605)</f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si="129"/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29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ref="U1669:U1732" si="134">YEAR(S1669)</f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si="134"/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4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ref="U1733:U1796" si="139">YEAR(S1733)</f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si="139"/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39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ref="U1797:U1860" si="144">YEAR(S1797)</f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si="144"/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4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ref="U1861:U1924" si="149">YEAR(S1861)</f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si="149"/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49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ref="U1925:U1988" si="154">YEAR(S1925)</f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si="154"/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4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ref="U1989:U2052" si="159">YEAR(S1989)</f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si="159"/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59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ref="U2053:U2116" si="164">YEAR(S2053)</f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si="164"/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4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ref="U2117:U2180" si="169">YEAR(S2117)</f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si="169"/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69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ref="U2181:U2244" si="174">YEAR(S2181)</f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si="174"/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4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ref="U2245:U2308" si="179">YEAR(S2245)</f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si="179"/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79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ref="U2309:U2372" si="184">YEAR(S2309)</f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si="184"/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4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ref="U2373:U2436" si="189">YEAR(S2373)</f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si="189"/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89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ref="U2437:U2500" si="194">YEAR(S2437)</f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si="194"/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4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ref="U2501:U2564" si="199">YEAR(S2501)</f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si="199"/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199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ref="U2565:U2628" si="204">YEAR(S2565)</f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si="204"/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4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ref="U2629:U2692" si="209">YEAR(S2629)</f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si="209"/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09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ref="U2693:U2756" si="214">YEAR(S2693)</f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si="214"/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4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ref="U2757:U2820" si="219">YEAR(S2757)</f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43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si="219"/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19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ref="U2821:U2884" si="224">YEAR(S2821)</f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IFERROR(ROUND(E2844/L2844,2),0)</f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ref="P2845:P2908" si="225">IFERROR(ROUND(E2845/L2845,2),0)</f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5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5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5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5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5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5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5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5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5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5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5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5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5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5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5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5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5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5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5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5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5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5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5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5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5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5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5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5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5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5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5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5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5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5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5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5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5"/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si="224"/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4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ref="U2885:U2948" si="229">YEAR(S2885)</f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ref="P2909:P2972" si="230">IFERROR(ROUND(E2909/L2909,2),0)</f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30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30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30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30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30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30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30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30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30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30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30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30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30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30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30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30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30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30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30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30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30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30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30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30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30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0"/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si="229"/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29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ref="U2949:U3012" si="234">YEAR(S2949)</f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ref="P2973:P3036" si="235">IFERROR(ROUND(E2973/L2973,2),0)</f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5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5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5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5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5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5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5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5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5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5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5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5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5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5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5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5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5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5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5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5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5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5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5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5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5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5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5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5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5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5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5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5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si="234"/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4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ref="U3013:U3076" si="239">YEAR(S3013)</f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ref="P3037:P3100" si="240">IFERROR(ROUND(E3037/L3037,2),0)</f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40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40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40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40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40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40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40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40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40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40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40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40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40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40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40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40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40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40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40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40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40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40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40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40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40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40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40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40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40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40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40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40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si="239"/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39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ref="U3077:U3140" si="244">YEAR(S3077)</f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ref="P3101:P3164" si="245">IFERROR(ROUND(E3101/L3101,2),0)</f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5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5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5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5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5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5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5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5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5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5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5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5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5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5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5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5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5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5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5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5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5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5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5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5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5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5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5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5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5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5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5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5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si="244"/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4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ref="U3141:U3204" si="249">YEAR(S3141)</f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ref="P3165:P3228" si="250">IFERROR(ROUND(E3165/L3165,2),0)</f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50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50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50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50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50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50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50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50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50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50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50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50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50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50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50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50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50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50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50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50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50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50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50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50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50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50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50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50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50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50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50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50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si="249"/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49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ref="U3205:U3268" si="254">YEAR(S3205)</f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ref="P3229:P3292" si="255">IFERROR(ROUND(E3229/L3229,2),0)</f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5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5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5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5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5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5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5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5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5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5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5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5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5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5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5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5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5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5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5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5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5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5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5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5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5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5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5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5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5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5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5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si="254"/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4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ref="U3269:U3332" si="259">YEAR(S3269)</f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ref="P3293:P3356" si="260">IFERROR(ROUND(E3293/L3293,2),0)</f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60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60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60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60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60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60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60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60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60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60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60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60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60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60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60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60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60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60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60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60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60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60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60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60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60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60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60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60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60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60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60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si="259"/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59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ref="U3333:U3396" si="264">YEAR(S3333)</f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ref="P3357:P3420" si="265">IFERROR(ROUND(E3357/L3357,2),0)</f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5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5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5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5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5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5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5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5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5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5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5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5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5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5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5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5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5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5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5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5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5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5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5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5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5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5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5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5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5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5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5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si="264"/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4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ref="U3397:U3460" si="269">YEAR(S3397)</f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ref="P3421:P3484" si="270">IFERROR(ROUND(E3421/L3421,2),0)</f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70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70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70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70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70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70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70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70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70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70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70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70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70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70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70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70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70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70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70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70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70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70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70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70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70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70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70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70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70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70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70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si="269"/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69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ref="U3461:U3524" si="274">YEAR(S3461)</f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ref="P3485:P3548" si="275">IFERROR(ROUND(E3485/L3485,2),0)</f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5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5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5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5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5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5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5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5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5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5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5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5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5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5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5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5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5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5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5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5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5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5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5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5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5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5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5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5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5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5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5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si="274"/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4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ref="U3525:U3588" si="279">YEAR(S3525)</f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ref="P3549:P3612" si="280">IFERROR(ROUND(E3549/L3549,2),0)</f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80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80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80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80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80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80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80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80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80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80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80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80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80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80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80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80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80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80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80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80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80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80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80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80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80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80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80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80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80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80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80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si="279"/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79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ref="U3589:U3652" si="284">YEAR(S3589)</f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ref="P3613:P3676" si="285">IFERROR(ROUND(E3613/L3613,2),0)</f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5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5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5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5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5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5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5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5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5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5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5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5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5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5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5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5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5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5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5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5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5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5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5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5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5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5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5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5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5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5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5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5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si="284"/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4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ref="U3653:U3716" si="289">YEAR(S3653)</f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ref="P3677:P3740" si="290">IFERROR(ROUND(E3677/L3677,2),0)</f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90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90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90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90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90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90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90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90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90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90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90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90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90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90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90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90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90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90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90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90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90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90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90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90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90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90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90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90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90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90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90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si="289"/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89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ref="U3717:U3780" si="294">YEAR(S3717)</f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ref="P3741:P3804" si="295">IFERROR(ROUND(E3741/L3741,2),0)</f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5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5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5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5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5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5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5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5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5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5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5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5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5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5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5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5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5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5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5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5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5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5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5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5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5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5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5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5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5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si="294"/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4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ref="U3781:U3844" si="299">YEAR(S3781)</f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ref="P3805:P3868" si="300">IFERROR(ROUND(E3805/L3805,2),0)</f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300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300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300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300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300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300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300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300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300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300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300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300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300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300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300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300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300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300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300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300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300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300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300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300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300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300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300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300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300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300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300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si="299"/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299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ref="U3845:U3908" si="304">YEAR(S3845)</f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ref="P3869:P3932" si="305">IFERROR(ROUND(E3869/L3869,2),0)</f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5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5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5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5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5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5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5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5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5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5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5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5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5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5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5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5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5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5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5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5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5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5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5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5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5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5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5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5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5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5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5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si="304"/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4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ref="U3909:U3972" si="309">YEAR(S3909)</f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ref="P3933:P3996" si="310">IFERROR(ROUND(E3933/L3933,2),0)</f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10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10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10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10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10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10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10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10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10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10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10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10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10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10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10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10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10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10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10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10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10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10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10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10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10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10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10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10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10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10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10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10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si="309"/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09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ref="U3973:U4036" si="314">YEAR(S3973)</f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ref="P3997:P4060" si="315">IFERROR(ROUND(E3997/L3997,2),0)</f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5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5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5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5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5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5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5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5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5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5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5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5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5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5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5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5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5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5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5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5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5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5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5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5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5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5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5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5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5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5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5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si="314"/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4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ref="U4037:U4100" si="319">YEAR(S4037)</f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ref="P4061:P4115" si="320">IFERROR(ROUND(E4061/L4061,2),0)</f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20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20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20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20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20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20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20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20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20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20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20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20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20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20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20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20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20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20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20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20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20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20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20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20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20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20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20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20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20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20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20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si="319"/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19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ref="U4101:U4115" si="324">YEAR(S4101)</f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V1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0552A-0322-C741-B17A-A2558FDEAF0C}">
  <dimension ref="A1:C29"/>
  <sheetViews>
    <sheetView workbookViewId="0">
      <selection activeCell="C2" sqref="C2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8387</v>
      </c>
      <c r="C1" t="s">
        <v>8388</v>
      </c>
    </row>
    <row r="2" spans="1:3" x14ac:dyDescent="0.2">
      <c r="A2" t="s">
        <v>8383</v>
      </c>
      <c r="B2" s="19" t="e">
        <f>AVERAGE(#REF!)</f>
        <v>#REF!</v>
      </c>
      <c r="C2" s="19" t="e">
        <f>AVERAGE(#REF!)</f>
        <v>#REF!</v>
      </c>
    </row>
    <row r="3" spans="1:3" x14ac:dyDescent="0.2">
      <c r="A3" t="s">
        <v>8384</v>
      </c>
      <c r="B3" s="19" t="e">
        <f>MEDIAN(#REF!)</f>
        <v>#REF!</v>
      </c>
      <c r="C3" s="19" t="e">
        <f>MEDIAN(#REF!)</f>
        <v>#REF!</v>
      </c>
    </row>
    <row r="4" spans="1:3" x14ac:dyDescent="0.2">
      <c r="A4" t="s">
        <v>8389</v>
      </c>
      <c r="B4" s="19" t="e">
        <f>_xlfn.STDEV.P(#REF!)</f>
        <v>#REF!</v>
      </c>
      <c r="C4" s="19" t="e">
        <f>_xlfn.STDEV.P(#REF!)</f>
        <v>#REF!</v>
      </c>
    </row>
    <row r="5" spans="1:3" x14ac:dyDescent="0.2">
      <c r="A5" t="s">
        <v>8390</v>
      </c>
      <c r="B5" s="19" t="e">
        <f>_xlfn.QUARTILE.EXC(#REF!,3)</f>
        <v>#REF!</v>
      </c>
      <c r="C5" s="19" t="e">
        <f>_xlfn.QUARTILE.EXC(#REF!,3)</f>
        <v>#REF!</v>
      </c>
    </row>
    <row r="6" spans="1:3" x14ac:dyDescent="0.2">
      <c r="A6" t="s">
        <v>8391</v>
      </c>
      <c r="B6" s="19" t="e">
        <f>_xlfn.QUARTILE.EXC(#REF!,1)</f>
        <v>#REF!</v>
      </c>
      <c r="C6" s="19" t="e">
        <f>_xlfn.QUARTILE.EXC(#REF!,1)</f>
        <v>#REF!</v>
      </c>
    </row>
    <row r="7" spans="1:3" x14ac:dyDescent="0.2">
      <c r="A7" t="s">
        <v>8392</v>
      </c>
      <c r="B7" s="19" t="e">
        <f>B5-B6</f>
        <v>#REF!</v>
      </c>
      <c r="C7" s="19" t="e">
        <f>C5-C6</f>
        <v>#REF!</v>
      </c>
    </row>
    <row r="8" spans="1:3" x14ac:dyDescent="0.2">
      <c r="B8" s="19"/>
      <c r="C8" s="19"/>
    </row>
    <row r="9" spans="1:3" x14ac:dyDescent="0.2">
      <c r="B9" s="19"/>
      <c r="C9" s="19"/>
    </row>
    <row r="10" spans="1:3" x14ac:dyDescent="0.2">
      <c r="A10" t="s">
        <v>8385</v>
      </c>
      <c r="B10" s="19" t="e">
        <f>AVERAGE(#REF!)</f>
        <v>#REF!</v>
      </c>
      <c r="C10" s="19" t="e">
        <f>AVERAGE(#REF!)</f>
        <v>#REF!</v>
      </c>
    </row>
    <row r="11" spans="1:3" x14ac:dyDescent="0.2">
      <c r="A11" t="s">
        <v>8386</v>
      </c>
      <c r="B11" s="19" t="e">
        <f>MEDIAN(#REF!)</f>
        <v>#REF!</v>
      </c>
      <c r="C11" s="19" t="e">
        <f>MEDIAN(#REF!)</f>
        <v>#REF!</v>
      </c>
    </row>
    <row r="12" spans="1:3" x14ac:dyDescent="0.2">
      <c r="A12" t="s">
        <v>8393</v>
      </c>
      <c r="B12" s="19" t="e">
        <f>_xlfn.STDEV.P(#REF!)</f>
        <v>#REF!</v>
      </c>
      <c r="C12" s="19" t="e">
        <f>_xlfn.STDEV.P(#REF!)</f>
        <v>#REF!</v>
      </c>
    </row>
    <row r="13" spans="1:3" x14ac:dyDescent="0.2">
      <c r="A13" t="s">
        <v>8394</v>
      </c>
      <c r="B13" s="19" t="e">
        <f>_xlfn.QUARTILE.EXC(#REF!,3)</f>
        <v>#REF!</v>
      </c>
      <c r="C13" s="19" t="e">
        <f>_xlfn.QUARTILE.EXC(#REF!,3)</f>
        <v>#REF!</v>
      </c>
    </row>
    <row r="14" spans="1:3" x14ac:dyDescent="0.2">
      <c r="A14" t="s">
        <v>8395</v>
      </c>
      <c r="B14" s="21" t="e">
        <f>_xlfn.QUARTILE.EXC(#REF!,1)</f>
        <v>#REF!</v>
      </c>
      <c r="C14" s="21" t="e">
        <f>_xlfn.QUARTILE.EXC(#REF!,1)</f>
        <v>#REF!</v>
      </c>
    </row>
    <row r="15" spans="1:3" x14ac:dyDescent="0.2">
      <c r="A15" t="s">
        <v>8396</v>
      </c>
      <c r="B15" s="19" t="e">
        <f>B13-B14</f>
        <v>#REF!</v>
      </c>
      <c r="C15" s="19" t="e">
        <f>C13-C14</f>
        <v>#REF!</v>
      </c>
    </row>
    <row r="16" spans="1:3" x14ac:dyDescent="0.2">
      <c r="B16" s="19"/>
      <c r="C16" s="19"/>
    </row>
    <row r="17" spans="1:3" x14ac:dyDescent="0.2">
      <c r="B17" s="19"/>
      <c r="C17" s="19"/>
    </row>
    <row r="18" spans="1:3" x14ac:dyDescent="0.2">
      <c r="B18" s="19"/>
      <c r="C18" s="19"/>
    </row>
    <row r="19" spans="1:3" x14ac:dyDescent="0.2">
      <c r="B19" s="19"/>
      <c r="C19" s="19"/>
    </row>
    <row r="20" spans="1:3" x14ac:dyDescent="0.2">
      <c r="B20" s="19"/>
      <c r="C20" s="19"/>
    </row>
    <row r="23" spans="1:3" x14ac:dyDescent="0.2">
      <c r="A23" s="20"/>
      <c r="B23" s="20"/>
      <c r="C23" s="20"/>
    </row>
    <row r="25" spans="1:3" x14ac:dyDescent="0.2">
      <c r="B25" s="19"/>
      <c r="C25" s="19"/>
    </row>
    <row r="26" spans="1:3" x14ac:dyDescent="0.2">
      <c r="B26" s="19"/>
      <c r="C26" s="19"/>
    </row>
    <row r="27" spans="1:3" x14ac:dyDescent="0.2">
      <c r="B27" s="19"/>
      <c r="C27" s="19"/>
    </row>
    <row r="28" spans="1:3" x14ac:dyDescent="0.2">
      <c r="B28" s="19"/>
      <c r="C28" s="19"/>
    </row>
    <row r="29" spans="1:3" x14ac:dyDescent="0.2">
      <c r="B29" s="19"/>
      <c r="C29" s="1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76ECF-0375-3F46-90FE-7677C6DAE104}">
  <dimension ref="A1:F6"/>
  <sheetViews>
    <sheetView workbookViewId="0">
      <selection activeCell="C8" sqref="C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A2E0E-20BD-5846-A495-8F4691CAEC30}">
  <dimension ref="A1:F17"/>
  <sheetViews>
    <sheetView workbookViewId="0">
      <selection activeCell="N5" sqref="N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8364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8373</v>
      </c>
      <c r="B5" s="14">
        <v>34</v>
      </c>
      <c r="C5" s="14">
        <v>149</v>
      </c>
      <c r="D5" s="14">
        <v>2</v>
      </c>
      <c r="E5" s="14">
        <v>182</v>
      </c>
      <c r="F5" s="14">
        <v>367</v>
      </c>
    </row>
    <row r="6" spans="1:6" x14ac:dyDescent="0.2">
      <c r="A6" s="16" t="s">
        <v>8374</v>
      </c>
      <c r="B6" s="14">
        <v>27</v>
      </c>
      <c r="C6" s="14">
        <v>106</v>
      </c>
      <c r="D6" s="14">
        <v>18</v>
      </c>
      <c r="E6" s="14">
        <v>202</v>
      </c>
      <c r="F6" s="14">
        <v>353</v>
      </c>
    </row>
    <row r="7" spans="1:6" x14ac:dyDescent="0.2">
      <c r="A7" s="16" t="s">
        <v>8375</v>
      </c>
      <c r="B7" s="14">
        <v>28</v>
      </c>
      <c r="C7" s="14">
        <v>108</v>
      </c>
      <c r="D7" s="14">
        <v>30</v>
      </c>
      <c r="E7" s="14">
        <v>180</v>
      </c>
      <c r="F7" s="14">
        <v>346</v>
      </c>
    </row>
    <row r="8" spans="1:6" x14ac:dyDescent="0.2">
      <c r="A8" s="16" t="s">
        <v>8376</v>
      </c>
      <c r="B8" s="14">
        <v>27</v>
      </c>
      <c r="C8" s="14">
        <v>102</v>
      </c>
      <c r="D8" s="14"/>
      <c r="E8" s="14">
        <v>192</v>
      </c>
      <c r="F8" s="14">
        <v>321</v>
      </c>
    </row>
    <row r="9" spans="1:6" x14ac:dyDescent="0.2">
      <c r="A9" s="16" t="s">
        <v>8367</v>
      </c>
      <c r="B9" s="14">
        <v>26</v>
      </c>
      <c r="C9" s="14">
        <v>126</v>
      </c>
      <c r="D9" s="14"/>
      <c r="E9" s="14">
        <v>234</v>
      </c>
      <c r="F9" s="14">
        <v>386</v>
      </c>
    </row>
    <row r="10" spans="1:6" x14ac:dyDescent="0.2">
      <c r="A10" s="16" t="s">
        <v>8377</v>
      </c>
      <c r="B10" s="14">
        <v>27</v>
      </c>
      <c r="C10" s="14">
        <v>147</v>
      </c>
      <c r="D10" s="14"/>
      <c r="E10" s="14">
        <v>211</v>
      </c>
      <c r="F10" s="14">
        <v>385</v>
      </c>
    </row>
    <row r="11" spans="1:6" x14ac:dyDescent="0.2">
      <c r="A11" s="16" t="s">
        <v>8368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 x14ac:dyDescent="0.2">
      <c r="A12" s="16" t="s">
        <v>8369</v>
      </c>
      <c r="B12" s="14">
        <v>33</v>
      </c>
      <c r="C12" s="14">
        <v>134</v>
      </c>
      <c r="D12" s="14"/>
      <c r="E12" s="14">
        <v>166</v>
      </c>
      <c r="F12" s="14">
        <v>333</v>
      </c>
    </row>
    <row r="13" spans="1:6" x14ac:dyDescent="0.2">
      <c r="A13" s="16" t="s">
        <v>8370</v>
      </c>
      <c r="B13" s="14">
        <v>24</v>
      </c>
      <c r="C13" s="14">
        <v>127</v>
      </c>
      <c r="D13" s="14"/>
      <c r="E13" s="14">
        <v>147</v>
      </c>
      <c r="F13" s="14">
        <v>298</v>
      </c>
    </row>
    <row r="14" spans="1:6" x14ac:dyDescent="0.2">
      <c r="A14" s="16" t="s">
        <v>8371</v>
      </c>
      <c r="B14" s="14">
        <v>20</v>
      </c>
      <c r="C14" s="14">
        <v>149</v>
      </c>
      <c r="D14" s="14"/>
      <c r="E14" s="14">
        <v>183</v>
      </c>
      <c r="F14" s="14">
        <v>352</v>
      </c>
    </row>
    <row r="15" spans="1:6" x14ac:dyDescent="0.2">
      <c r="A15" s="16" t="s">
        <v>8372</v>
      </c>
      <c r="B15" s="14">
        <v>37</v>
      </c>
      <c r="C15" s="14">
        <v>114</v>
      </c>
      <c r="D15" s="14"/>
      <c r="E15" s="14">
        <v>183</v>
      </c>
      <c r="F15" s="14">
        <v>334</v>
      </c>
    </row>
    <row r="16" spans="1:6" x14ac:dyDescent="0.2">
      <c r="A16" s="16" t="s">
        <v>8378</v>
      </c>
      <c r="B16" s="14">
        <v>23</v>
      </c>
      <c r="C16" s="14">
        <v>118</v>
      </c>
      <c r="D16" s="14"/>
      <c r="E16" s="14">
        <v>111</v>
      </c>
      <c r="F16" s="14">
        <v>252</v>
      </c>
    </row>
    <row r="17" spans="1:6" x14ac:dyDescent="0.2">
      <c r="A17" s="16" t="s">
        <v>8361</v>
      </c>
      <c r="B17" s="14">
        <v>349</v>
      </c>
      <c r="C17" s="14">
        <v>1530</v>
      </c>
      <c r="D17" s="14">
        <v>50</v>
      </c>
      <c r="E17" s="14">
        <v>2185</v>
      </c>
      <c r="F17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581DA-A32B-5C49-A37B-4EFB9DA9527B}">
  <dimension ref="A1:E7"/>
  <sheetViews>
    <sheetView topLeftCell="A3" workbookViewId="0">
      <selection activeCell="B7" sqref="B7:B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009C3-3AA7-1D47-A7F0-59083AADDCA3}">
  <dimension ref="A1:F6"/>
  <sheetViews>
    <sheetView workbookViewId="0">
      <selection activeCell="F2" sqref="F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4" width="10.83203125" style="17"/>
    <col min="5" max="5" width="14.5" bestFit="1" customWidth="1"/>
    <col min="6" max="6" width="15.1640625" bestFit="1" customWidth="1"/>
  </cols>
  <sheetData>
    <row r="1" spans="1:6" x14ac:dyDescent="0.2">
      <c r="A1" t="s">
        <v>8379</v>
      </c>
      <c r="B1" t="s">
        <v>4110</v>
      </c>
      <c r="C1" s="17" t="s">
        <v>8380</v>
      </c>
      <c r="D1" s="17" t="s">
        <v>8381</v>
      </c>
      <c r="E1" t="s">
        <v>8307</v>
      </c>
      <c r="F1" t="s">
        <v>8382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3,FALSE)</f>
        <v>2000</v>
      </c>
      <c r="D2" s="17">
        <f>VLOOKUP(A2, Kickstarter!B:E, 4,FALSE)</f>
        <v>2020</v>
      </c>
      <c r="E2" s="18">
        <f>VLOOKUP(A2, Kickstarter!B:P, 15,FALSE)</f>
        <v>51.79</v>
      </c>
      <c r="F2">
        <f>VLOOKUP(A2, Kickstarter!B:L, 11,FALSE)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3,FALSE)</f>
        <v>2000</v>
      </c>
      <c r="D3" s="17">
        <f>VLOOKUP(A3, Kickstarter!B:E, 4,FALSE)</f>
        <v>2020</v>
      </c>
      <c r="E3" s="18">
        <f>VLOOKUP(A3, Kickstarter!B:P, 15,FALSE)</f>
        <v>36.07</v>
      </c>
      <c r="F3">
        <f>VLOOKUP(A3, Kickstarter!B:L, 11,FALSE)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3,FALSE)</f>
        <v>1500</v>
      </c>
      <c r="D4" s="17">
        <f>VLOOKUP(A4, Kickstarter!B:E, 4,FALSE)</f>
        <v>2576</v>
      </c>
      <c r="E4" s="18">
        <f>VLOOKUP(A4, Kickstarter!B:P, 15,FALSE)</f>
        <v>33.03</v>
      </c>
      <c r="F4">
        <f>VLOOKUP(A4, Kickstarter!B:L, 11,FALSE)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7">
        <f>VLOOKUP(A5, Kickstarter!B:E, 3,FALSE)</f>
        <v>1000</v>
      </c>
      <c r="D5" s="17">
        <f>VLOOKUP(A5, Kickstarter!B:E, 4,FALSE)</f>
        <v>1168</v>
      </c>
      <c r="E5" s="18">
        <f>VLOOKUP(A5, Kickstarter!B:P, 15,FALSE)</f>
        <v>44.92</v>
      </c>
      <c r="F5">
        <f>VLOOKUP(A5, Kickstarter!B:L, 11,FALSE)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3,FALSE)</f>
        <v>4000</v>
      </c>
      <c r="D6" s="17">
        <f>VLOOKUP(A6, Kickstarter!B:E, 4,FALSE)</f>
        <v>4137</v>
      </c>
      <c r="E6" s="18">
        <f>VLOOKUP(A6, Kickstarter!B:P, 15,FALSE)</f>
        <v>36.61</v>
      </c>
      <c r="F6">
        <f>VLOOKUP(A6, Kickstarter!B:L, 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4286F-1F43-724D-9490-DC449DD911EF}">
  <dimension ref="A1:H13"/>
  <sheetViews>
    <sheetView workbookViewId="0">
      <selection activeCell="H2" sqref="H2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1" customFormat="1" x14ac:dyDescent="0.2">
      <c r="A1" s="1" t="s">
        <v>8380</v>
      </c>
      <c r="B1" s="1" t="s">
        <v>8399</v>
      </c>
      <c r="C1" s="1" t="s">
        <v>8398</v>
      </c>
      <c r="D1" s="1" t="s">
        <v>8400</v>
      </c>
      <c r="E1" s="1" t="s">
        <v>8401</v>
      </c>
      <c r="F1" s="1" t="s">
        <v>8402</v>
      </c>
      <c r="G1" s="1" t="s">
        <v>8403</v>
      </c>
      <c r="H1" s="1" t="s">
        <v>8404</v>
      </c>
    </row>
    <row r="2" spans="1:8" x14ac:dyDescent="0.2">
      <c r="A2" t="s">
        <v>8405</v>
      </c>
      <c r="B2">
        <f>COUNTIFS(Kickstarter!$F:$F,"Successful", Kickstarter!$D:$D, "&lt;1000", Kickstarter!$R:$R, "Plays")</f>
        <v>141</v>
      </c>
      <c r="C2">
        <f>COUNTIFS(Kickstarter!$F:$F,"Failed", Kickstarter!$D:$D, "&lt;1000", Kickstarter!$R:$R, "Plays")</f>
        <v>45</v>
      </c>
      <c r="D2">
        <f>COUNTIFS(Kickstarter!$F:$F,"canceled", Kickstarter!$D:$D, "&lt;1000", Kickstarter!$R:$R, "Plays")</f>
        <v>0</v>
      </c>
      <c r="E2">
        <f>SUM(B2:D2)</f>
        <v>186</v>
      </c>
      <c r="F2">
        <f>ROUND((B2/$E2)*100,0)</f>
        <v>76</v>
      </c>
      <c r="G2">
        <f t="shared" ref="G2:H2" si="0">ROUND((C2/$E2)*100,0)</f>
        <v>24</v>
      </c>
      <c r="H2">
        <f t="shared" si="0"/>
        <v>0</v>
      </c>
    </row>
    <row r="3" spans="1:8" x14ac:dyDescent="0.2">
      <c r="A3" t="s">
        <v>8416</v>
      </c>
      <c r="B3">
        <f>COUNTIFS(Kickstarter!$F:$F,"Successful", Kickstarter!$D:$D, "&gt;=1000", Kickstarter!$D:$D, "&lt;=4999",  Kickstarter!$R:$R, "Plays")</f>
        <v>388</v>
      </c>
      <c r="C3">
        <f>COUNTIFS(Kickstarter!$F:$F,"Failed", Kickstarter!$D:$D, "&gt;=1000", Kickstarter!$D:$D, "&lt;=4999",  Kickstarter!$R:$R, "Plays")</f>
        <v>146</v>
      </c>
      <c r="D3">
        <f>COUNTIFS(Kickstarter!$F:$F,"Canceled", Kickstarter!$D:$D, "&gt;=1000", Kickstarter!$D:$D, "&lt;=4999",  Kickstarter!$R:$R, "Plays")</f>
        <v>0</v>
      </c>
      <c r="E3">
        <f t="shared" ref="E3:E13" si="1">SUM(B3:D3)</f>
        <v>534</v>
      </c>
      <c r="F3">
        <f t="shared" ref="F3:F13" si="2">ROUND((B3/$E3)*100,0)</f>
        <v>73</v>
      </c>
      <c r="G3">
        <f t="shared" ref="G3:G13" si="3">ROUND((C3/$E3)*100,0)</f>
        <v>27</v>
      </c>
      <c r="H3">
        <f t="shared" ref="H3:H13" si="4">ROUND((D3/$E3)*100,0)</f>
        <v>0</v>
      </c>
    </row>
    <row r="4" spans="1:8" x14ac:dyDescent="0.2">
      <c r="A4" t="s">
        <v>8406</v>
      </c>
      <c r="B4">
        <f>COUNTIFS(Kickstarter!$F:$F,"Successful", Kickstarter!$D:$D, "&gt;=5000", Kickstarter!$D:$D, "&lt;=9999",  Kickstarter!$R:$R, "Plays")</f>
        <v>93</v>
      </c>
      <c r="C4">
        <f>COUNTIFS(Kickstarter!$F:$F,"Failed", Kickstarter!$D:$D, "&gt;=5000", Kickstarter!$D:$D, "&lt;=9999",  Kickstarter!$R:$R, "Plays")</f>
        <v>76</v>
      </c>
      <c r="D4">
        <f>COUNTIFS(Kickstarter!$F:$F,"Canceled", Kickstarter!$D:$D, "&gt;=5000", Kickstarter!$D:$D, "&lt;=9999",  Kickstarter!$R:$R, "Plays")</f>
        <v>0</v>
      </c>
      <c r="E4">
        <f t="shared" si="1"/>
        <v>169</v>
      </c>
      <c r="F4">
        <f t="shared" si="2"/>
        <v>55</v>
      </c>
      <c r="G4">
        <f t="shared" si="3"/>
        <v>45</v>
      </c>
      <c r="H4">
        <f t="shared" si="4"/>
        <v>0</v>
      </c>
    </row>
    <row r="5" spans="1:8" x14ac:dyDescent="0.2">
      <c r="A5" t="s">
        <v>8407</v>
      </c>
      <c r="B5">
        <f>COUNTIFS(Kickstarter!$F:$F,"Successful", Kickstarter!$D:$D, "&gt;=10000", Kickstarter!$D:$D, "&lt;=14999",  Kickstarter!$R:$R, "Plays")</f>
        <v>39</v>
      </c>
      <c r="C5">
        <f>COUNTIFS(Kickstarter!$F:$F,"Failed", Kickstarter!$D:$D, "&gt;=10000", Kickstarter!$D:$D, "&lt;=14999",  Kickstarter!$R:$R, "Plays")</f>
        <v>33</v>
      </c>
      <c r="D5">
        <f>COUNTIFS(Kickstarter!$F:$F,"Canceled", Kickstarter!$D:$D, "&gt;=10000", Kickstarter!$D:$D, "&lt;=14999",  Kickstarter!$R:$R, "Plays")</f>
        <v>0</v>
      </c>
      <c r="E5">
        <f t="shared" si="1"/>
        <v>72</v>
      </c>
      <c r="F5">
        <f t="shared" si="2"/>
        <v>54</v>
      </c>
      <c r="G5">
        <f t="shared" si="3"/>
        <v>46</v>
      </c>
      <c r="H5">
        <f t="shared" si="4"/>
        <v>0</v>
      </c>
    </row>
    <row r="6" spans="1:8" x14ac:dyDescent="0.2">
      <c r="A6" t="s">
        <v>8408</v>
      </c>
      <c r="B6">
        <f>COUNTIFS(Kickstarter!$F:$F,"Successful", Kickstarter!$D:$D, "&gt;=15000", Kickstarter!$D:$D, "&lt;=19999",  Kickstarter!$R:$R, "Plays")</f>
        <v>12</v>
      </c>
      <c r="C6">
        <f>COUNTIFS(Kickstarter!$F:$F,"Failed", Kickstarter!$D:$D, "&gt;=15000", Kickstarter!$D:$D, "&lt;=19999",  Kickstarter!$R:$R, "Plays")</f>
        <v>12</v>
      </c>
      <c r="D6">
        <f>COUNTIFS(Kickstarter!$F:$F,"Canceled", Kickstarter!$D:$D, "&gt;=15000", Kickstarter!$D:$D, "&lt;=19999",  Kickstarter!$R:$R, "Plays")</f>
        <v>0</v>
      </c>
      <c r="E6">
        <f t="shared" si="1"/>
        <v>24</v>
      </c>
      <c r="F6">
        <f t="shared" si="2"/>
        <v>50</v>
      </c>
      <c r="G6">
        <f t="shared" si="3"/>
        <v>50</v>
      </c>
      <c r="H6">
        <f t="shared" si="4"/>
        <v>0</v>
      </c>
    </row>
    <row r="7" spans="1:8" x14ac:dyDescent="0.2">
      <c r="A7" t="s">
        <v>8409</v>
      </c>
      <c r="B7">
        <f>COUNTIFS(Kickstarter!$F:$F,"Successful", Kickstarter!$D:$D, "&gt;=20000", Kickstarter!$D:$D, "&lt;=44999",  Kickstarter!$R:$R, "Plays")</f>
        <v>19</v>
      </c>
      <c r="C7">
        <f>COUNTIFS(Kickstarter!$F:$F,"Failed", Kickstarter!$D:$D, "&gt;=20000", Kickstarter!$D:$D, "&lt;=44999",  Kickstarter!$R:$R, "Plays")</f>
        <v>26</v>
      </c>
      <c r="D7">
        <f>COUNTIFS(Kickstarter!$F:$F,"Canceled", Kickstarter!$D:$D, "&gt;=20000", Kickstarter!$D:$D, "&lt;=44999",  Kickstarter!$R:$R, "Plays")</f>
        <v>0</v>
      </c>
      <c r="E7">
        <f t="shared" si="1"/>
        <v>45</v>
      </c>
      <c r="F7">
        <f t="shared" si="2"/>
        <v>42</v>
      </c>
      <c r="G7">
        <f t="shared" si="3"/>
        <v>58</v>
      </c>
      <c r="H7">
        <f t="shared" si="4"/>
        <v>0</v>
      </c>
    </row>
    <row r="8" spans="1:8" x14ac:dyDescent="0.2">
      <c r="A8" t="s">
        <v>8410</v>
      </c>
      <c r="B8">
        <f>COUNTIFS(Kickstarter!$F:$F,"Successful", Kickstarter!$D:$D, "&gt;=25000", Kickstarter!$D:$D, "&lt;=29999",  Kickstarter!$R:$R, "Plays")</f>
        <v>1</v>
      </c>
      <c r="C8">
        <f>COUNTIFS(Kickstarter!$F:$F,"Failed", Kickstarter!$D:$D, "&gt;=25000", Kickstarter!$D:$D, "&lt;=29999",  Kickstarter!$R:$R, "Plays")</f>
        <v>4</v>
      </c>
      <c r="D8">
        <f>COUNTIFS(Kickstarter!$F:$F,"canceled", Kickstarter!$D:$D, "&gt;=25000", Kickstarter!$D:$D, "&lt;=29999",  Kickstarter!$R:$R, "Plays")</f>
        <v>0</v>
      </c>
      <c r="E8">
        <f t="shared" si="1"/>
        <v>5</v>
      </c>
      <c r="F8">
        <f t="shared" si="2"/>
        <v>20</v>
      </c>
      <c r="G8">
        <f t="shared" si="3"/>
        <v>80</v>
      </c>
      <c r="H8">
        <f t="shared" si="4"/>
        <v>0</v>
      </c>
    </row>
    <row r="9" spans="1:8" x14ac:dyDescent="0.2">
      <c r="A9" t="s">
        <v>8411</v>
      </c>
      <c r="B9">
        <f>COUNTIFS(Kickstarter!$F:$F,"Successful", Kickstarter!$D:$D, "&gt;=30000", Kickstarter!$D:$D, "&lt;=34999",  Kickstarter!$R:$R, "Plays")</f>
        <v>3</v>
      </c>
      <c r="C9">
        <f>COUNTIFS(Kickstarter!$F:$F,"Failed", Kickstarter!$D:$D, "&gt;=30000", Kickstarter!$D:$D, "&lt;=34999",  Kickstarter!$R:$R, "Plays")</f>
        <v>8</v>
      </c>
      <c r="D9">
        <f>COUNTIFS(Kickstarter!$F:$F,"canceled", Kickstarter!$D:$D, "&gt;=30000", Kickstarter!$D:$D, "&lt;=34999",  Kickstarter!$R:$R, "Plays")</f>
        <v>0</v>
      </c>
      <c r="E9">
        <f t="shared" si="1"/>
        <v>11</v>
      </c>
      <c r="F9">
        <f t="shared" si="2"/>
        <v>27</v>
      </c>
      <c r="G9">
        <f t="shared" si="3"/>
        <v>73</v>
      </c>
      <c r="H9">
        <f t="shared" si="4"/>
        <v>0</v>
      </c>
    </row>
    <row r="10" spans="1:8" x14ac:dyDescent="0.2">
      <c r="A10" t="s">
        <v>8412</v>
      </c>
      <c r="B10">
        <f>COUNTIFS(Kickstarter!$F:$F,"Successful", Kickstarter!$D:$D, "&gt;=35000", Kickstarter!$D:$D, "&lt;=39999",  Kickstarter!$R:$R, "Plays")</f>
        <v>4</v>
      </c>
      <c r="C10">
        <f>COUNTIFS(Kickstarter!$F:$F,"Failed", Kickstarter!$D:$D, "&gt;=35000", Kickstarter!$D:$D, "&lt;=39999",  Kickstarter!$R:$R, "Plays")</f>
        <v>2</v>
      </c>
      <c r="D10">
        <f>COUNTIFS(Kickstarter!$F:$F,"canceled", Kickstarter!$D:$D, "&gt;=35000", Kickstarter!$D:$D, "&lt;=39999",  Kickstarter!$R:$R, "Plays")</f>
        <v>0</v>
      </c>
      <c r="E10">
        <f t="shared" si="1"/>
        <v>6</v>
      </c>
      <c r="F10">
        <f t="shared" si="2"/>
        <v>67</v>
      </c>
      <c r="G10">
        <f t="shared" si="3"/>
        <v>33</v>
      </c>
      <c r="H10">
        <f t="shared" si="4"/>
        <v>0</v>
      </c>
    </row>
    <row r="11" spans="1:8" x14ac:dyDescent="0.2">
      <c r="A11" t="s">
        <v>8413</v>
      </c>
      <c r="B11">
        <f>COUNTIFS(Kickstarter!$F:$F,"Successful", Kickstarter!$D:$D, "&gt;=40000", Kickstarter!$D:$D, "&lt;=44999",  Kickstarter!$R:$R, "Plays")</f>
        <v>2</v>
      </c>
      <c r="C11">
        <f>COUNTIFS(Kickstarter!$F:$F,"Failed", Kickstarter!$D:$D, "&gt;=40000", Kickstarter!$D:$D, "&lt;=44999",  Kickstarter!$R:$R, "Plays")</f>
        <v>1</v>
      </c>
      <c r="D11">
        <f>COUNTIFS(Kickstarter!$F:$F,"canceled", Kickstarter!$D:$D, "&gt;=40000", Kickstarter!$D:$D, "&lt;=44999",  Kickstarter!$R:$R, "Plays")</f>
        <v>0</v>
      </c>
      <c r="E11">
        <f t="shared" si="1"/>
        <v>3</v>
      </c>
      <c r="F11">
        <f t="shared" si="2"/>
        <v>67</v>
      </c>
      <c r="G11">
        <f t="shared" si="3"/>
        <v>33</v>
      </c>
      <c r="H11">
        <f t="shared" si="4"/>
        <v>0</v>
      </c>
    </row>
    <row r="12" spans="1:8" x14ac:dyDescent="0.2">
      <c r="A12" t="s">
        <v>8414</v>
      </c>
      <c r="B12">
        <f>COUNTIFS(Kickstarter!$F:$F,"Successful", Kickstarter!$D:$D, "&gt;=45000", Kickstarter!$D:$D, "&lt;=49999",  Kickstarter!$R:$R, "Plays")</f>
        <v>0</v>
      </c>
      <c r="C12">
        <f>COUNTIFS(Kickstarter!$F:$F,"Failed", Kickstarter!$D:$D, "&gt;=45000", Kickstarter!$D:$D, "&lt;=49999",  Kickstarter!$R:$R, "Plays")</f>
        <v>1</v>
      </c>
      <c r="D12">
        <f>COUNTIFS(Kickstarter!$F:$F,"canceled", Kickstarter!$D:$D, "&gt;=45000", Kickstarter!$D:$D, "&lt;=49999",  Kickstarter!$R:$R, "Plays")</f>
        <v>0</v>
      </c>
      <c r="E12">
        <f t="shared" si="1"/>
        <v>1</v>
      </c>
      <c r="F12">
        <f t="shared" si="2"/>
        <v>0</v>
      </c>
      <c r="G12">
        <f t="shared" si="3"/>
        <v>100</v>
      </c>
      <c r="H12">
        <f t="shared" si="4"/>
        <v>0</v>
      </c>
    </row>
    <row r="13" spans="1:8" x14ac:dyDescent="0.2">
      <c r="A13" t="s">
        <v>8415</v>
      </c>
      <c r="B13">
        <f>COUNTIFS(Kickstarter!$F:$F,"Successful", Kickstarter!$D:$D, "&gt;=50000",  Kickstarter!$R:$R, "Plays")</f>
        <v>2</v>
      </c>
      <c r="C13">
        <f>COUNTIFS(Kickstarter!$F:$F,"Failed", Kickstarter!$D:$D, "&gt;=50000",  Kickstarter!$R:$R, "Plays")</f>
        <v>14</v>
      </c>
      <c r="D13">
        <f>COUNTIFS(Kickstarter!$F:$F,"canceled", Kickstarter!$D:$D, "&gt;=50000",  Kickstarter!$R:$R, "Plays")</f>
        <v>0</v>
      </c>
      <c r="E13">
        <f t="shared" si="1"/>
        <v>16</v>
      </c>
      <c r="F13">
        <f t="shared" si="2"/>
        <v>13</v>
      </c>
      <c r="G13">
        <f t="shared" si="3"/>
        <v>88</v>
      </c>
      <c r="H13">
        <f t="shared" si="4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Kickstarter</vt:lpstr>
      <vt:lpstr>Descriptive Statistics</vt:lpstr>
      <vt:lpstr>Category Statistics</vt:lpstr>
      <vt:lpstr>Outcomes Based on Launch Date</vt:lpstr>
      <vt:lpstr>Subcategory Statistics</vt:lpstr>
      <vt:lpstr>Edinburgh Research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Gomoll</cp:lastModifiedBy>
  <dcterms:created xsi:type="dcterms:W3CDTF">2017-04-20T15:17:24Z</dcterms:created>
  <dcterms:modified xsi:type="dcterms:W3CDTF">2022-02-20T21:06:25Z</dcterms:modified>
</cp:coreProperties>
</file>