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D Edições 2/Agora Fala/Como cobrar suas peças/"/>
    </mc:Choice>
  </mc:AlternateContent>
  <xr:revisionPtr revIDLastSave="0" documentId="8_{DE1A6C48-F803-0342-8C2C-A37F53586F75}" xr6:coauthVersionLast="47" xr6:coauthVersionMax="47" xr10:uidLastSave="{00000000-0000-0000-0000-000000000000}"/>
  <bookViews>
    <workbookView xWindow="4040" yWindow="500" windowWidth="24140" windowHeight="19780" tabRatio="873" xr2:uid="{00000000-000D-0000-FFFF-FFFF00000000}"/>
  </bookViews>
  <sheets>
    <sheet name="Valor_Venda" sheetId="12" r:id="rId1"/>
    <sheet name="bd" sheetId="11" r:id="rId2"/>
    <sheet name="depreciacao" sheetId="14" r:id="rId3"/>
    <sheet name="calc" sheetId="13" r:id="rId4"/>
  </sheets>
  <definedNames>
    <definedName name="depreciacao">depreciacao!$G$17</definedName>
    <definedName name="kwh">bd!$G$3</definedName>
    <definedName name="subtotal_adm">Valor_Venda!$C$28</definedName>
    <definedName name="subtotal_producao">Valor_Venda!$C$37</definedName>
    <definedName name="subtotal_retorno_inv">Valor_Venda!$C$16</definedName>
  </definedNames>
  <calcPr calcId="191029"/>
  <customWorkbookViews>
    <customWorkbookView name="Teste" guid="{CD2C291A-59D1-41E1-A77D-E07CEE24343A}" maximized="1" windowWidth="1795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2" l="1"/>
  <c r="C31" i="12" s="1"/>
  <c r="C19" i="11"/>
  <c r="C36" i="12" l="1"/>
  <c r="M5" i="11"/>
  <c r="F24" i="12" l="1"/>
  <c r="F23" i="12"/>
  <c r="F21" i="12"/>
  <c r="F22" i="12"/>
  <c r="C30" i="12"/>
  <c r="J6" i="11"/>
  <c r="J7" i="11"/>
  <c r="J4" i="11"/>
  <c r="D22" i="11"/>
  <c r="E22" i="11"/>
  <c r="C22" i="11"/>
  <c r="C21" i="12" s="1"/>
  <c r="E13" i="14"/>
  <c r="G13" i="14"/>
  <c r="D30" i="14"/>
  <c r="C30" i="14"/>
  <c r="E29" i="14"/>
  <c r="G29" i="14" s="1"/>
  <c r="E28" i="14"/>
  <c r="G28" i="14" s="1"/>
  <c r="E27" i="14"/>
  <c r="G27" i="14" s="1"/>
  <c r="E26" i="14"/>
  <c r="G26" i="14" s="1"/>
  <c r="E25" i="14"/>
  <c r="G25" i="14" s="1"/>
  <c r="G30" i="14" s="1"/>
  <c r="G16" i="14"/>
  <c r="E16" i="14"/>
  <c r="G15" i="14"/>
  <c r="E15" i="14"/>
  <c r="G14" i="14"/>
  <c r="E14" i="14"/>
  <c r="G12" i="14"/>
  <c r="E12" i="14"/>
  <c r="C34" i="12" l="1"/>
  <c r="C28" i="12"/>
  <c r="G17" i="14"/>
  <c r="C17" i="14"/>
  <c r="E30" i="14"/>
  <c r="C19" i="12" l="1"/>
  <c r="C22" i="12"/>
  <c r="C33" i="12" s="1"/>
  <c r="C18" i="12"/>
  <c r="H18" i="12" s="1"/>
  <c r="H19" i="12" s="1"/>
  <c r="H21" i="12" s="1"/>
  <c r="E20" i="11" l="1"/>
  <c r="D20" i="11"/>
  <c r="C20" i="11"/>
  <c r="C9" i="13"/>
  <c r="C7" i="13" s="1"/>
  <c r="C12" i="13"/>
  <c r="C10" i="13" s="1"/>
  <c r="C20" i="12" l="1"/>
  <c r="C12" i="11"/>
  <c r="E16" i="11"/>
  <c r="E19" i="11" s="1"/>
  <c r="D19" i="11"/>
  <c r="C16" i="12"/>
  <c r="H22" i="12" l="1"/>
  <c r="C37" i="12"/>
  <c r="H7" i="12" s="1"/>
  <c r="C32" i="12"/>
  <c r="H10" i="12" l="1"/>
  <c r="H20" i="12"/>
  <c r="H17" i="12" l="1"/>
  <c r="H23" i="12" s="1"/>
  <c r="H2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Russo Claudio (LBR)</author>
    <author>Fernandes</author>
  </authors>
  <commentList>
    <comment ref="B19" authorId="0" shapeId="0" xr:uid="{28AA99DB-71E1-40A9-9AB2-71679D0734FF}">
      <text>
        <r>
          <rPr>
            <b/>
            <sz val="9"/>
            <color rgb="FF000000"/>
            <rFont val="Tahoma"/>
            <family val="2"/>
          </rPr>
          <t>É encontrado na sua conta de luz, dividindo valor final pelo tanto de KW usado</t>
        </r>
      </text>
    </comment>
    <comment ref="B20" authorId="0" shapeId="0" xr:uid="{EB208AFA-77AB-4A8C-BE0A-1BE1B561028D}">
      <text>
        <r>
          <rPr>
            <b/>
            <sz val="9"/>
            <color rgb="FF000000"/>
            <rFont val="Tahoma"/>
            <family val="2"/>
          </rPr>
          <t>É determinado pela potencia da sua fonte</t>
        </r>
      </text>
    </comment>
    <comment ref="G20" authorId="1" shapeId="0" xr:uid="{E9E79425-DBA1-4F51-A1EB-15B830AB44C0}">
      <text>
        <r>
          <rPr>
            <b/>
            <sz val="9"/>
            <color rgb="FF000000"/>
            <rFont val="Segoe UI"/>
            <family val="2"/>
            <charset val="1"/>
          </rPr>
          <t>NÚMERO DE PEÇAS QUE DESEJA PRODUZIR DESTE LOTE</t>
        </r>
      </text>
    </comment>
    <comment ref="B22" authorId="0" shapeId="0" xr:uid="{7BC8367F-0456-4B0C-AE01-05FA02359FD7}">
      <text>
        <r>
          <rPr>
            <b/>
            <sz val="9"/>
            <color rgb="FF000000"/>
            <rFont val="Tahoma"/>
            <family val="2"/>
          </rPr>
          <t>Valor a determinar pela quantidade de falhas da sua impressora</t>
        </r>
      </text>
    </comment>
  </commentList>
</comments>
</file>

<file path=xl/sharedStrings.xml><?xml version="1.0" encoding="utf-8"?>
<sst xmlns="http://schemas.openxmlformats.org/spreadsheetml/2006/main" count="168" uniqueCount="127">
  <si>
    <t>mm</t>
  </si>
  <si>
    <t>m</t>
  </si>
  <si>
    <t>Valor de produção</t>
  </si>
  <si>
    <t>Retorno de investimento</t>
  </si>
  <si>
    <t>Custo de acabamento (10%)</t>
  </si>
  <si>
    <t>Custo de falhas</t>
  </si>
  <si>
    <t>Custo de manutenção</t>
  </si>
  <si>
    <t>Custo energia</t>
  </si>
  <si>
    <t>Custo material</t>
  </si>
  <si>
    <t>Valor a adicionar por hora</t>
  </si>
  <si>
    <t>Dias por mês</t>
  </si>
  <si>
    <t>Horas por dia</t>
  </si>
  <si>
    <t>Valor da maquina</t>
  </si>
  <si>
    <t>Custos Administrativos</t>
  </si>
  <si>
    <t>Diâmetro do filamento</t>
  </si>
  <si>
    <t>Média de falhas</t>
  </si>
  <si>
    <t>Depreciação por hora</t>
  </si>
  <si>
    <t>Preço por KWh</t>
  </si>
  <si>
    <t>g</t>
  </si>
  <si>
    <t>Despesas de produção</t>
  </si>
  <si>
    <t>Comprimento utilizado</t>
  </si>
  <si>
    <t>Tempo de impressão</t>
  </si>
  <si>
    <t>Peso estimado</t>
  </si>
  <si>
    <t>Tipos</t>
  </si>
  <si>
    <t>Valores</t>
  </si>
  <si>
    <t>PLA</t>
  </si>
  <si>
    <t>Valor de venda</t>
  </si>
  <si>
    <t>ABS</t>
  </si>
  <si>
    <t>RESULTADO</t>
  </si>
  <si>
    <t>Ender 3 A</t>
  </si>
  <si>
    <t>Ender 3 B</t>
  </si>
  <si>
    <t>PLA FLEX</t>
  </si>
  <si>
    <t>PETG</t>
  </si>
  <si>
    <t>NYLON</t>
  </si>
  <si>
    <t>FLEXÍVEL</t>
  </si>
  <si>
    <t>WOOD</t>
  </si>
  <si>
    <t>ABS PREMIUM</t>
  </si>
  <si>
    <t>ABS ENGENHARIA</t>
  </si>
  <si>
    <t>Solúvel HIPS + SOLVENTE</t>
  </si>
  <si>
    <t>Valor do KWh</t>
  </si>
  <si>
    <t>Unidade</t>
  </si>
  <si>
    <t>Densidade (g/cm³)</t>
  </si>
  <si>
    <t>Comp. Carretel de 1,75mm 
(m linear / kg)</t>
  </si>
  <si>
    <r>
      <t>ρ: Densidade (expressa em g/cm</t>
    </r>
    <r>
      <rPr>
        <sz val="8"/>
        <color rgb="FF777777"/>
        <rFont val="Inherit"/>
      </rPr>
      <t>3</t>
    </r>
    <r>
      <rPr>
        <sz val="11"/>
        <color rgb="FF777777"/>
        <rFont val="Roboto"/>
      </rPr>
      <t>)</t>
    </r>
  </si>
  <si>
    <t>m: Masa (expressa em g)</t>
  </si>
  <si>
    <r>
      <t>v: Volumen (expressa em cm</t>
    </r>
    <r>
      <rPr>
        <sz val="8"/>
        <color rgb="FF777777"/>
        <rFont val="Inherit"/>
      </rPr>
      <t>3</t>
    </r>
    <r>
      <rPr>
        <sz val="11"/>
        <color rgb="FF777777"/>
        <rFont val="Roboto"/>
      </rPr>
      <t>)</t>
    </r>
  </si>
  <si>
    <r>
      <t>S: Superficie (expressa em cm</t>
    </r>
    <r>
      <rPr>
        <sz val="8"/>
        <color rgb="FF777777"/>
        <rFont val="Inherit"/>
      </rPr>
      <t>2</t>
    </r>
    <r>
      <rPr>
        <sz val="11"/>
        <color rgb="FF777777"/>
        <rFont val="Roboto"/>
      </rPr>
      <t>)</t>
    </r>
  </si>
  <si>
    <t>l: Comprimento (expressa em cm)</t>
  </si>
  <si>
    <t>r: Radio (expressa em cm)</t>
  </si>
  <si>
    <t>Material</t>
  </si>
  <si>
    <t>FORMAÇÃO DE PREÇO DE VENDA</t>
  </si>
  <si>
    <t>Valor</t>
  </si>
  <si>
    <t>Descrição</t>
  </si>
  <si>
    <t>Potência (KW)</t>
  </si>
  <si>
    <t>MATERIAL UTILIZADO NA IMPRESSÃO</t>
  </si>
  <si>
    <t>DADOS DO FATIADOR</t>
  </si>
  <si>
    <t>R$</t>
  </si>
  <si>
    <t>Anet A8</t>
  </si>
  <si>
    <t>Custo de fixação na mesa</t>
  </si>
  <si>
    <t>Valor do quilo (filamento)</t>
  </si>
  <si>
    <t>R$/KWh</t>
  </si>
  <si>
    <t>%</t>
  </si>
  <si>
    <t>Modelagem</t>
  </si>
  <si>
    <t>Embalagem</t>
  </si>
  <si>
    <t>Frete</t>
  </si>
  <si>
    <t>Propaganda</t>
  </si>
  <si>
    <t>Custos de Produção</t>
  </si>
  <si>
    <t>Consumo da maquina</t>
  </si>
  <si>
    <t>KW</t>
  </si>
  <si>
    <t>EXEMPLO DE PLANILHA PARA DEPRECIAÇÃO, considerando 2 tipos de depreciação</t>
  </si>
  <si>
    <r>
      <t xml:space="preserve">a) Depreciação </t>
    </r>
    <r>
      <rPr>
        <b/>
        <sz val="12"/>
        <color theme="1"/>
        <rFont val="Calibri"/>
        <family val="2"/>
        <scheme val="minor"/>
      </rPr>
      <t>Fiscal</t>
    </r>
    <r>
      <rPr>
        <sz val="12"/>
        <color theme="1"/>
        <rFont val="Calibri"/>
        <family val="2"/>
        <scheme val="minor"/>
      </rPr>
      <t xml:space="preserve"> (ou contábil), b) Depreciação </t>
    </r>
    <r>
      <rPr>
        <b/>
        <sz val="12"/>
        <color theme="1"/>
        <rFont val="Calibri"/>
        <family val="2"/>
        <scheme val="minor"/>
      </rPr>
      <t>Gerencial</t>
    </r>
  </si>
  <si>
    <t>Lembrando, conforme artigo, que empresas devem depreciar estes ativos de acordo com as regras da Receita Federal.</t>
  </si>
  <si>
    <r>
      <rPr>
        <sz val="15"/>
        <color theme="1"/>
        <rFont val="Calibri"/>
        <family val="2"/>
        <scheme val="minor"/>
      </rPr>
      <t>DEPRECIAÇÃO</t>
    </r>
    <r>
      <rPr>
        <b/>
        <sz val="15"/>
        <color theme="1"/>
        <rFont val="Calibri"/>
        <family val="2"/>
        <scheme val="minor"/>
      </rPr>
      <t xml:space="preserve"> FISCAL (Ou Contábil)</t>
    </r>
  </si>
  <si>
    <t>BENS</t>
  </si>
  <si>
    <t>VALOR DE AQUISIÇÃO</t>
  </si>
  <si>
    <t>VIDA ÚTIL*</t>
  </si>
  <si>
    <t>TAXA ANUAL*</t>
  </si>
  <si>
    <t>DEPRECIAÇÃO FISCAL, mensal</t>
  </si>
  <si>
    <t>MESES</t>
  </si>
  <si>
    <t>ANOS</t>
  </si>
  <si>
    <t>A</t>
  </si>
  <si>
    <t>B</t>
  </si>
  <si>
    <t>C   -  (B/C)</t>
  </si>
  <si>
    <t>D</t>
  </si>
  <si>
    <t>A/B</t>
  </si>
  <si>
    <t>Imóvel</t>
  </si>
  <si>
    <t>Máquinas e Equipamentos</t>
  </si>
  <si>
    <t>Veículo</t>
  </si>
  <si>
    <t>Móveis</t>
  </si>
  <si>
    <t>Computadores</t>
  </si>
  <si>
    <t>* Ambos determinados pela Receita Federal</t>
  </si>
  <si>
    <r>
      <rPr>
        <sz val="15"/>
        <color theme="1"/>
        <rFont val="Calibri"/>
        <family val="2"/>
        <scheme val="minor"/>
      </rPr>
      <t>DEPRECIAÇÃO</t>
    </r>
    <r>
      <rPr>
        <b/>
        <sz val="15"/>
        <color theme="1"/>
        <rFont val="Calibri"/>
        <family val="2"/>
        <scheme val="minor"/>
      </rPr>
      <t xml:space="preserve"> GERENCIAL</t>
    </r>
  </si>
  <si>
    <t>VALOR RESIDUAL</t>
  </si>
  <si>
    <t>VALOR A DEPRECIAR</t>
  </si>
  <si>
    <t>VIDA ÚTIL* MESES</t>
  </si>
  <si>
    <t>DEPRECIAÇÃO GERENCIAL, mensal</t>
  </si>
  <si>
    <t>C   -   (A-B)</t>
  </si>
  <si>
    <t>C/D</t>
  </si>
  <si>
    <t>x</t>
  </si>
  <si>
    <t xml:space="preserve">* Valor do bem no final do período, valor estipulado para venda do mesmo. </t>
  </si>
  <si>
    <r>
      <t xml:space="preserve">Obs. </t>
    </r>
    <r>
      <rPr>
        <b/>
        <sz val="9"/>
        <color rgb="FF000000"/>
        <rFont val="Calibri"/>
        <family val="2"/>
        <scheme val="minor"/>
      </rPr>
      <t>Imóvel</t>
    </r>
    <r>
      <rPr>
        <sz val="9"/>
        <color rgb="FF000000"/>
        <rFont val="Calibri"/>
        <family val="2"/>
        <scheme val="minor"/>
      </rPr>
      <t>, calculado considerando já com 5 anos de uso, 240 meses.</t>
    </r>
  </si>
  <si>
    <r>
      <t xml:space="preserve">         Veículo e computador</t>
    </r>
    <r>
      <rPr>
        <sz val="9"/>
        <color rgb="FF000000"/>
        <rFont val="Calibri"/>
        <family val="2"/>
        <scheme val="minor"/>
      </rPr>
      <t>, também calculado considerando já com um e dois anos de uso, respectivamente.</t>
    </r>
  </si>
  <si>
    <r>
      <t xml:space="preserve">         </t>
    </r>
    <r>
      <rPr>
        <b/>
        <sz val="9"/>
        <color rgb="FF000000"/>
        <rFont val="Calibri"/>
        <family val="2"/>
        <scheme val="minor"/>
      </rPr>
      <t xml:space="preserve">Móveis e computadores </t>
    </r>
    <r>
      <rPr>
        <sz val="9"/>
        <color rgb="FF000000"/>
        <rFont val="Calibri"/>
        <family val="2"/>
        <scheme val="minor"/>
      </rPr>
      <t xml:space="preserve">não têm </t>
    </r>
    <r>
      <rPr>
        <b/>
        <sz val="9"/>
        <color rgb="FF000000"/>
        <rFont val="Calibri"/>
        <family val="2"/>
        <scheme val="minor"/>
      </rPr>
      <t>valor residual</t>
    </r>
    <r>
      <rPr>
        <sz val="9"/>
        <color rgb="FF000000"/>
        <rFont val="Calibri"/>
        <family val="2"/>
        <scheme val="minor"/>
      </rPr>
      <t xml:space="preserve">, considerando que após este período o bem não tem valor,   </t>
    </r>
  </si>
  <si>
    <t xml:space="preserve">         ou seja, o empresário não conseguirá vendê-lo, fazer dinheiro com o bem usado.</t>
  </si>
  <si>
    <t>Tempo desejado (meses)</t>
  </si>
  <si>
    <t>Uso estimado anual em horas</t>
  </si>
  <si>
    <t>Domínio</t>
  </si>
  <si>
    <t>Internet</t>
  </si>
  <si>
    <t>Site</t>
  </si>
  <si>
    <t>Total</t>
  </si>
  <si>
    <t>Domínio/Internet/Site/Mkt</t>
  </si>
  <si>
    <t>Lucro desejado</t>
  </si>
  <si>
    <t>PRODUÇÃO</t>
  </si>
  <si>
    <t>Tempo de impressão Decimal</t>
  </si>
  <si>
    <t>hh:mm</t>
  </si>
  <si>
    <t>MAQUINA:</t>
  </si>
  <si>
    <t>ESTATÍSTICAS</t>
  </si>
  <si>
    <t>Saldo do lucro</t>
  </si>
  <si>
    <t>Custo por metro linear</t>
  </si>
  <si>
    <t>Custo por metro linear desta peça</t>
  </si>
  <si>
    <t>SUBTOTAL:</t>
  </si>
  <si>
    <t>RETORNO DE INVESTIMENTO</t>
  </si>
  <si>
    <t>CUSTO TOTAL PARA PRODUZIR (PÇs):</t>
  </si>
  <si>
    <t>Fibra de vidro para mesa aquecida Ender 3 c/ Adesivo</t>
  </si>
  <si>
    <t>Consumíveis</t>
  </si>
  <si>
    <t>Bico</t>
  </si>
  <si>
    <t>Custo de consumíveis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</si>
</sst>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_-[$R$-416]\ * #,##0.00_-;\-[$R$-416]\ * #,##0.00_-;_-[$R$-416]\ * &quot;-&quot;??_-;_-@_-"/>
    <numFmt numFmtId="166" formatCode="&quot;R$&quot;\ #,##0.00"/>
    <numFmt numFmtId="167" formatCode="[h]:\ mm;\ @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77777"/>
      <name val="Roboto"/>
    </font>
    <font>
      <sz val="8"/>
      <color rgb="FF777777"/>
      <name val="Inherit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color rgb="FF000000"/>
      <name val="Segoe U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05A5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9">
    <xf numFmtId="0" fontId="0" fillId="0" borderId="0"/>
    <xf numFmtId="0" fontId="3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/>
    <xf numFmtId="0" fontId="6" fillId="3" borderId="0" xfId="6" applyFill="1" applyAlignment="1">
      <alignment vertical="center" wrapText="1"/>
    </xf>
    <xf numFmtId="0" fontId="0" fillId="0" borderId="0" xfId="0" applyAlignment="1">
      <alignment vertical="center" wrapText="1"/>
    </xf>
    <xf numFmtId="0" fontId="9" fillId="11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44" fontId="0" fillId="12" borderId="1" xfId="2" applyFont="1" applyFill="1" applyBorder="1" applyAlignment="1">
      <alignment vertical="center"/>
    </xf>
    <xf numFmtId="166" fontId="0" fillId="0" borderId="0" xfId="0" applyNumberFormat="1" applyAlignment="1">
      <alignment vertical="center"/>
    </xf>
    <xf numFmtId="0" fontId="6" fillId="3" borderId="0" xfId="6" applyFill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/>
    <xf numFmtId="0" fontId="0" fillId="0" borderId="2" xfId="0" applyBorder="1"/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3" fillId="4" borderId="0" xfId="0" applyFont="1" applyFill="1"/>
    <xf numFmtId="0" fontId="13" fillId="4" borderId="8" xfId="0" applyFont="1" applyFill="1" applyBorder="1"/>
    <xf numFmtId="0" fontId="7" fillId="4" borderId="0" xfId="0" applyFont="1" applyFill="1"/>
    <xf numFmtId="0" fontId="7" fillId="4" borderId="8" xfId="0" applyFont="1" applyFill="1" applyBorder="1"/>
    <xf numFmtId="0" fontId="14" fillId="0" borderId="0" xfId="8" applyFont="1" applyBorder="1"/>
    <xf numFmtId="0" fontId="0" fillId="4" borderId="0" xfId="0" applyFill="1"/>
    <xf numFmtId="0" fontId="0" fillId="4" borderId="8" xfId="0" applyFill="1" applyBorder="1"/>
    <xf numFmtId="0" fontId="2" fillId="15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horizontal="center" wrapText="1"/>
    </xf>
    <xf numFmtId="0" fontId="12" fillId="15" borderId="2" xfId="0" applyFont="1" applyFill="1" applyBorder="1"/>
    <xf numFmtId="43" fontId="0" fillId="15" borderId="2" xfId="3" applyFont="1" applyFill="1" applyBorder="1"/>
    <xf numFmtId="0" fontId="0" fillId="15" borderId="2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9" fontId="0" fillId="15" borderId="2" xfId="0" applyNumberFormat="1" applyFill="1" applyBorder="1"/>
    <xf numFmtId="43" fontId="2" fillId="15" borderId="2" xfId="0" applyNumberFormat="1" applyFont="1" applyFill="1" applyBorder="1"/>
    <xf numFmtId="43" fontId="0" fillId="4" borderId="0" xfId="0" applyNumberFormat="1" applyFill="1"/>
    <xf numFmtId="0" fontId="18" fillId="4" borderId="0" xfId="0" applyFont="1" applyFill="1" applyAlignment="1">
      <alignment horizontal="center" vertical="top" wrapText="1"/>
    </xf>
    <xf numFmtId="43" fontId="2" fillId="14" borderId="2" xfId="3" applyFont="1" applyFill="1" applyBorder="1"/>
    <xf numFmtId="43" fontId="19" fillId="14" borderId="2" xfId="0" applyNumberFormat="1" applyFont="1" applyFill="1" applyBorder="1"/>
    <xf numFmtId="0" fontId="15" fillId="4" borderId="3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2" fillId="13" borderId="2" xfId="0" applyFont="1" applyFill="1" applyBorder="1"/>
    <xf numFmtId="43" fontId="0" fillId="13" borderId="2" xfId="3" applyFont="1" applyFill="1" applyBorder="1"/>
    <xf numFmtId="43" fontId="2" fillId="13" borderId="2" xfId="0" applyNumberFormat="1" applyFont="1" applyFill="1" applyBorder="1"/>
    <xf numFmtId="43" fontId="0" fillId="0" borderId="0" xfId="0" applyNumberFormat="1"/>
    <xf numFmtId="43" fontId="0" fillId="13" borderId="2" xfId="3" applyFont="1" applyFill="1" applyBorder="1" applyAlignment="1">
      <alignment horizontal="center"/>
    </xf>
    <xf numFmtId="43" fontId="12" fillId="16" borderId="2" xfId="3" applyFont="1" applyFill="1" applyBorder="1"/>
    <xf numFmtId="0" fontId="7" fillId="16" borderId="2" xfId="0" applyFont="1" applyFill="1" applyBorder="1"/>
    <xf numFmtId="43" fontId="19" fillId="16" borderId="2" xfId="0" applyNumberFormat="1" applyFont="1" applyFill="1" applyBorder="1"/>
    <xf numFmtId="0" fontId="20" fillId="4" borderId="0" xfId="0" applyFont="1" applyFill="1" applyAlignment="1">
      <alignment vertical="center"/>
    </xf>
    <xf numFmtId="0" fontId="2" fillId="4" borderId="0" xfId="0" applyFont="1" applyFill="1"/>
    <xf numFmtId="0" fontId="21" fillId="4" borderId="0" xfId="0" applyFont="1" applyFill="1" applyAlignment="1">
      <alignment vertical="center"/>
    </xf>
    <xf numFmtId="0" fontId="0" fillId="0" borderId="20" xfId="0" applyBorder="1"/>
    <xf numFmtId="0" fontId="0" fillId="4" borderId="21" xfId="0" applyFill="1" applyBorder="1"/>
    <xf numFmtId="0" fontId="0" fillId="4" borderId="22" xfId="0" applyFill="1" applyBorder="1"/>
    <xf numFmtId="44" fontId="0" fillId="0" borderId="0" xfId="0" applyNumberFormat="1" applyAlignment="1">
      <alignment vertical="center"/>
    </xf>
    <xf numFmtId="0" fontId="9" fillId="11" borderId="23" xfId="0" applyFont="1" applyFill="1" applyBorder="1" applyAlignment="1">
      <alignment vertical="center" wrapText="1"/>
    </xf>
    <xf numFmtId="0" fontId="9" fillId="3" borderId="24" xfId="6" applyFont="1" applyFill="1" applyBorder="1" applyAlignment="1">
      <alignment vertical="center" wrapText="1"/>
    </xf>
    <xf numFmtId="44" fontId="0" fillId="0" borderId="0" xfId="2" applyFont="1" applyAlignment="1">
      <alignment vertical="center"/>
    </xf>
    <xf numFmtId="44" fontId="0" fillId="0" borderId="0" xfId="0" applyNumberFormat="1"/>
    <xf numFmtId="0" fontId="10" fillId="0" borderId="2" xfId="0" applyFont="1" applyBorder="1" applyAlignment="1">
      <alignment horizontal="justify" vertical="center"/>
    </xf>
    <xf numFmtId="0" fontId="9" fillId="3" borderId="25" xfId="6" applyFont="1" applyFill="1" applyBorder="1" applyAlignment="1">
      <alignment vertical="center" wrapText="1"/>
    </xf>
    <xf numFmtId="0" fontId="9" fillId="3" borderId="26" xfId="6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4" fillId="0" borderId="0" xfId="0" applyNumberFormat="1" applyFont="1" applyAlignment="1">
      <alignment vertical="center"/>
    </xf>
    <xf numFmtId="0" fontId="23" fillId="0" borderId="0" xfId="0" applyFont="1"/>
    <xf numFmtId="0" fontId="24" fillId="3" borderId="0" xfId="7" applyFont="1" applyFill="1" applyBorder="1" applyAlignment="1"/>
    <xf numFmtId="0" fontId="23" fillId="9" borderId="2" xfId="0" applyFont="1" applyFill="1" applyBorder="1" applyAlignment="1"/>
    <xf numFmtId="0" fontId="26" fillId="4" borderId="2" xfId="4" applyFont="1" applyFill="1" applyBorder="1"/>
    <xf numFmtId="164" fontId="23" fillId="13" borderId="2" xfId="0" applyNumberFormat="1" applyFont="1" applyFill="1" applyBorder="1"/>
    <xf numFmtId="0" fontId="23" fillId="4" borderId="2" xfId="0" applyFont="1" applyFill="1" applyBorder="1" applyAlignment="1">
      <alignment horizontal="left"/>
    </xf>
    <xf numFmtId="0" fontId="23" fillId="13" borderId="2" xfId="0" applyFont="1" applyFill="1" applyBorder="1"/>
    <xf numFmtId="167" fontId="23" fillId="13" borderId="2" xfId="0" applyNumberFormat="1" applyFont="1" applyFill="1" applyBorder="1"/>
    <xf numFmtId="2" fontId="23" fillId="0" borderId="2" xfId="0" applyNumberFormat="1" applyFont="1" applyFill="1" applyBorder="1"/>
    <xf numFmtId="1" fontId="23" fillId="13" borderId="2" xfId="5" applyNumberFormat="1" applyFont="1" applyFill="1" applyBorder="1"/>
    <xf numFmtId="2" fontId="23" fillId="0" borderId="0" xfId="0" applyNumberFormat="1" applyFont="1"/>
    <xf numFmtId="0" fontId="24" fillId="10" borderId="2" xfId="0" applyFont="1" applyFill="1" applyBorder="1" applyAlignment="1"/>
    <xf numFmtId="0" fontId="25" fillId="9" borderId="2" xfId="0" applyFont="1" applyFill="1" applyBorder="1" applyAlignment="1">
      <alignment horizontal="center"/>
    </xf>
    <xf numFmtId="0" fontId="27" fillId="13" borderId="2" xfId="0" applyFont="1" applyFill="1" applyBorder="1" applyAlignment="1">
      <alignment horizontal="center"/>
    </xf>
    <xf numFmtId="0" fontId="22" fillId="18" borderId="2" xfId="4" applyFont="1" applyFill="1" applyBorder="1"/>
    <xf numFmtId="2" fontId="22" fillId="18" borderId="2" xfId="0" applyNumberFormat="1" applyFont="1" applyFill="1" applyBorder="1"/>
    <xf numFmtId="0" fontId="22" fillId="18" borderId="2" xfId="0" applyFont="1" applyFill="1" applyBorder="1" applyAlignment="1">
      <alignment horizontal="left"/>
    </xf>
    <xf numFmtId="44" fontId="22" fillId="18" borderId="2" xfId="0" applyNumberFormat="1" applyFont="1" applyFill="1" applyBorder="1"/>
    <xf numFmtId="44" fontId="28" fillId="0" borderId="2" xfId="2" applyFont="1" applyBorder="1"/>
    <xf numFmtId="44" fontId="28" fillId="0" borderId="2" xfId="0" applyNumberFormat="1" applyFont="1" applyBorder="1"/>
    <xf numFmtId="0" fontId="28" fillId="9" borderId="2" xfId="0" applyFont="1" applyFill="1" applyBorder="1" applyAlignment="1"/>
    <xf numFmtId="0" fontId="28" fillId="13" borderId="2" xfId="0" applyFont="1" applyFill="1" applyBorder="1" applyAlignment="1">
      <alignment horizontal="center"/>
    </xf>
    <xf numFmtId="44" fontId="22" fillId="20" borderId="2" xfId="0" applyNumberFormat="1" applyFont="1" applyFill="1" applyBorder="1"/>
    <xf numFmtId="2" fontId="23" fillId="13" borderId="2" xfId="0" applyNumberFormat="1" applyFont="1" applyFill="1" applyBorder="1"/>
    <xf numFmtId="44" fontId="23" fillId="0" borderId="0" xfId="0" applyNumberFormat="1" applyFont="1"/>
    <xf numFmtId="0" fontId="22" fillId="17" borderId="2" xfId="4" applyFont="1" applyFill="1" applyBorder="1"/>
    <xf numFmtId="2" fontId="22" fillId="17" borderId="2" xfId="0" applyNumberFormat="1" applyFont="1" applyFill="1" applyBorder="1"/>
    <xf numFmtId="0" fontId="22" fillId="17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left"/>
    </xf>
    <xf numFmtId="164" fontId="23" fillId="13" borderId="2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/>
    </xf>
    <xf numFmtId="0" fontId="23" fillId="9" borderId="10" xfId="0" applyFont="1" applyFill="1" applyBorder="1" applyAlignment="1">
      <alignment horizontal="left"/>
    </xf>
    <xf numFmtId="0" fontId="23" fillId="9" borderId="11" xfId="0" applyFont="1" applyFill="1" applyBorder="1" applyAlignment="1">
      <alignment horizontal="left"/>
    </xf>
    <xf numFmtId="0" fontId="25" fillId="9" borderId="14" xfId="0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center" vertical="center"/>
    </xf>
    <xf numFmtId="0" fontId="25" fillId="9" borderId="17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left"/>
    </xf>
    <xf numFmtId="0" fontId="28" fillId="9" borderId="11" xfId="0" applyFont="1" applyFill="1" applyBorder="1" applyAlignment="1">
      <alignment horizontal="left"/>
    </xf>
    <xf numFmtId="10" fontId="22" fillId="19" borderId="2" xfId="2" applyNumberFormat="1" applyFont="1" applyFill="1" applyBorder="1" applyAlignment="1">
      <alignment horizontal="center" vertical="center"/>
    </xf>
    <xf numFmtId="44" fontId="22" fillId="17" borderId="2" xfId="2" applyFont="1" applyFill="1" applyBorder="1" applyAlignment="1">
      <alignment horizontal="center" vertical="center"/>
    </xf>
    <xf numFmtId="44" fontId="22" fillId="18" borderId="2" xfId="2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15" fillId="16" borderId="14" xfId="0" applyFont="1" applyFill="1" applyBorder="1" applyAlignment="1">
      <alignment horizontal="center" vertical="center"/>
    </xf>
    <xf numFmtId="0" fontId="15" fillId="16" borderId="15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15" fillId="16" borderId="17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</cellXfs>
  <cellStyles count="9">
    <cellStyle name="60% - Ênfase3" xfId="5" builtinId="40"/>
    <cellStyle name="Ênfase4" xfId="6" builtinId="41"/>
    <cellStyle name="Ênfase5" xfId="7" builtinId="45"/>
    <cellStyle name="Hiperlink" xfId="8" builtinId="8"/>
    <cellStyle name="Moeda" xfId="2" builtinId="4"/>
    <cellStyle name="Neutro" xfId="4" builtinId="28"/>
    <cellStyle name="Normal" xfId="0" builtinId="0"/>
    <cellStyle name="Normal 2" xfId="1" xr:uid="{00000000-0005-0000-0000-00000C000000}"/>
    <cellStyle name="Vírgula" xfId="3" builtin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left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numFmt numFmtId="2" formatCode="0.00"/>
      <alignment vertical="center" textRotation="0" indent="0" justifyLastLine="0" shrinkToFit="0" readingOrder="0"/>
    </dxf>
    <dxf>
      <numFmt numFmtId="2" formatCode="0.00"/>
      <alignment vertical="center" textRotation="0" indent="0" justifyLastLine="0" shrinkToFit="0" readingOrder="0"/>
    </dxf>
    <dxf>
      <numFmt numFmtId="165" formatCode="_-[$R$-416]\ * #,##0.00_-;\-[$R$-416]\ * #,##0.00_-;_-[$R$-416]\ * &quot;-&quot;??_-;_-@_-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1" tint="4.9989318521683403E-2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85725</xdr:rowOff>
    </xdr:from>
    <xdr:to>
      <xdr:col>18</xdr:col>
      <xdr:colOff>371475</xdr:colOff>
      <xdr:row>26</xdr:row>
      <xdr:rowOff>9525</xdr:rowOff>
    </xdr:to>
    <xdr:pic>
      <xdr:nvPicPr>
        <xdr:cNvPr id="2" name="Imagem 1" descr="Tabela de propriedades dos materiais para impressora 3D">
          <a:extLst>
            <a:ext uri="{FF2B5EF4-FFF2-40B4-BE49-F238E27FC236}">
              <a16:creationId xmlns:a16="http://schemas.microsoft.com/office/drawing/2014/main" id="{09F80C53-0955-413B-83D0-F6DEBD5B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5725"/>
          <a:ext cx="93249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57150</xdr:rowOff>
    </xdr:from>
    <xdr:to>
      <xdr:col>1</xdr:col>
      <xdr:colOff>2476500</xdr:colOff>
      <xdr:row>4</xdr:row>
      <xdr:rowOff>180975</xdr:rowOff>
    </xdr:to>
    <xdr:pic>
      <xdr:nvPicPr>
        <xdr:cNvPr id="3" name="Imagem 2" descr="Fórmula densidade de filamentos 3D">
          <a:extLst>
            <a:ext uri="{FF2B5EF4-FFF2-40B4-BE49-F238E27FC236}">
              <a16:creationId xmlns:a16="http://schemas.microsoft.com/office/drawing/2014/main" id="{2C18A084-4AE0-46D9-9045-D9DB2A5B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47650"/>
          <a:ext cx="24098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9FA79-3E7F-4EC4-A511-28CA078D50DF}" name="tbl_material" displayName="tbl_material" ref="B2:E12" totalsRowShown="0" headerRowDxfId="22" dataDxfId="21">
  <autoFilter ref="B2:E12" xr:uid="{99181C06-B106-4C8E-8E5B-FA5174E0D6B1}"/>
  <tableColumns count="4">
    <tableColumn id="2" xr3:uid="{B8331C53-07F8-4110-8D98-9FD8DD18C954}" name="Tipos" dataDxfId="20"/>
    <tableColumn id="3" xr3:uid="{6533DEC1-B3C9-4175-AF65-6F86326C6422}" name="Valores" dataDxfId="19"/>
    <tableColumn id="4" xr3:uid="{3B4A1279-3839-494D-A061-72AF9143F73C}" name="Densidade (g/cm³)" dataDxfId="18"/>
    <tableColumn id="5" xr3:uid="{D4E4C28D-7A9A-4132-9DEC-E431D09E9A90}" name="Comp. Carretel de 1,75mm _x000a_(m linear / kg)" dataDxfId="1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88A76-5404-4071-AAFA-0893482378BD}" name="tbl_depMaq" displayName="tbl_depMaq" ref="B14:E22" totalsRowShown="0" headerRowDxfId="16" dataDxfId="15">
  <autoFilter ref="B14:E22" xr:uid="{359CFD88-B27A-4F65-9C2E-7A2267D70FB4}"/>
  <tableColumns count="4">
    <tableColumn id="1" xr3:uid="{8F1F51F3-8B5B-4BC7-B4D7-63E3ADAB0DFC}" name="Retorno de investimento" dataDxfId="14"/>
    <tableColumn id="2" xr3:uid="{31C6075A-EB85-4EE1-8F18-CF63D50F25D7}" name="Ender 3 A" dataDxfId="13"/>
    <tableColumn id="3" xr3:uid="{7D4A6032-BDF3-4707-AD1B-E68C6C21F38A}" name="Ender 3 B" dataDxfId="12"/>
    <tableColumn id="4" xr3:uid="{113DCF5B-D591-4672-A887-96F3B5F3215E}" name="Anet A8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77594-533E-4260-92F6-850BBFC67B12}" name="tbl_adm" displayName="tbl_adm" ref="I2:J7" totalsRowCount="1" headerRowBorderDxfId="10" tableBorderDxfId="9">
  <autoFilter ref="I2:J6" xr:uid="{9D31FD27-6487-491C-88B4-FE3F25B5C177}"/>
  <tableColumns count="2">
    <tableColumn id="1" xr3:uid="{116B4EC0-963C-45CE-859F-9AF2E22A2FDB}" name="Descrição" totalsRowLabel="Total" dataDxfId="8" totalsRowDxfId="7"/>
    <tableColumn id="2" xr3:uid="{02065976-3247-48AE-97DE-9DAA09C40B63}" name="Valores" totalsRowFunction="sum" totalsRowDxfId="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1A847-4EFF-4CB9-AF12-02D79F74DC9E}" name="tbl_consumiveis" displayName="tbl_consumiveis" ref="L2:M5" totalsRowCount="1" headerRowDxfId="5" dataDxfId="4">
  <autoFilter ref="L2:M4" xr:uid="{46BEB822-7E77-4B3D-A4DD-D81770CC17CD}"/>
  <tableColumns count="2">
    <tableColumn id="1" xr3:uid="{87521111-C8E8-4555-9342-B8170C471222}" name="Consumíveis" totalsRowLabel="Total" dataDxfId="3" totalsRowDxfId="2"/>
    <tableColumn id="4" xr3:uid="{F75C5424-EB6B-43FF-BC2F-CEFB909901B1}" name="Valores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ormas.receita.fazenda.gov.br/sijut2consulta/link.action?idAto=15004&amp;visao=compila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5AEF-F1EC-44EC-B895-5546FB737F81}">
  <dimension ref="A1:P56"/>
  <sheetViews>
    <sheetView showGridLines="0" tabSelected="1" topLeftCell="A12" workbookViewId="0">
      <selection activeCell="H30" sqref="H30"/>
    </sheetView>
  </sheetViews>
  <sheetFormatPr baseColWidth="10" defaultColWidth="8.83203125" defaultRowHeight="15"/>
  <cols>
    <col min="1" max="1" width="5" style="1" customWidth="1"/>
    <col min="2" max="2" width="48" bestFit="1" customWidth="1"/>
    <col min="3" max="3" width="17" bestFit="1" customWidth="1"/>
    <col min="4" max="4" width="15" bestFit="1" customWidth="1"/>
    <col min="6" max="6" width="43.6640625" customWidth="1"/>
    <col min="7" max="7" width="23" customWidth="1"/>
    <col min="8" max="8" width="20.5" customWidth="1"/>
  </cols>
  <sheetData>
    <row r="1" spans="1:16" s="1" customFormat="1"/>
    <row r="2" spans="1:16" ht="26">
      <c r="A2" s="70"/>
      <c r="B2" s="71" t="s">
        <v>50</v>
      </c>
      <c r="C2" s="71"/>
      <c r="D2" s="71"/>
      <c r="E2" s="70"/>
      <c r="F2" s="71" t="s">
        <v>28</v>
      </c>
      <c r="G2" s="71"/>
      <c r="H2" s="71"/>
      <c r="I2" s="70"/>
      <c r="J2" s="70"/>
      <c r="K2" s="70"/>
      <c r="L2" s="70"/>
      <c r="M2" s="70"/>
      <c r="N2" s="70"/>
      <c r="O2" s="70"/>
      <c r="P2" s="70"/>
    </row>
    <row r="3" spans="1:16" ht="26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s="1" customFormat="1" ht="26">
      <c r="A4" s="70"/>
      <c r="B4" s="98" t="s">
        <v>54</v>
      </c>
      <c r="C4" s="98"/>
      <c r="D4" s="98"/>
      <c r="E4" s="70"/>
      <c r="F4" s="103" t="s">
        <v>111</v>
      </c>
      <c r="G4" s="104"/>
      <c r="H4" s="109">
        <v>1</v>
      </c>
      <c r="I4" s="70"/>
      <c r="J4" s="70"/>
      <c r="K4" s="70"/>
      <c r="L4" s="70"/>
      <c r="M4" s="70"/>
      <c r="N4" s="70"/>
      <c r="O4" s="70"/>
      <c r="P4" s="70"/>
    </row>
    <row r="5" spans="1:16" s="1" customFormat="1" ht="26">
      <c r="A5" s="70"/>
      <c r="B5" s="72" t="s">
        <v>49</v>
      </c>
      <c r="C5" s="99" t="s">
        <v>25</v>
      </c>
      <c r="D5" s="99"/>
      <c r="E5" s="70"/>
      <c r="F5" s="105"/>
      <c r="G5" s="106"/>
      <c r="H5" s="109"/>
      <c r="I5" s="100"/>
      <c r="J5" s="70"/>
      <c r="K5" s="70"/>
      <c r="L5" s="70"/>
      <c r="M5" s="70"/>
      <c r="N5" s="70"/>
      <c r="O5" s="70"/>
      <c r="P5" s="70"/>
    </row>
    <row r="6" spans="1:16" s="1" customFormat="1" ht="15" customHeight="1">
      <c r="A6" s="70"/>
      <c r="B6" s="70"/>
      <c r="C6" s="70"/>
      <c r="D6" s="70"/>
      <c r="E6" s="70"/>
      <c r="F6" s="70"/>
      <c r="G6" s="70"/>
      <c r="H6" s="70"/>
      <c r="I6" s="100"/>
      <c r="J6" s="70"/>
      <c r="K6" s="70"/>
      <c r="L6" s="70"/>
      <c r="M6" s="70"/>
      <c r="N6" s="70"/>
      <c r="O6" s="70"/>
      <c r="P6" s="70"/>
    </row>
    <row r="7" spans="1:16" s="1" customFormat="1" ht="26">
      <c r="A7" s="70"/>
      <c r="B7" s="98" t="s">
        <v>55</v>
      </c>
      <c r="C7" s="98"/>
      <c r="D7" s="98"/>
      <c r="E7" s="70"/>
      <c r="F7" s="103" t="s">
        <v>2</v>
      </c>
      <c r="G7" s="104"/>
      <c r="H7" s="110">
        <f>subtotal_adm+subtotal_producao+subtotal_retorno_inv</f>
        <v>13.945367666666666</v>
      </c>
      <c r="I7" s="70"/>
      <c r="J7" s="70"/>
      <c r="K7" s="70"/>
      <c r="L7" s="70"/>
      <c r="M7" s="70"/>
      <c r="N7" s="70"/>
      <c r="O7" s="70"/>
      <c r="P7" s="70"/>
    </row>
    <row r="8" spans="1:16" s="1" customFormat="1" ht="26">
      <c r="A8" s="70"/>
      <c r="B8" s="72" t="s">
        <v>52</v>
      </c>
      <c r="C8" s="72" t="s">
        <v>51</v>
      </c>
      <c r="D8" s="72" t="s">
        <v>40</v>
      </c>
      <c r="E8" s="70"/>
      <c r="F8" s="105"/>
      <c r="G8" s="106"/>
      <c r="H8" s="110"/>
      <c r="I8" s="70"/>
      <c r="J8" s="70"/>
      <c r="K8" s="70"/>
      <c r="L8" s="70"/>
      <c r="M8" s="70"/>
      <c r="N8" s="70"/>
      <c r="O8" s="70"/>
      <c r="P8" s="70"/>
    </row>
    <row r="9" spans="1:16" ht="26">
      <c r="A9" s="70"/>
      <c r="B9" s="73" t="s">
        <v>20</v>
      </c>
      <c r="C9" s="74">
        <v>10</v>
      </c>
      <c r="D9" s="75" t="s">
        <v>1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26">
      <c r="A10" s="70"/>
      <c r="B10" s="73" t="s">
        <v>14</v>
      </c>
      <c r="C10" s="76">
        <v>1.75</v>
      </c>
      <c r="D10" s="75" t="s">
        <v>0</v>
      </c>
      <c r="E10" s="70"/>
      <c r="F10" s="103" t="s">
        <v>26</v>
      </c>
      <c r="G10" s="104"/>
      <c r="H10" s="111">
        <f>H7+H7*H4</f>
        <v>27.890735333333332</v>
      </c>
      <c r="I10" s="70"/>
      <c r="J10" s="70"/>
      <c r="K10" s="70"/>
      <c r="L10" s="70"/>
      <c r="M10" s="70"/>
      <c r="N10" s="70"/>
      <c r="O10" s="70"/>
      <c r="P10" s="70"/>
    </row>
    <row r="11" spans="1:16" ht="26">
      <c r="A11" s="70"/>
      <c r="B11" s="73" t="s">
        <v>21</v>
      </c>
      <c r="C11" s="77">
        <v>0.18194444444444444</v>
      </c>
      <c r="D11" s="75" t="s">
        <v>114</v>
      </c>
      <c r="E11" s="70"/>
      <c r="F11" s="105"/>
      <c r="G11" s="106"/>
      <c r="H11" s="111"/>
      <c r="I11" s="70"/>
      <c r="J11" s="70"/>
      <c r="K11" s="70"/>
      <c r="L11" s="70"/>
      <c r="M11" s="70"/>
      <c r="N11" s="70"/>
      <c r="O11" s="70"/>
      <c r="P11" s="70"/>
    </row>
    <row r="12" spans="1:16" s="1" customFormat="1" ht="26">
      <c r="A12" s="70"/>
      <c r="B12" s="73" t="s">
        <v>113</v>
      </c>
      <c r="C12" s="78">
        <f>C11*24</f>
        <v>4.3666666666666663</v>
      </c>
      <c r="D12" s="75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 spans="1:16" ht="26">
      <c r="A13" s="70"/>
      <c r="B13" s="73" t="s">
        <v>22</v>
      </c>
      <c r="C13" s="79">
        <v>30</v>
      </c>
      <c r="D13" s="75" t="s">
        <v>18</v>
      </c>
      <c r="E13" s="70"/>
      <c r="F13" s="8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16" ht="26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</row>
    <row r="15" spans="1:16" ht="26">
      <c r="A15" s="70"/>
      <c r="B15" s="81" t="s">
        <v>112</v>
      </c>
      <c r="C15" s="82" t="s">
        <v>115</v>
      </c>
      <c r="D15" s="83" t="s">
        <v>29</v>
      </c>
      <c r="E15" s="70"/>
      <c r="F15" s="71" t="s">
        <v>116</v>
      </c>
      <c r="G15" s="71"/>
      <c r="H15" s="71"/>
      <c r="I15" s="70"/>
      <c r="J15" s="70"/>
      <c r="K15" s="70"/>
      <c r="L15" s="70"/>
      <c r="M15" s="70"/>
      <c r="N15" s="70"/>
      <c r="O15" s="70"/>
      <c r="P15" s="70"/>
    </row>
    <row r="16" spans="1:16" s="1" customFormat="1" ht="26">
      <c r="A16" s="70"/>
      <c r="B16" s="84" t="s">
        <v>121</v>
      </c>
      <c r="C16" s="85">
        <f>(INDEX(tbl_depMaq[#All],6,MATCH(D15,tbl_depMaq[#Headers],0))*C12)</f>
        <v>4.9680876666666656</v>
      </c>
      <c r="D16" s="86" t="s">
        <v>56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7" spans="1:16" ht="26">
      <c r="A17" s="70"/>
      <c r="B17" s="72" t="s">
        <v>19</v>
      </c>
      <c r="C17" s="72" t="s">
        <v>51</v>
      </c>
      <c r="D17" s="72" t="s">
        <v>40</v>
      </c>
      <c r="E17" s="70"/>
      <c r="F17" s="101" t="s">
        <v>117</v>
      </c>
      <c r="G17" s="102"/>
      <c r="H17" s="87">
        <f>H10-H7</f>
        <v>13.945367666666666</v>
      </c>
      <c r="I17" s="70"/>
      <c r="J17" s="70"/>
      <c r="K17" s="70"/>
      <c r="L17" s="70"/>
      <c r="M17" s="70"/>
      <c r="N17" s="70"/>
      <c r="O17" s="70"/>
      <c r="P17" s="70"/>
    </row>
    <row r="18" spans="1:16" ht="26">
      <c r="A18" s="70"/>
      <c r="B18" s="73" t="s">
        <v>59</v>
      </c>
      <c r="C18" s="78">
        <f>VLOOKUP(C5,tbl_material[],2,FALSE)</f>
        <v>100</v>
      </c>
      <c r="D18" s="75" t="s">
        <v>56</v>
      </c>
      <c r="E18" s="70"/>
      <c r="F18" s="101" t="s">
        <v>118</v>
      </c>
      <c r="G18" s="102"/>
      <c r="H18" s="88">
        <f>C18/VLOOKUP(C5,tbl_material[],4,FALSE)</f>
        <v>0.29850746268656714</v>
      </c>
      <c r="I18" s="70"/>
      <c r="J18" s="70"/>
      <c r="K18" s="70"/>
      <c r="L18" s="70"/>
      <c r="M18" s="70"/>
      <c r="N18" s="70"/>
      <c r="O18" s="70"/>
      <c r="P18" s="70"/>
    </row>
    <row r="19" spans="1:16" ht="26">
      <c r="A19" s="70"/>
      <c r="B19" s="73" t="s">
        <v>17</v>
      </c>
      <c r="C19" s="78">
        <f>kwh</f>
        <v>0.95</v>
      </c>
      <c r="D19" s="75" t="s">
        <v>60</v>
      </c>
      <c r="E19" s="70"/>
      <c r="F19" s="101" t="s">
        <v>119</v>
      </c>
      <c r="G19" s="102"/>
      <c r="H19" s="89">
        <f>H18*C9</f>
        <v>2.9850746268656714</v>
      </c>
      <c r="I19" s="70"/>
      <c r="J19" s="70"/>
      <c r="K19" s="70"/>
      <c r="L19" s="70"/>
      <c r="M19" s="70"/>
      <c r="N19" s="70"/>
      <c r="O19" s="70"/>
      <c r="P19" s="70"/>
    </row>
    <row r="20" spans="1:16" ht="26">
      <c r="A20" s="70"/>
      <c r="B20" s="73" t="s">
        <v>67</v>
      </c>
      <c r="C20" s="78">
        <f>INDEX(tbl_depMaq[#All],7,MATCH(D15,tbl_depMaq[#Headers],0))</f>
        <v>0.27</v>
      </c>
      <c r="D20" s="75" t="s">
        <v>68</v>
      </c>
      <c r="E20" s="70"/>
      <c r="F20" s="90" t="s">
        <v>122</v>
      </c>
      <c r="G20" s="91">
        <v>1</v>
      </c>
      <c r="H20" s="92">
        <f>G20*H7</f>
        <v>13.945367666666666</v>
      </c>
      <c r="I20" s="70"/>
      <c r="J20" s="70"/>
      <c r="K20" s="70"/>
      <c r="L20" s="70"/>
      <c r="M20" s="70"/>
      <c r="N20" s="70"/>
      <c r="O20" s="70"/>
      <c r="P20" s="70"/>
    </row>
    <row r="21" spans="1:16" ht="26">
      <c r="A21" s="70"/>
      <c r="B21" s="73" t="s">
        <v>16</v>
      </c>
      <c r="C21" s="78">
        <f>(INDEX(tbl_depMaq[#All],9,MATCH(D15,tbl_depMaq[#Headers],0)))/depreciacao</f>
        <v>0.69164265129682989</v>
      </c>
      <c r="D21" s="75" t="s">
        <v>56</v>
      </c>
      <c r="E21" s="70"/>
      <c r="F21" s="101" t="str">
        <f>"Custo do filamento para produzir"&amp;" "&amp;G20&amp;" peças"</f>
        <v>Custo do filamento para produzir 1 peças</v>
      </c>
      <c r="G21" s="102"/>
      <c r="H21" s="92">
        <f>H19*G20</f>
        <v>2.9850746268656714</v>
      </c>
      <c r="I21" s="70"/>
      <c r="J21" s="70"/>
      <c r="K21" s="70"/>
      <c r="L21" s="70"/>
      <c r="M21" s="70"/>
      <c r="N21" s="70"/>
      <c r="O21" s="70"/>
      <c r="P21" s="70"/>
    </row>
    <row r="22" spans="1:16" ht="26">
      <c r="A22" s="70"/>
      <c r="B22" s="73" t="s">
        <v>15</v>
      </c>
      <c r="C22" s="78">
        <f>(INDEX(tbl_depMaq[#All],8,MATCH(D15,tbl_depMaq[#Headers],0)))*100</f>
        <v>5</v>
      </c>
      <c r="D22" s="75" t="s">
        <v>61</v>
      </c>
      <c r="E22" s="70"/>
      <c r="F22" s="101" t="str">
        <f>"Custo de energia elétrica para produzir"&amp;" "&amp;G20&amp;" peças"</f>
        <v>Custo de energia elétrica para produzir 1 peças</v>
      </c>
      <c r="G22" s="102"/>
      <c r="H22" s="92">
        <f>C31*G20</f>
        <v>1.12005</v>
      </c>
      <c r="I22" s="70"/>
      <c r="J22" s="70"/>
      <c r="K22" s="70"/>
      <c r="L22" s="70"/>
      <c r="M22" s="70"/>
      <c r="N22" s="70"/>
      <c r="O22" s="70"/>
      <c r="P22" s="70"/>
    </row>
    <row r="23" spans="1:16" s="1" customFormat="1" ht="26">
      <c r="A23" s="70"/>
      <c r="B23" s="72" t="s">
        <v>13</v>
      </c>
      <c r="C23" s="72" t="s">
        <v>51</v>
      </c>
      <c r="D23" s="72" t="s">
        <v>40</v>
      </c>
      <c r="E23" s="70"/>
      <c r="F23" s="107" t="str">
        <f>"LUCRO TOTAL PARA PRODUZIR"&amp;" "&amp;G20&amp;" peças"</f>
        <v>LUCRO TOTAL PARA PRODUZIR 1 peças</v>
      </c>
      <c r="G23" s="108"/>
      <c r="H23" s="87">
        <f>H17*G20</f>
        <v>13.945367666666666</v>
      </c>
      <c r="I23" s="70"/>
      <c r="J23" s="70"/>
      <c r="K23" s="70"/>
      <c r="L23" s="70"/>
      <c r="M23" s="70"/>
      <c r="N23" s="70"/>
      <c r="O23" s="70"/>
      <c r="P23" s="70"/>
    </row>
    <row r="24" spans="1:16" s="1" customFormat="1" ht="26">
      <c r="A24" s="70"/>
      <c r="B24" s="73" t="s">
        <v>62</v>
      </c>
      <c r="C24" s="93">
        <v>0.5</v>
      </c>
      <c r="D24" s="75" t="s">
        <v>56</v>
      </c>
      <c r="E24" s="70"/>
      <c r="F24" s="101" t="str">
        <f>"Valor de venda total para produzir"&amp;" "&amp;G20&amp;" peças"</f>
        <v>Valor de venda total para produzir 1 peças</v>
      </c>
      <c r="G24" s="102"/>
      <c r="H24" s="88">
        <f>H10*G20</f>
        <v>27.890735333333332</v>
      </c>
      <c r="I24" s="70"/>
      <c r="J24" s="70"/>
      <c r="K24" s="70"/>
      <c r="L24" s="70"/>
      <c r="M24" s="70"/>
      <c r="N24" s="70"/>
      <c r="O24" s="70"/>
      <c r="P24" s="70"/>
    </row>
    <row r="25" spans="1:16" s="1" customFormat="1" ht="26">
      <c r="A25" s="70"/>
      <c r="B25" s="73" t="s">
        <v>63</v>
      </c>
      <c r="C25" s="93">
        <v>2.5</v>
      </c>
      <c r="D25" s="75" t="s">
        <v>56</v>
      </c>
      <c r="E25" s="70"/>
      <c r="F25" s="70"/>
      <c r="G25" s="70"/>
      <c r="H25" s="94"/>
      <c r="I25" s="70"/>
      <c r="J25" s="70"/>
      <c r="K25" s="70"/>
      <c r="L25" s="70"/>
      <c r="M25" s="70"/>
      <c r="N25" s="70"/>
      <c r="O25" s="70"/>
      <c r="P25" s="70"/>
    </row>
    <row r="26" spans="1:16" s="1" customFormat="1" ht="26">
      <c r="A26" s="70"/>
      <c r="B26" s="73" t="s">
        <v>64</v>
      </c>
      <c r="C26" s="93"/>
      <c r="D26" s="75" t="s">
        <v>56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s="1" customFormat="1" ht="26">
      <c r="A27" s="70"/>
      <c r="B27" s="73" t="s">
        <v>110</v>
      </c>
      <c r="C27" s="78">
        <v>0</v>
      </c>
      <c r="D27" s="75" t="s">
        <v>56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s="1" customFormat="1" ht="26">
      <c r="A28" s="70"/>
      <c r="B28" s="95" t="s">
        <v>120</v>
      </c>
      <c r="C28" s="96">
        <f>SUBTOTAL(9,C24:C27)</f>
        <v>3</v>
      </c>
      <c r="D28" s="97" t="s">
        <v>56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s="1" customFormat="1" ht="26">
      <c r="A29" s="70"/>
      <c r="B29" s="72" t="s">
        <v>66</v>
      </c>
      <c r="C29" s="72" t="s">
        <v>51</v>
      </c>
      <c r="D29" s="72" t="s">
        <v>40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ht="26">
      <c r="A30" s="70"/>
      <c r="B30" s="73" t="s">
        <v>8</v>
      </c>
      <c r="C30" s="78">
        <f>(VLOOKUP(C5,tbl_material[],2,FALSE)/1000)*C13</f>
        <v>3</v>
      </c>
      <c r="D30" s="75" t="s">
        <v>56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ht="26">
      <c r="A31" s="70"/>
      <c r="B31" s="73" t="s">
        <v>7</v>
      </c>
      <c r="C31" s="78">
        <f>((INDEX(tbl_depMaq[#All],7,MATCH(D15,tbl_depMaq[#Headers],0)))*C12)*kwh</f>
        <v>1.12005</v>
      </c>
      <c r="D31" s="75" t="s">
        <v>56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ht="26">
      <c r="A32" s="70"/>
      <c r="B32" s="73" t="s">
        <v>6</v>
      </c>
      <c r="C32" s="78">
        <f>INDEX(tbl_depMaq[#All],6,MATCH(D15,tbl_depMaq[#Headers],0))</f>
        <v>1.1377299999999999</v>
      </c>
      <c r="D32" s="75" t="s">
        <v>56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1:16" ht="26">
      <c r="A33" s="70"/>
      <c r="B33" s="73" t="s">
        <v>5</v>
      </c>
      <c r="C33" s="78">
        <f>C30*C22/100</f>
        <v>0.15</v>
      </c>
      <c r="D33" s="75" t="s">
        <v>56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1:16" ht="26">
      <c r="A34" s="70"/>
      <c r="B34" s="73" t="s">
        <v>4</v>
      </c>
      <c r="C34" s="78">
        <f>C30*10%</f>
        <v>0.30000000000000004</v>
      </c>
      <c r="D34" s="75" t="s">
        <v>56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1:16" ht="26">
      <c r="A35" s="70"/>
      <c r="B35" s="73" t="s">
        <v>58</v>
      </c>
      <c r="C35" s="78">
        <v>0.2</v>
      </c>
      <c r="D35" s="75" t="s">
        <v>56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1:16" s="1" customFormat="1" ht="26">
      <c r="A36" s="70"/>
      <c r="B36" s="73" t="s">
        <v>126</v>
      </c>
      <c r="C36" s="78">
        <f>tbl_consumiveis[[#Totals],[Valores]]/(INDEX(tbl_depMaq[#All],9,MATCH(D15,tbl_depMaq[#Headers],0)))</f>
        <v>6.9500000000000006E-2</v>
      </c>
      <c r="D36" s="75" t="s">
        <v>56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1:16" ht="26">
      <c r="A37" s="70"/>
      <c r="B37" s="95" t="s">
        <v>120</v>
      </c>
      <c r="C37" s="96">
        <f>SUBTOTAL(9,C30:C36)</f>
        <v>5.9772800000000004</v>
      </c>
      <c r="D37" s="97" t="s">
        <v>56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ht="26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1:16" ht="26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ht="26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</row>
    <row r="41" spans="1:16" ht="26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1:16" ht="26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1:16" ht="26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1:16" ht="26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1:16" ht="26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1:16" ht="2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1:16" ht="26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1:16" ht="26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1:16" ht="26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1:16" ht="26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1:16" ht="26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1:16" ht="26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1:16" ht="26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1:16" ht="26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1:16" ht="26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1:16" ht="2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</row>
  </sheetData>
  <mergeCells count="17">
    <mergeCell ref="F21:G21"/>
    <mergeCell ref="F22:G22"/>
    <mergeCell ref="F23:G23"/>
    <mergeCell ref="F24:G24"/>
    <mergeCell ref="H4:H5"/>
    <mergeCell ref="F18:G18"/>
    <mergeCell ref="F19:G19"/>
    <mergeCell ref="H7:H8"/>
    <mergeCell ref="H10:H11"/>
    <mergeCell ref="F7:G8"/>
    <mergeCell ref="F10:G11"/>
    <mergeCell ref="B7:D7"/>
    <mergeCell ref="C5:D5"/>
    <mergeCell ref="B4:D4"/>
    <mergeCell ref="I5:I6"/>
    <mergeCell ref="F17:G17"/>
    <mergeCell ref="F4:G5"/>
  </mergeCells>
  <dataValidations count="1">
    <dataValidation type="list" allowBlank="1" showInputMessage="1" showErrorMessage="1" sqref="C10" xr:uid="{AA1637D3-919B-48DB-B506-055ADF5B4A67}">
      <formula1>"1,75, 2,85"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1A0BB6-F160-4ED3-AF95-0CD2D1766ECF}">
          <x14:formula1>
            <xm:f>bd!$B$3:$B$12</xm:f>
          </x14:formula1>
          <xm:sqref>C5</xm:sqref>
        </x14:dataValidation>
        <x14:dataValidation type="list" allowBlank="1" showInputMessage="1" showErrorMessage="1" xr:uid="{C3E32667-5B48-4BB3-BE6B-B6641CBED644}">
          <x14:formula1>
            <xm:f>bd!$C$14:$E$14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6AC8-380B-4FBE-B88E-E991137C7535}">
  <dimension ref="B2:M22"/>
  <sheetViews>
    <sheetView showGridLines="0" zoomScale="115" zoomScaleNormal="115" workbookViewId="0">
      <selection activeCell="C10" sqref="C10"/>
    </sheetView>
  </sheetViews>
  <sheetFormatPr baseColWidth="10" defaultColWidth="9.1640625" defaultRowHeight="15"/>
  <cols>
    <col min="1" max="1" width="9.1640625" style="5"/>
    <col min="2" max="2" width="27.5" style="5" bestFit="1" customWidth="1"/>
    <col min="3" max="3" width="16" style="5" customWidth="1"/>
    <col min="4" max="4" width="12.83203125" style="5" customWidth="1"/>
    <col min="5" max="5" width="16" style="5" customWidth="1"/>
    <col min="6" max="6" width="5" style="5" customWidth="1"/>
    <col min="7" max="7" width="13.33203125" style="5" bestFit="1" customWidth="1"/>
    <col min="8" max="8" width="4.6640625" style="5" customWidth="1"/>
    <col min="9" max="9" width="19.5" style="5" customWidth="1"/>
    <col min="10" max="10" width="12.83203125" style="5" bestFit="1" customWidth="1"/>
    <col min="11" max="11" width="5.1640625" style="5" customWidth="1"/>
    <col min="12" max="12" width="49" style="5" bestFit="1" customWidth="1"/>
    <col min="13" max="13" width="14.6640625" style="5" customWidth="1"/>
    <col min="14" max="16384" width="9.1640625" style="5"/>
  </cols>
  <sheetData>
    <row r="2" spans="2:13" s="3" customFormat="1" ht="48.75" customHeight="1">
      <c r="B2" s="2" t="s">
        <v>23</v>
      </c>
      <c r="C2" s="2" t="s">
        <v>24</v>
      </c>
      <c r="D2" s="9" t="s">
        <v>41</v>
      </c>
      <c r="E2" s="9" t="s">
        <v>42</v>
      </c>
      <c r="G2" s="4" t="s">
        <v>39</v>
      </c>
      <c r="I2" s="61" t="s">
        <v>52</v>
      </c>
      <c r="J2" s="62" t="s">
        <v>24</v>
      </c>
      <c r="L2" s="67" t="s">
        <v>124</v>
      </c>
      <c r="M2" s="66" t="s">
        <v>24</v>
      </c>
    </row>
    <row r="3" spans="2:13">
      <c r="B3" s="5" t="s">
        <v>27</v>
      </c>
      <c r="C3" s="6">
        <v>90</v>
      </c>
      <c r="D3" s="10">
        <v>1.04</v>
      </c>
      <c r="E3" s="10">
        <v>335</v>
      </c>
      <c r="G3" s="7">
        <v>0.95</v>
      </c>
      <c r="I3" s="5" t="s">
        <v>106</v>
      </c>
      <c r="J3" s="7">
        <v>112</v>
      </c>
      <c r="L3" s="68" t="s">
        <v>123</v>
      </c>
      <c r="M3" s="63">
        <v>89</v>
      </c>
    </row>
    <row r="4" spans="2:13">
      <c r="B4" s="5" t="s">
        <v>37</v>
      </c>
      <c r="C4" s="6">
        <v>120</v>
      </c>
      <c r="D4" s="10">
        <v>1.04</v>
      </c>
      <c r="E4" s="10">
        <v>335</v>
      </c>
      <c r="I4" s="5" t="s">
        <v>107</v>
      </c>
      <c r="J4" s="63">
        <f>80*12</f>
        <v>960</v>
      </c>
      <c r="L4" s="68" t="s">
        <v>125</v>
      </c>
      <c r="M4" s="63">
        <v>50</v>
      </c>
    </row>
    <row r="5" spans="2:13">
      <c r="B5" s="5" t="s">
        <v>36</v>
      </c>
      <c r="C5" s="6">
        <v>90</v>
      </c>
      <c r="D5" s="10">
        <v>1.04</v>
      </c>
      <c r="E5" s="10">
        <v>335</v>
      </c>
      <c r="I5" s="5" t="s">
        <v>108</v>
      </c>
      <c r="J5" s="63">
        <v>358.8</v>
      </c>
      <c r="L5" s="68" t="s">
        <v>109</v>
      </c>
      <c r="M5" s="69">
        <f>SUBTOTAL(109,tbl_consumiveis[Valores])</f>
        <v>139</v>
      </c>
    </row>
    <row r="6" spans="2:13">
      <c r="B6" s="5" t="s">
        <v>33</v>
      </c>
      <c r="C6" s="6">
        <v>260</v>
      </c>
      <c r="D6" s="10">
        <v>1.52</v>
      </c>
      <c r="E6" s="10">
        <v>335</v>
      </c>
      <c r="I6" s="5" t="s">
        <v>65</v>
      </c>
      <c r="J6" s="63">
        <f>4.9*12</f>
        <v>58.800000000000004</v>
      </c>
    </row>
    <row r="7" spans="2:13">
      <c r="B7" s="5" t="s">
        <v>32</v>
      </c>
      <c r="C7" s="6">
        <v>130</v>
      </c>
      <c r="D7" s="10">
        <v>1.27</v>
      </c>
      <c r="E7" s="10">
        <v>335</v>
      </c>
      <c r="I7" s="5" t="s">
        <v>109</v>
      </c>
      <c r="J7" s="64">
        <f>SUBTOTAL(109,tbl_adm[Valores])</f>
        <v>1489.6</v>
      </c>
    </row>
    <row r="8" spans="2:13">
      <c r="B8" s="5" t="s">
        <v>34</v>
      </c>
      <c r="C8" s="6">
        <v>160</v>
      </c>
      <c r="D8" s="10">
        <v>1.22</v>
      </c>
      <c r="E8" s="10">
        <v>335</v>
      </c>
      <c r="J8" s="60"/>
    </row>
    <row r="9" spans="2:13">
      <c r="B9" s="5" t="s">
        <v>25</v>
      </c>
      <c r="C9" s="6">
        <v>100</v>
      </c>
      <c r="D9" s="10">
        <v>1.24</v>
      </c>
      <c r="E9" s="10">
        <v>335</v>
      </c>
    </row>
    <row r="10" spans="2:13">
      <c r="B10" s="5" t="s">
        <v>31</v>
      </c>
      <c r="C10" s="6">
        <v>170</v>
      </c>
      <c r="D10" s="10">
        <v>1.18</v>
      </c>
      <c r="E10" s="10">
        <v>335</v>
      </c>
    </row>
    <row r="11" spans="2:13">
      <c r="B11" s="5" t="s">
        <v>35</v>
      </c>
      <c r="C11" s="6">
        <v>130</v>
      </c>
      <c r="D11" s="10">
        <v>0.8</v>
      </c>
      <c r="E11" s="10">
        <v>335</v>
      </c>
    </row>
    <row r="12" spans="2:13">
      <c r="B12" s="5" t="s">
        <v>38</v>
      </c>
      <c r="C12" s="6">
        <f>140+85</f>
        <v>225</v>
      </c>
      <c r="D12" s="10">
        <v>1.05</v>
      </c>
      <c r="E12" s="10">
        <v>335</v>
      </c>
    </row>
    <row r="14" spans="2:13" ht="16">
      <c r="B14" s="3" t="s">
        <v>3</v>
      </c>
      <c r="C14" s="14" t="s">
        <v>29</v>
      </c>
      <c r="D14" s="14" t="s">
        <v>30</v>
      </c>
      <c r="E14" s="14" t="s">
        <v>57</v>
      </c>
    </row>
    <row r="15" spans="2:13">
      <c r="B15" s="5" t="s">
        <v>104</v>
      </c>
      <c r="C15" s="5">
        <v>10</v>
      </c>
      <c r="D15" s="5">
        <v>12</v>
      </c>
      <c r="E15" s="5">
        <v>10</v>
      </c>
    </row>
    <row r="16" spans="2:13">
      <c r="B16" s="5" t="s">
        <v>12</v>
      </c>
      <c r="C16" s="8">
        <v>2275.46</v>
      </c>
      <c r="D16" s="6">
        <v>2365.63</v>
      </c>
      <c r="E16" s="6">
        <f>1250+60+20+100</f>
        <v>1430</v>
      </c>
    </row>
    <row r="17" spans="2:5">
      <c r="B17" s="5" t="s">
        <v>11</v>
      </c>
      <c r="C17" s="5">
        <v>8</v>
      </c>
      <c r="D17" s="5">
        <v>8</v>
      </c>
      <c r="E17" s="5">
        <v>6</v>
      </c>
    </row>
    <row r="18" spans="2:5">
      <c r="B18" s="5" t="s">
        <v>10</v>
      </c>
      <c r="C18" s="5">
        <v>25</v>
      </c>
      <c r="D18" s="5">
        <v>25</v>
      </c>
      <c r="E18" s="5">
        <v>15</v>
      </c>
    </row>
    <row r="19" spans="2:5">
      <c r="B19" s="5" t="s">
        <v>9</v>
      </c>
      <c r="C19" s="6">
        <f>C16/(C17*C18*C15)</f>
        <v>1.1377299999999999</v>
      </c>
      <c r="D19" s="6">
        <f>D16/(D17*D18*D15)</f>
        <v>0.98567916666666666</v>
      </c>
      <c r="E19" s="6">
        <f>E16/(E17*E18*E15)</f>
        <v>1.5888888888888888</v>
      </c>
    </row>
    <row r="20" spans="2:5">
      <c r="B20" s="5" t="s">
        <v>53</v>
      </c>
      <c r="C20" s="5">
        <f>270/1000</f>
        <v>0.27</v>
      </c>
      <c r="D20" s="5">
        <f>270/1000</f>
        <v>0.27</v>
      </c>
      <c r="E20" s="5">
        <f>270/1000</f>
        <v>0.27</v>
      </c>
    </row>
    <row r="21" spans="2:5">
      <c r="B21" s="5" t="s">
        <v>15</v>
      </c>
      <c r="C21" s="15">
        <v>0.05</v>
      </c>
      <c r="D21" s="15">
        <v>0.08</v>
      </c>
      <c r="E21" s="15">
        <v>0.15</v>
      </c>
    </row>
    <row r="22" spans="2:5">
      <c r="B22" s="5" t="s">
        <v>105</v>
      </c>
      <c r="C22" s="5">
        <f>C18*C17*C15</f>
        <v>2000</v>
      </c>
      <c r="D22" s="5">
        <f>D18*D17*D15</f>
        <v>2400</v>
      </c>
      <c r="E22" s="5">
        <f>E18*E17*E15</f>
        <v>900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88D9-2676-4C51-BFBA-19B989164560}">
  <dimension ref="A1:L37"/>
  <sheetViews>
    <sheetView showGridLines="0" topLeftCell="A4" workbookViewId="0">
      <selection activeCell="G17" sqref="G17"/>
    </sheetView>
  </sheetViews>
  <sheetFormatPr baseColWidth="10" defaultColWidth="9.1640625" defaultRowHeight="15"/>
  <cols>
    <col min="1" max="1" width="8.6640625" style="1" customWidth="1"/>
    <col min="2" max="2" width="27.5" style="1" customWidth="1"/>
    <col min="3" max="3" width="16" style="1" customWidth="1"/>
    <col min="4" max="4" width="14.5" style="1" customWidth="1"/>
    <col min="5" max="5" width="13.83203125" style="1" customWidth="1"/>
    <col min="6" max="6" width="11.33203125" style="1" customWidth="1"/>
    <col min="7" max="7" width="19" style="1" customWidth="1"/>
    <col min="8" max="8" width="14.6640625" style="1" customWidth="1"/>
    <col min="9" max="9" width="9.5" style="1" customWidth="1"/>
    <col min="10" max="16384" width="9.1640625" style="1"/>
  </cols>
  <sheetData>
    <row r="1" spans="1:9" ht="16" thickTop="1">
      <c r="A1" s="16"/>
      <c r="B1" s="17"/>
      <c r="C1" s="17"/>
      <c r="D1" s="17"/>
      <c r="E1" s="17"/>
      <c r="F1" s="17"/>
      <c r="G1" s="17"/>
      <c r="H1" s="17"/>
      <c r="I1" s="18"/>
    </row>
    <row r="2" spans="1:9" ht="15" customHeight="1">
      <c r="A2" s="19"/>
      <c r="B2" s="121" t="s">
        <v>69</v>
      </c>
      <c r="C2" s="121"/>
      <c r="D2" s="121"/>
      <c r="E2" s="121"/>
      <c r="F2" s="121"/>
      <c r="G2" s="121"/>
      <c r="H2" s="20"/>
      <c r="I2" s="21"/>
    </row>
    <row r="3" spans="1:9" ht="16">
      <c r="A3" s="19"/>
      <c r="B3" s="122" t="s">
        <v>70</v>
      </c>
      <c r="C3" s="122"/>
      <c r="D3" s="122"/>
      <c r="E3" s="122"/>
      <c r="F3" s="122"/>
      <c r="G3" s="122"/>
      <c r="H3" s="122"/>
      <c r="I3" s="123"/>
    </row>
    <row r="4" spans="1:9" ht="7.5" customHeight="1">
      <c r="A4" s="19"/>
      <c r="B4" s="22"/>
      <c r="C4" s="22"/>
      <c r="D4" s="22"/>
      <c r="E4" s="22"/>
      <c r="F4" s="22"/>
      <c r="G4" s="22"/>
      <c r="H4" s="22"/>
      <c r="I4" s="23"/>
    </row>
    <row r="5" spans="1:9" ht="16">
      <c r="A5" s="19"/>
      <c r="B5" s="24" t="s">
        <v>71</v>
      </c>
      <c r="C5" s="22"/>
      <c r="D5" s="22"/>
      <c r="E5" s="22"/>
      <c r="F5" s="22"/>
      <c r="G5" s="22"/>
      <c r="H5" s="22"/>
      <c r="I5" s="23"/>
    </row>
    <row r="6" spans="1:9">
      <c r="A6" s="19"/>
      <c r="B6" s="25"/>
      <c r="C6" s="25"/>
      <c r="D6" s="25"/>
      <c r="E6" s="25"/>
      <c r="F6" s="25"/>
      <c r="G6" s="25"/>
      <c r="H6" s="25"/>
      <c r="I6" s="26"/>
    </row>
    <row r="7" spans="1:9">
      <c r="A7" s="19"/>
      <c r="B7" s="124" t="s">
        <v>72</v>
      </c>
      <c r="C7" s="124"/>
      <c r="D7" s="124"/>
      <c r="E7" s="124"/>
      <c r="F7" s="124"/>
      <c r="G7" s="124"/>
      <c r="H7" s="25"/>
      <c r="I7" s="26"/>
    </row>
    <row r="8" spans="1:9">
      <c r="A8" s="19"/>
      <c r="B8" s="124"/>
      <c r="C8" s="124"/>
      <c r="D8" s="124"/>
      <c r="E8" s="124"/>
      <c r="F8" s="124"/>
      <c r="G8" s="124"/>
      <c r="H8" s="25"/>
      <c r="I8" s="26"/>
    </row>
    <row r="9" spans="1:9" ht="33.75" customHeight="1">
      <c r="A9" s="19"/>
      <c r="B9" s="125" t="s">
        <v>73</v>
      </c>
      <c r="C9" s="127" t="s">
        <v>74</v>
      </c>
      <c r="D9" s="129" t="s">
        <v>75</v>
      </c>
      <c r="E9" s="130"/>
      <c r="F9" s="127" t="s">
        <v>76</v>
      </c>
      <c r="G9" s="127" t="s">
        <v>77</v>
      </c>
      <c r="H9" s="25"/>
      <c r="I9" s="26"/>
    </row>
    <row r="10" spans="1:9" ht="16.5" customHeight="1">
      <c r="A10" s="19"/>
      <c r="B10" s="126"/>
      <c r="C10" s="128"/>
      <c r="D10" s="27" t="s">
        <v>78</v>
      </c>
      <c r="E10" s="27" t="s">
        <v>79</v>
      </c>
      <c r="F10" s="128"/>
      <c r="G10" s="128"/>
      <c r="H10" s="25"/>
      <c r="I10" s="26"/>
    </row>
    <row r="11" spans="1:9" ht="15" customHeight="1">
      <c r="A11" s="19"/>
      <c r="B11" s="28"/>
      <c r="C11" s="29" t="s">
        <v>80</v>
      </c>
      <c r="D11" s="29" t="s">
        <v>81</v>
      </c>
      <c r="E11" s="29" t="s">
        <v>82</v>
      </c>
      <c r="F11" s="29" t="s">
        <v>83</v>
      </c>
      <c r="G11" s="29" t="s">
        <v>84</v>
      </c>
      <c r="H11" s="25"/>
      <c r="I11" s="26"/>
    </row>
    <row r="12" spans="1:9" ht="21" customHeight="1">
      <c r="A12" s="19"/>
      <c r="B12" s="30" t="s">
        <v>85</v>
      </c>
      <c r="C12" s="31">
        <v>250000</v>
      </c>
      <c r="D12" s="32">
        <v>300</v>
      </c>
      <c r="E12" s="33">
        <f>D12/12</f>
        <v>25</v>
      </c>
      <c r="F12" s="34">
        <v>0.04</v>
      </c>
      <c r="G12" s="35">
        <f>C12/D12</f>
        <v>833.33333333333337</v>
      </c>
      <c r="H12" s="36"/>
      <c r="I12" s="26"/>
    </row>
    <row r="13" spans="1:9" ht="21" customHeight="1">
      <c r="A13" s="19"/>
      <c r="B13" s="30" t="s">
        <v>86</v>
      </c>
      <c r="C13" s="31">
        <v>12000</v>
      </c>
      <c r="D13" s="32">
        <v>24</v>
      </c>
      <c r="E13" s="33">
        <f>D13/12</f>
        <v>2</v>
      </c>
      <c r="F13" s="34">
        <v>0.1</v>
      </c>
      <c r="G13" s="35">
        <f>C13/D13</f>
        <v>500</v>
      </c>
      <c r="H13" s="25"/>
      <c r="I13" s="26"/>
    </row>
    <row r="14" spans="1:9" ht="21" customHeight="1">
      <c r="A14" s="19"/>
      <c r="B14" s="30" t="s">
        <v>87</v>
      </c>
      <c r="C14" s="31">
        <v>80000</v>
      </c>
      <c r="D14" s="32">
        <v>60</v>
      </c>
      <c r="E14" s="33">
        <f>D14/12</f>
        <v>5</v>
      </c>
      <c r="F14" s="34">
        <v>0.2</v>
      </c>
      <c r="G14" s="35">
        <f>C14/D14</f>
        <v>1333.3333333333333</v>
      </c>
      <c r="H14" s="25"/>
      <c r="I14" s="26"/>
    </row>
    <row r="15" spans="1:9" ht="21" customHeight="1">
      <c r="A15" s="19"/>
      <c r="B15" s="30" t="s">
        <v>88</v>
      </c>
      <c r="C15" s="31">
        <v>7000</v>
      </c>
      <c r="D15" s="32">
        <v>120</v>
      </c>
      <c r="E15" s="33">
        <f>D15/12</f>
        <v>10</v>
      </c>
      <c r="F15" s="34">
        <v>0.1</v>
      </c>
      <c r="G15" s="35">
        <f>C15/D15</f>
        <v>58.333333333333336</v>
      </c>
      <c r="H15" s="25"/>
      <c r="I15" s="26"/>
    </row>
    <row r="16" spans="1:9" ht="21" customHeight="1">
      <c r="A16" s="19"/>
      <c r="B16" s="30" t="s">
        <v>89</v>
      </c>
      <c r="C16" s="31">
        <v>10000</v>
      </c>
      <c r="D16" s="32">
        <v>60</v>
      </c>
      <c r="E16" s="33">
        <f>D16/12</f>
        <v>5</v>
      </c>
      <c r="F16" s="34">
        <v>0.2</v>
      </c>
      <c r="G16" s="35">
        <f>C16/D16</f>
        <v>166.66666666666666</v>
      </c>
      <c r="H16" s="25"/>
      <c r="I16" s="26"/>
    </row>
    <row r="17" spans="1:12" ht="26.25" customHeight="1">
      <c r="A17" s="19"/>
      <c r="B17" s="37" t="s">
        <v>90</v>
      </c>
      <c r="C17" s="38">
        <f>SUM(C12:C16)</f>
        <v>359000</v>
      </c>
      <c r="D17" s="112"/>
      <c r="E17" s="113"/>
      <c r="F17" s="114"/>
      <c r="G17" s="39">
        <f>SUM(G12:G16)</f>
        <v>2891.666666666667</v>
      </c>
      <c r="H17" s="25"/>
      <c r="I17" s="26"/>
    </row>
    <row r="18" spans="1:12" ht="9.75" customHeight="1">
      <c r="A18" s="19"/>
      <c r="B18" s="25"/>
      <c r="C18" s="25"/>
      <c r="D18" s="25"/>
      <c r="E18" s="25"/>
      <c r="F18" s="25"/>
      <c r="G18" s="25"/>
      <c r="H18" s="25"/>
      <c r="I18" s="26"/>
    </row>
    <row r="19" spans="1:12" ht="9.75" customHeight="1">
      <c r="A19" s="19"/>
      <c r="B19" s="25"/>
      <c r="C19" s="25"/>
      <c r="D19" s="25"/>
      <c r="E19" s="25"/>
      <c r="F19" s="25"/>
      <c r="G19" s="25"/>
      <c r="H19" s="25"/>
      <c r="I19" s="26"/>
      <c r="L19" s="49"/>
    </row>
    <row r="20" spans="1:12" ht="9.75" customHeight="1">
      <c r="A20" s="19"/>
      <c r="B20" s="25"/>
      <c r="C20" s="25"/>
      <c r="D20" s="25"/>
      <c r="E20" s="25"/>
      <c r="F20" s="25"/>
      <c r="G20" s="25"/>
      <c r="H20" s="25"/>
      <c r="I20" s="26"/>
    </row>
    <row r="21" spans="1:12" ht="15" customHeight="1">
      <c r="A21" s="19"/>
      <c r="B21" s="115" t="s">
        <v>91</v>
      </c>
      <c r="C21" s="116"/>
      <c r="D21" s="116"/>
      <c r="E21" s="116"/>
      <c r="F21" s="116"/>
      <c r="G21" s="117"/>
      <c r="H21" s="40"/>
      <c r="I21" s="26"/>
    </row>
    <row r="22" spans="1:12" ht="15" customHeight="1">
      <c r="A22" s="19"/>
      <c r="B22" s="118"/>
      <c r="C22" s="119"/>
      <c r="D22" s="119"/>
      <c r="E22" s="119"/>
      <c r="F22" s="119"/>
      <c r="G22" s="120"/>
      <c r="H22" s="40"/>
      <c r="I22" s="26"/>
    </row>
    <row r="23" spans="1:12" ht="30" customHeight="1">
      <c r="A23" s="19"/>
      <c r="B23" s="41" t="s">
        <v>73</v>
      </c>
      <c r="C23" s="42" t="s">
        <v>74</v>
      </c>
      <c r="D23" s="43" t="s">
        <v>92</v>
      </c>
      <c r="E23" s="42" t="s">
        <v>93</v>
      </c>
      <c r="F23" s="42" t="s">
        <v>94</v>
      </c>
      <c r="G23" s="42" t="s">
        <v>95</v>
      </c>
      <c r="I23" s="26"/>
    </row>
    <row r="24" spans="1:12" ht="17.25" customHeight="1">
      <c r="A24" s="19"/>
      <c r="B24" s="28"/>
      <c r="C24" s="44" t="s">
        <v>80</v>
      </c>
      <c r="D24" s="45" t="s">
        <v>81</v>
      </c>
      <c r="E24" s="44" t="s">
        <v>96</v>
      </c>
      <c r="F24" s="44" t="s">
        <v>83</v>
      </c>
      <c r="G24" s="44" t="s">
        <v>97</v>
      </c>
      <c r="I24" s="26"/>
    </row>
    <row r="25" spans="1:12" ht="21" customHeight="1">
      <c r="A25" s="19"/>
      <c r="B25" s="46" t="s">
        <v>85</v>
      </c>
      <c r="C25" s="47">
        <v>250000</v>
      </c>
      <c r="D25" s="47">
        <v>210000</v>
      </c>
      <c r="E25" s="47">
        <f>C25-D25</f>
        <v>40000</v>
      </c>
      <c r="F25" s="13">
        <v>240</v>
      </c>
      <c r="G25" s="48">
        <f>E25/F25</f>
        <v>166.66666666666666</v>
      </c>
      <c r="H25" s="49"/>
      <c r="I25" s="26"/>
    </row>
    <row r="26" spans="1:12" ht="21" customHeight="1">
      <c r="A26" s="19"/>
      <c r="B26" s="46" t="s">
        <v>86</v>
      </c>
      <c r="C26" s="47">
        <v>120000</v>
      </c>
      <c r="D26" s="47">
        <v>50000</v>
      </c>
      <c r="E26" s="47">
        <f>C26-D26</f>
        <v>70000</v>
      </c>
      <c r="F26" s="13">
        <v>120</v>
      </c>
      <c r="G26" s="48">
        <f>E26/F26</f>
        <v>583.33333333333337</v>
      </c>
      <c r="H26" s="49"/>
      <c r="I26" s="26"/>
    </row>
    <row r="27" spans="1:12" ht="21" customHeight="1">
      <c r="A27" s="19"/>
      <c r="B27" s="46" t="s">
        <v>87</v>
      </c>
      <c r="C27" s="47">
        <v>40000</v>
      </c>
      <c r="D27" s="47">
        <v>22000</v>
      </c>
      <c r="E27" s="47">
        <f>C27-D27</f>
        <v>18000</v>
      </c>
      <c r="F27" s="13">
        <v>48</v>
      </c>
      <c r="G27" s="48">
        <f>E27/F27</f>
        <v>375</v>
      </c>
      <c r="H27" s="49"/>
      <c r="I27" s="26"/>
    </row>
    <row r="28" spans="1:12" ht="21" customHeight="1">
      <c r="A28" s="19"/>
      <c r="B28" s="46" t="s">
        <v>88</v>
      </c>
      <c r="C28" s="47">
        <v>7000</v>
      </c>
      <c r="D28" s="50" t="s">
        <v>98</v>
      </c>
      <c r="E28" s="47">
        <f>C28</f>
        <v>7000</v>
      </c>
      <c r="F28" s="13">
        <v>120</v>
      </c>
      <c r="G28" s="48">
        <f>E28/F28</f>
        <v>58.333333333333336</v>
      </c>
      <c r="H28" s="49"/>
      <c r="I28" s="26"/>
    </row>
    <row r="29" spans="1:12" ht="21" customHeight="1">
      <c r="A29" s="19"/>
      <c r="B29" s="46" t="s">
        <v>89</v>
      </c>
      <c r="C29" s="47">
        <v>10000</v>
      </c>
      <c r="D29" s="50" t="s">
        <v>98</v>
      </c>
      <c r="E29" s="47">
        <f>C29</f>
        <v>10000</v>
      </c>
      <c r="F29" s="13">
        <v>36</v>
      </c>
      <c r="G29" s="48">
        <f>E29/F29</f>
        <v>277.77777777777777</v>
      </c>
      <c r="H29" s="49"/>
      <c r="I29" s="26"/>
    </row>
    <row r="30" spans="1:12" ht="25.5" customHeight="1">
      <c r="A30" s="19"/>
      <c r="B30" s="37" t="s">
        <v>90</v>
      </c>
      <c r="C30" s="51">
        <f>SUM(C25:C29)</f>
        <v>427000</v>
      </c>
      <c r="D30" s="51">
        <f>SUM(D25:D29)</f>
        <v>282000</v>
      </c>
      <c r="E30" s="51">
        <f>SUM(E25:E29)</f>
        <v>145000</v>
      </c>
      <c r="F30" s="52"/>
      <c r="G30" s="53">
        <f>SUM(G25:G29)</f>
        <v>1461.1111111111111</v>
      </c>
      <c r="I30" s="26"/>
    </row>
    <row r="31" spans="1:12">
      <c r="A31" s="19"/>
      <c r="B31" s="25"/>
      <c r="C31" s="54" t="s">
        <v>99</v>
      </c>
      <c r="D31" s="25"/>
      <c r="E31" s="25"/>
      <c r="F31" s="25"/>
      <c r="G31" s="25"/>
      <c r="H31" s="25"/>
      <c r="I31" s="26"/>
    </row>
    <row r="32" spans="1:12">
      <c r="A32" s="19"/>
      <c r="B32" s="25"/>
      <c r="C32" s="54" t="s">
        <v>100</v>
      </c>
      <c r="D32" s="25"/>
      <c r="E32" s="25"/>
      <c r="F32" s="25"/>
      <c r="G32" s="25"/>
      <c r="H32" s="25"/>
      <c r="I32" s="26"/>
    </row>
    <row r="33" spans="1:9">
      <c r="A33" s="19"/>
      <c r="B33" s="55"/>
      <c r="C33" s="56" t="s">
        <v>101</v>
      </c>
      <c r="D33" s="25"/>
      <c r="E33" s="25"/>
      <c r="F33" s="25"/>
      <c r="G33" s="25"/>
      <c r="H33" s="25"/>
      <c r="I33" s="26"/>
    </row>
    <row r="34" spans="1:9">
      <c r="A34" s="19"/>
      <c r="B34" s="25"/>
      <c r="C34" s="54" t="s">
        <v>102</v>
      </c>
      <c r="D34" s="25"/>
      <c r="E34" s="25"/>
      <c r="F34" s="25"/>
      <c r="G34" s="25"/>
      <c r="H34" s="25"/>
      <c r="I34" s="26"/>
    </row>
    <row r="35" spans="1:9">
      <c r="A35" s="19"/>
      <c r="B35" s="25"/>
      <c r="C35" s="54" t="s">
        <v>103</v>
      </c>
      <c r="D35" s="25"/>
      <c r="E35" s="25"/>
      <c r="F35" s="25"/>
      <c r="G35" s="25"/>
      <c r="H35" s="25"/>
      <c r="I35" s="26"/>
    </row>
    <row r="36" spans="1:9" ht="16" thickBot="1">
      <c r="A36" s="57"/>
      <c r="B36" s="58"/>
      <c r="C36" s="58"/>
      <c r="D36" s="58"/>
      <c r="E36" s="58"/>
      <c r="F36" s="58"/>
      <c r="G36" s="58"/>
      <c r="H36" s="58"/>
      <c r="I36" s="59"/>
    </row>
    <row r="37" spans="1:9" ht="16" thickTop="1"/>
  </sheetData>
  <mergeCells count="10">
    <mergeCell ref="D17:F17"/>
    <mergeCell ref="B21:G22"/>
    <mergeCell ref="B2:G2"/>
    <mergeCell ref="B3:I3"/>
    <mergeCell ref="B7:G8"/>
    <mergeCell ref="B9:B10"/>
    <mergeCell ref="C9:C10"/>
    <mergeCell ref="D9:E9"/>
    <mergeCell ref="F9:F10"/>
    <mergeCell ref="G9:G10"/>
  </mergeCells>
  <hyperlinks>
    <hyperlink ref="B5" r:id="rId1" display="http://normas.receita.fazenda.gov.br/sijut2consulta/link.action?idAto=15004&amp;visao=compilado" xr:uid="{1D92426F-776E-4025-9EF4-B2031220029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DEF0-1EA8-49D3-8B74-743C3E1A1640}">
  <dimension ref="A2:C12"/>
  <sheetViews>
    <sheetView showGridLines="0" workbookViewId="0">
      <selection activeCell="C7" sqref="C7"/>
    </sheetView>
  </sheetViews>
  <sheetFormatPr baseColWidth="10" defaultColWidth="8.83203125" defaultRowHeight="15"/>
  <cols>
    <col min="1" max="1" width="4.6640625" style="1" customWidth="1"/>
    <col min="2" max="2" width="39.83203125" style="11" customWidth="1"/>
    <col min="3" max="3" width="14.1640625" customWidth="1"/>
  </cols>
  <sheetData>
    <row r="2" spans="2:3" s="1" customFormat="1">
      <c r="B2" s="11"/>
    </row>
    <row r="3" spans="2:3" s="1" customFormat="1">
      <c r="B3" s="11"/>
    </row>
    <row r="4" spans="2:3" s="1" customFormat="1">
      <c r="B4" s="11"/>
    </row>
    <row r="5" spans="2:3" s="1" customFormat="1">
      <c r="B5" s="11"/>
    </row>
    <row r="7" spans="2:3">
      <c r="B7" s="65" t="s">
        <v>43</v>
      </c>
      <c r="C7" s="12">
        <f>C8/C9</f>
        <v>1.2410498151545908</v>
      </c>
    </row>
    <row r="8" spans="2:3">
      <c r="B8" s="65" t="s">
        <v>44</v>
      </c>
      <c r="C8" s="12">
        <v>1000</v>
      </c>
    </row>
    <row r="9" spans="2:3">
      <c r="B9" s="65" t="s">
        <v>45</v>
      </c>
      <c r="C9" s="12">
        <f>C10*C11</f>
        <v>805.7694282605695</v>
      </c>
    </row>
    <row r="10" spans="2:3">
      <c r="B10" s="65" t="s">
        <v>46</v>
      </c>
      <c r="C10" s="12">
        <f>(PI()*C12^2)</f>
        <v>2.4052818754046849E-2</v>
      </c>
    </row>
    <row r="11" spans="2:3">
      <c r="B11" s="65" t="s">
        <v>47</v>
      </c>
      <c r="C11" s="12">
        <v>33500</v>
      </c>
    </row>
    <row r="12" spans="2:3">
      <c r="B12" s="65" t="s">
        <v>48</v>
      </c>
      <c r="C12" s="12">
        <f>(1.75/10)/2</f>
        <v>8.7499999999999994E-2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Valor_Venda</vt:lpstr>
      <vt:lpstr>bd</vt:lpstr>
      <vt:lpstr>depreciacao</vt:lpstr>
      <vt:lpstr>calc</vt:lpstr>
      <vt:lpstr>depreciacao</vt:lpstr>
      <vt:lpstr>kwh</vt:lpstr>
      <vt:lpstr>subtotal_adm</vt:lpstr>
      <vt:lpstr>subtotal_producao</vt:lpstr>
      <vt:lpstr>subtotal_retorno_inv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Microsoft Office User</cp:lastModifiedBy>
  <cp:lastPrinted>2017-01-30T16:53:14Z</cp:lastPrinted>
  <dcterms:created xsi:type="dcterms:W3CDTF">2016-09-09T13:02:51Z</dcterms:created>
  <dcterms:modified xsi:type="dcterms:W3CDTF">2022-05-01T02:06:57Z</dcterms:modified>
</cp:coreProperties>
</file>