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gokhanpoyraz\Desktop\TEZ\Error Correction\Kalibrasyon Testleri\Emir Hoca versiyon1\saha testleri\"/>
    </mc:Choice>
  </mc:AlternateContent>
  <xr:revisionPtr revIDLastSave="0" documentId="13_ncr:1_{0B8B2956-76EA-4F84-A993-1FDBE0273A03}" xr6:coauthVersionLast="47" xr6:coauthVersionMax="47" xr10:uidLastSave="{00000000-0000-0000-0000-000000000000}"/>
  <bookViews>
    <workbookView xWindow="28680" yWindow="-120" windowWidth="29040" windowHeight="16440" firstSheet="3" activeTab="8" xr2:uid="{97A96F80-AE9B-4533-9C09-6EEF77442CCD}"/>
  </bookViews>
  <sheets>
    <sheet name="Ground Truth" sheetId="6" r:id="rId1"/>
    <sheet name="Measurements(Px)_Set1" sheetId="7" r:id="rId2"/>
    <sheet name="Measurements(Px)_Set2" sheetId="9" r:id="rId3"/>
    <sheet name="Saha Testi CC" sheetId="8" r:id="rId4"/>
    <sheet name="Saha Testi Devernay" sheetId="11" r:id="rId5"/>
    <sheet name="Saha Testi SubPixelEdges" sheetId="12" r:id="rId6"/>
    <sheet name="Saha Testi SubPixelCounting" sheetId="13" r:id="rId7"/>
    <sheet name="Analiz" sheetId="14" r:id="rId8"/>
    <sheet name="Analiz-Comparison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1" l="1"/>
  <c r="AD41" i="15"/>
  <c r="AC41" i="15"/>
  <c r="AB41" i="15"/>
  <c r="AA41" i="15"/>
  <c r="Z41" i="15"/>
  <c r="Y41" i="15"/>
  <c r="X41" i="15"/>
  <c r="AD30" i="15"/>
  <c r="AC30" i="15"/>
  <c r="AB30" i="15"/>
  <c r="AA30" i="15"/>
  <c r="Z30" i="15"/>
  <c r="Y30" i="15"/>
  <c r="X30" i="15"/>
  <c r="AD19" i="15"/>
  <c r="AC19" i="15"/>
  <c r="AB19" i="15"/>
  <c r="AA19" i="15"/>
  <c r="Z19" i="15"/>
  <c r="Y19" i="15"/>
  <c r="X19" i="15"/>
  <c r="AD8" i="15"/>
  <c r="AC8" i="15"/>
  <c r="AB8" i="15"/>
  <c r="AA8" i="15"/>
  <c r="Z8" i="15"/>
  <c r="Y8" i="15"/>
  <c r="X8" i="15"/>
  <c r="T42" i="15"/>
  <c r="T41" i="15"/>
  <c r="T40" i="15"/>
  <c r="T39" i="15"/>
  <c r="T38" i="15"/>
  <c r="T37" i="15"/>
  <c r="T36" i="15"/>
  <c r="T31" i="15"/>
  <c r="T30" i="15"/>
  <c r="T29" i="15"/>
  <c r="T28" i="15"/>
  <c r="T27" i="15"/>
  <c r="T26" i="15"/>
  <c r="T25" i="15"/>
  <c r="T20" i="15"/>
  <c r="T19" i="15"/>
  <c r="T18" i="15"/>
  <c r="T17" i="15"/>
  <c r="T16" i="15"/>
  <c r="T15" i="15"/>
  <c r="T14" i="15"/>
  <c r="T9" i="15"/>
  <c r="T8" i="15"/>
  <c r="T7" i="15"/>
  <c r="T6" i="15"/>
  <c r="T5" i="15"/>
  <c r="T4" i="15"/>
  <c r="T3" i="15"/>
  <c r="J43" i="15"/>
  <c r="J42" i="15"/>
  <c r="J41" i="15"/>
  <c r="J40" i="15"/>
  <c r="J39" i="15"/>
  <c r="J38" i="15"/>
  <c r="J37" i="15"/>
  <c r="J36" i="15"/>
  <c r="J32" i="15"/>
  <c r="J31" i="15"/>
  <c r="J30" i="15"/>
  <c r="J29" i="15"/>
  <c r="J28" i="15"/>
  <c r="J27" i="15"/>
  <c r="J26" i="15"/>
  <c r="J25" i="15"/>
  <c r="J21" i="15"/>
  <c r="J20" i="15"/>
  <c r="J19" i="15"/>
  <c r="J18" i="15"/>
  <c r="J17" i="15"/>
  <c r="J16" i="15"/>
  <c r="J15" i="15"/>
  <c r="J14" i="15"/>
  <c r="J10" i="15"/>
  <c r="J9" i="15"/>
  <c r="J8" i="15"/>
  <c r="J7" i="15"/>
  <c r="J6" i="15"/>
  <c r="J5" i="15"/>
  <c r="J4" i="15"/>
  <c r="J3" i="15"/>
  <c r="J3" i="14"/>
  <c r="J4" i="14"/>
  <c r="J5" i="14"/>
  <c r="J6" i="14"/>
  <c r="J7" i="14"/>
  <c r="J8" i="14"/>
  <c r="J9" i="14"/>
  <c r="J10" i="14"/>
  <c r="J43" i="14"/>
  <c r="J42" i="14"/>
  <c r="J41" i="14"/>
  <c r="J40" i="14"/>
  <c r="J39" i="14"/>
  <c r="J38" i="14"/>
  <c r="J37" i="14"/>
  <c r="J36" i="14"/>
  <c r="J32" i="14"/>
  <c r="J31" i="14"/>
  <c r="J30" i="14"/>
  <c r="J29" i="14"/>
  <c r="J28" i="14"/>
  <c r="J27" i="14"/>
  <c r="J26" i="14"/>
  <c r="J25" i="14"/>
  <c r="J21" i="14"/>
  <c r="J20" i="14"/>
  <c r="J19" i="14"/>
  <c r="J18" i="14"/>
  <c r="J17" i="14"/>
  <c r="J16" i="14"/>
  <c r="J15" i="14"/>
  <c r="J14" i="14"/>
  <c r="K75" i="13" l="1"/>
  <c r="K84" i="13"/>
  <c r="I84" i="13"/>
  <c r="H84" i="13"/>
  <c r="F84" i="13"/>
  <c r="E84" i="13"/>
  <c r="I75" i="13"/>
  <c r="H75" i="13"/>
  <c r="F75" i="13"/>
  <c r="E75" i="13"/>
  <c r="K66" i="13"/>
  <c r="I66" i="13"/>
  <c r="H66" i="13"/>
  <c r="F66" i="13"/>
  <c r="E66" i="13"/>
  <c r="K53" i="13"/>
  <c r="I53" i="13"/>
  <c r="H53" i="13"/>
  <c r="F53" i="13"/>
  <c r="E53" i="13"/>
  <c r="K45" i="13"/>
  <c r="I45" i="13"/>
  <c r="H45" i="13"/>
  <c r="F45" i="13"/>
  <c r="E45" i="13"/>
  <c r="K37" i="13"/>
  <c r="I37" i="13"/>
  <c r="H37" i="13"/>
  <c r="F37" i="13"/>
  <c r="E37" i="13"/>
  <c r="L13" i="13"/>
  <c r="L52" i="13" s="1"/>
  <c r="K13" i="13"/>
  <c r="K83" i="13" s="1"/>
  <c r="J13" i="13"/>
  <c r="J83" i="13" s="1"/>
  <c r="I13" i="13"/>
  <c r="I83" i="13" s="1"/>
  <c r="H13" i="13"/>
  <c r="H83" i="13" s="1"/>
  <c r="G13" i="13"/>
  <c r="G28" i="13" s="1"/>
  <c r="F13" i="13"/>
  <c r="F74" i="13" s="1"/>
  <c r="E13" i="13"/>
  <c r="E74" i="13" s="1"/>
  <c r="D13" i="13"/>
  <c r="O64" i="13" s="1"/>
  <c r="K84" i="12"/>
  <c r="I84" i="12"/>
  <c r="H84" i="12"/>
  <c r="F84" i="12"/>
  <c r="E84" i="12"/>
  <c r="K75" i="12"/>
  <c r="I75" i="12"/>
  <c r="H75" i="12"/>
  <c r="F75" i="12"/>
  <c r="E75" i="12"/>
  <c r="K66" i="12"/>
  <c r="I66" i="12"/>
  <c r="H66" i="12"/>
  <c r="F66" i="12"/>
  <c r="E66" i="12"/>
  <c r="K53" i="12"/>
  <c r="I53" i="12"/>
  <c r="H53" i="12"/>
  <c r="F53" i="12"/>
  <c r="E53" i="12"/>
  <c r="K45" i="12"/>
  <c r="I45" i="12"/>
  <c r="H45" i="12"/>
  <c r="F45" i="12"/>
  <c r="E45" i="12"/>
  <c r="K37" i="12"/>
  <c r="I37" i="12"/>
  <c r="H37" i="12"/>
  <c r="F37" i="12"/>
  <c r="E37" i="12"/>
  <c r="H44" i="12"/>
  <c r="H46" i="12" s="1"/>
  <c r="H47" i="12" s="1"/>
  <c r="H36" i="12"/>
  <c r="H38" i="12" s="1"/>
  <c r="H39" i="12" s="1"/>
  <c r="G36" i="12"/>
  <c r="P36" i="12" s="1"/>
  <c r="H28" i="12"/>
  <c r="J20" i="12"/>
  <c r="L13" i="12"/>
  <c r="O67" i="12" s="1"/>
  <c r="K13" i="12"/>
  <c r="K83" i="12" s="1"/>
  <c r="J13" i="12"/>
  <c r="J83" i="12" s="1"/>
  <c r="I13" i="12"/>
  <c r="I83" i="12" s="1"/>
  <c r="H13" i="12"/>
  <c r="H83" i="12" s="1"/>
  <c r="G13" i="12"/>
  <c r="O65" i="12" s="1"/>
  <c r="F13" i="12"/>
  <c r="F83" i="12" s="1"/>
  <c r="E13" i="12"/>
  <c r="E28" i="12" s="1"/>
  <c r="D13" i="12"/>
  <c r="D74" i="12" s="1"/>
  <c r="K84" i="11"/>
  <c r="I84" i="11"/>
  <c r="H84" i="11"/>
  <c r="F84" i="11"/>
  <c r="D84" i="11"/>
  <c r="E84" i="11"/>
  <c r="G84" i="11"/>
  <c r="J84" i="11"/>
  <c r="L84" i="11"/>
  <c r="K75" i="11"/>
  <c r="I75" i="11"/>
  <c r="H75" i="11"/>
  <c r="F75" i="11"/>
  <c r="E75" i="11"/>
  <c r="I66" i="11"/>
  <c r="H66" i="11"/>
  <c r="F66" i="11"/>
  <c r="E66" i="11"/>
  <c r="K37" i="8"/>
  <c r="K45" i="8"/>
  <c r="K53" i="8"/>
  <c r="K66" i="8"/>
  <c r="K75" i="8"/>
  <c r="I66" i="8"/>
  <c r="H66" i="8"/>
  <c r="E66" i="8"/>
  <c r="L13" i="11"/>
  <c r="L52" i="11" s="1"/>
  <c r="K13" i="11"/>
  <c r="K83" i="11" s="1"/>
  <c r="J13" i="11"/>
  <c r="J52" i="11" s="1"/>
  <c r="I13" i="11"/>
  <c r="I83" i="11" s="1"/>
  <c r="H13" i="11"/>
  <c r="H83" i="11" s="1"/>
  <c r="G13" i="11"/>
  <c r="G28" i="11" s="1"/>
  <c r="F13" i="11"/>
  <c r="F74" i="11" s="1"/>
  <c r="E13" i="11"/>
  <c r="E28" i="11" s="1"/>
  <c r="D13" i="11"/>
  <c r="O64" i="11" s="1"/>
  <c r="I75" i="8"/>
  <c r="H75" i="8"/>
  <c r="E75" i="8"/>
  <c r="I53" i="8"/>
  <c r="H53" i="8"/>
  <c r="E53" i="8"/>
  <c r="I45" i="8"/>
  <c r="H45" i="8"/>
  <c r="E45" i="8"/>
  <c r="L13" i="8"/>
  <c r="L14" i="8" s="1"/>
  <c r="K13" i="8"/>
  <c r="K83" i="8" s="1"/>
  <c r="J13" i="8"/>
  <c r="J83" i="8" s="1"/>
  <c r="I13" i="8"/>
  <c r="I83" i="8" s="1"/>
  <c r="H13" i="8"/>
  <c r="H83" i="8" s="1"/>
  <c r="G13" i="8"/>
  <c r="G28" i="8" s="1"/>
  <c r="F13" i="8"/>
  <c r="F74" i="8" s="1"/>
  <c r="F75" i="8" s="1"/>
  <c r="E13" i="8"/>
  <c r="E74" i="8" s="1"/>
  <c r="D13" i="8"/>
  <c r="O64" i="8" s="1"/>
  <c r="F76" i="13" l="1"/>
  <c r="F77" i="13" s="1"/>
  <c r="E76" i="13"/>
  <c r="E77" i="13" s="1"/>
  <c r="O75" i="13"/>
  <c r="L20" i="13"/>
  <c r="H28" i="13"/>
  <c r="G36" i="13"/>
  <c r="P36" i="13" s="1"/>
  <c r="G44" i="13"/>
  <c r="P44" i="13" s="1"/>
  <c r="F52" i="13"/>
  <c r="F54" i="13" s="1"/>
  <c r="F55" i="13" s="1"/>
  <c r="O52" i="13"/>
  <c r="I65" i="13"/>
  <c r="I67" i="13" s="1"/>
  <c r="I68" i="13" s="1"/>
  <c r="G74" i="13"/>
  <c r="L74" i="13"/>
  <c r="E83" i="13"/>
  <c r="G14" i="13"/>
  <c r="O44" i="13" s="1"/>
  <c r="E20" i="13"/>
  <c r="L83" i="13"/>
  <c r="D65" i="13"/>
  <c r="I28" i="13"/>
  <c r="S51" i="13"/>
  <c r="S52" i="13"/>
  <c r="E65" i="13"/>
  <c r="E67" i="13" s="1"/>
  <c r="E68" i="13" s="1"/>
  <c r="H74" i="13"/>
  <c r="H76" i="13" s="1"/>
  <c r="H77" i="13" s="1"/>
  <c r="D14" i="13"/>
  <c r="J28" i="13"/>
  <c r="D36" i="13"/>
  <c r="P35" i="13" s="1"/>
  <c r="D44" i="13"/>
  <c r="P43" i="13" s="1"/>
  <c r="W51" i="13"/>
  <c r="W52" i="13"/>
  <c r="F65" i="13"/>
  <c r="F67" i="13" s="1"/>
  <c r="F68" i="13" s="1"/>
  <c r="I74" i="13"/>
  <c r="I76" i="13" s="1"/>
  <c r="I77" i="13" s="1"/>
  <c r="O51" i="13"/>
  <c r="E14" i="13"/>
  <c r="K28" i="13"/>
  <c r="E36" i="13"/>
  <c r="E38" i="13" s="1"/>
  <c r="E39" i="13" s="1"/>
  <c r="E44" i="13"/>
  <c r="E46" i="13" s="1"/>
  <c r="E47" i="13" s="1"/>
  <c r="D52" i="13"/>
  <c r="G65" i="13"/>
  <c r="O66" i="13"/>
  <c r="J74" i="13"/>
  <c r="F14" i="13"/>
  <c r="D20" i="13"/>
  <c r="L28" i="13"/>
  <c r="F36" i="13"/>
  <c r="F38" i="13" s="1"/>
  <c r="F39" i="13" s="1"/>
  <c r="F44" i="13"/>
  <c r="F46" i="13" s="1"/>
  <c r="F47" i="13" s="1"/>
  <c r="E52" i="13"/>
  <c r="E54" i="13" s="1"/>
  <c r="E55" i="13" s="1"/>
  <c r="H65" i="13"/>
  <c r="H67" i="13" s="1"/>
  <c r="H68" i="13" s="1"/>
  <c r="K74" i="13"/>
  <c r="K76" i="13" s="1"/>
  <c r="K77" i="13" s="1"/>
  <c r="D83" i="13"/>
  <c r="H14" i="13"/>
  <c r="F20" i="13"/>
  <c r="H36" i="13"/>
  <c r="H38" i="13" s="1"/>
  <c r="H39" i="13" s="1"/>
  <c r="H44" i="13"/>
  <c r="H46" i="13" s="1"/>
  <c r="H47" i="13" s="1"/>
  <c r="G52" i="13"/>
  <c r="J65" i="13"/>
  <c r="O74" i="13"/>
  <c r="O76" i="13"/>
  <c r="F83" i="13"/>
  <c r="I14" i="13"/>
  <c r="G20" i="13"/>
  <c r="I36" i="13"/>
  <c r="I38" i="13" s="1"/>
  <c r="I39" i="13" s="1"/>
  <c r="I44" i="13"/>
  <c r="I46" i="13" s="1"/>
  <c r="I47" i="13" s="1"/>
  <c r="H52" i="13"/>
  <c r="H54" i="13" s="1"/>
  <c r="H55" i="13" s="1"/>
  <c r="K65" i="13"/>
  <c r="K67" i="13" s="1"/>
  <c r="K68" i="13" s="1"/>
  <c r="G83" i="13"/>
  <c r="J14" i="13"/>
  <c r="H20" i="13"/>
  <c r="D28" i="13"/>
  <c r="J36" i="13"/>
  <c r="P37" i="13" s="1"/>
  <c r="J44" i="13"/>
  <c r="P45" i="13" s="1"/>
  <c r="I52" i="13"/>
  <c r="I54" i="13" s="1"/>
  <c r="I55" i="13" s="1"/>
  <c r="L65" i="13"/>
  <c r="O73" i="13"/>
  <c r="K14" i="13"/>
  <c r="I20" i="13"/>
  <c r="E28" i="13"/>
  <c r="K36" i="13"/>
  <c r="K38" i="13" s="1"/>
  <c r="K39" i="13" s="1"/>
  <c r="K44" i="13"/>
  <c r="K46" i="13" s="1"/>
  <c r="K47" i="13" s="1"/>
  <c r="J52" i="13"/>
  <c r="O65" i="13"/>
  <c r="O67" i="13"/>
  <c r="D74" i="13"/>
  <c r="L14" i="13"/>
  <c r="J20" i="13"/>
  <c r="F28" i="13"/>
  <c r="L36" i="13"/>
  <c r="P38" i="13" s="1"/>
  <c r="L44" i="13"/>
  <c r="P46" i="13" s="1"/>
  <c r="K52" i="13"/>
  <c r="K54" i="13" s="1"/>
  <c r="K55" i="13" s="1"/>
  <c r="K20" i="13"/>
  <c r="E83" i="12"/>
  <c r="G83" i="12"/>
  <c r="G14" i="12"/>
  <c r="G51" i="12" s="1"/>
  <c r="G20" i="12"/>
  <c r="H52" i="12"/>
  <c r="H54" i="12" s="1"/>
  <c r="H55" i="12" s="1"/>
  <c r="O64" i="12"/>
  <c r="O74" i="12"/>
  <c r="K52" i="12"/>
  <c r="K54" i="12" s="1"/>
  <c r="K55" i="12" s="1"/>
  <c r="H14" i="12"/>
  <c r="L36" i="12"/>
  <c r="P38" i="12" s="1"/>
  <c r="O52" i="12"/>
  <c r="L14" i="12"/>
  <c r="L64" i="12" s="1"/>
  <c r="E20" i="12"/>
  <c r="G44" i="12"/>
  <c r="P44" i="12" s="1"/>
  <c r="F74" i="12"/>
  <c r="F76" i="12" s="1"/>
  <c r="F77" i="12" s="1"/>
  <c r="L44" i="12"/>
  <c r="P46" i="12" s="1"/>
  <c r="G74" i="12"/>
  <c r="F28" i="12"/>
  <c r="F52" i="12"/>
  <c r="F54" i="12" s="1"/>
  <c r="F55" i="12" s="1"/>
  <c r="H74" i="12"/>
  <c r="H76" i="12" s="1"/>
  <c r="H77" i="12" s="1"/>
  <c r="E74" i="12"/>
  <c r="E76" i="12" s="1"/>
  <c r="E77" i="12" s="1"/>
  <c r="K20" i="12"/>
  <c r="O44" i="12"/>
  <c r="L20" i="12"/>
  <c r="S51" i="12"/>
  <c r="G28" i="12"/>
  <c r="G52" i="12"/>
  <c r="L74" i="12"/>
  <c r="L52" i="12"/>
  <c r="L83" i="12"/>
  <c r="D65" i="12"/>
  <c r="O75" i="12"/>
  <c r="D14" i="12"/>
  <c r="J28" i="12"/>
  <c r="D36" i="12"/>
  <c r="P35" i="12" s="1"/>
  <c r="D44" i="12"/>
  <c r="P43" i="12" s="1"/>
  <c r="W51" i="12"/>
  <c r="W52" i="12"/>
  <c r="F65" i="12"/>
  <c r="F67" i="12" s="1"/>
  <c r="F68" i="12" s="1"/>
  <c r="I74" i="12"/>
  <c r="I76" i="12" s="1"/>
  <c r="I77" i="12" s="1"/>
  <c r="O51" i="12"/>
  <c r="I28" i="12"/>
  <c r="S52" i="12"/>
  <c r="E65" i="12"/>
  <c r="E67" i="12" s="1"/>
  <c r="E68" i="12" s="1"/>
  <c r="E14" i="12"/>
  <c r="K28" i="12"/>
  <c r="E36" i="12"/>
  <c r="E38" i="12" s="1"/>
  <c r="E39" i="12" s="1"/>
  <c r="E44" i="12"/>
  <c r="E46" i="12" s="1"/>
  <c r="E47" i="12" s="1"/>
  <c r="D52" i="12"/>
  <c r="G65" i="12"/>
  <c r="O66" i="12"/>
  <c r="J74" i="12"/>
  <c r="F14" i="12"/>
  <c r="D20" i="12"/>
  <c r="L28" i="12"/>
  <c r="F36" i="12"/>
  <c r="F38" i="12" s="1"/>
  <c r="F39" i="12" s="1"/>
  <c r="F44" i="12"/>
  <c r="F46" i="12" s="1"/>
  <c r="F47" i="12" s="1"/>
  <c r="E52" i="12"/>
  <c r="E54" i="12" s="1"/>
  <c r="E55" i="12" s="1"/>
  <c r="H65" i="12"/>
  <c r="H67" i="12" s="1"/>
  <c r="H68" i="12" s="1"/>
  <c r="K74" i="12"/>
  <c r="K76" i="12" s="1"/>
  <c r="K77" i="12" s="1"/>
  <c r="D83" i="12"/>
  <c r="G73" i="12"/>
  <c r="F20" i="12"/>
  <c r="J65" i="12"/>
  <c r="O76" i="12"/>
  <c r="G27" i="12"/>
  <c r="J14" i="12"/>
  <c r="H20" i="12"/>
  <c r="D28" i="12"/>
  <c r="J36" i="12"/>
  <c r="P37" i="12" s="1"/>
  <c r="J44" i="12"/>
  <c r="P45" i="12" s="1"/>
  <c r="I52" i="12"/>
  <c r="I54" i="12" s="1"/>
  <c r="I55" i="12" s="1"/>
  <c r="G64" i="12"/>
  <c r="L65" i="12"/>
  <c r="O73" i="12"/>
  <c r="I65" i="12"/>
  <c r="I67" i="12" s="1"/>
  <c r="I68" i="12" s="1"/>
  <c r="I14" i="12"/>
  <c r="I36" i="12"/>
  <c r="I38" i="12" s="1"/>
  <c r="I39" i="12" s="1"/>
  <c r="I44" i="12"/>
  <c r="I46" i="12" s="1"/>
  <c r="I47" i="12" s="1"/>
  <c r="K65" i="12"/>
  <c r="K67" i="12" s="1"/>
  <c r="K68" i="12" s="1"/>
  <c r="K14" i="12"/>
  <c r="I20" i="12"/>
  <c r="G35" i="12"/>
  <c r="K36" i="12"/>
  <c r="K38" i="12" s="1"/>
  <c r="K39" i="12" s="1"/>
  <c r="G43" i="12"/>
  <c r="K44" i="12"/>
  <c r="K46" i="12" s="1"/>
  <c r="K47" i="12" s="1"/>
  <c r="J52" i="12"/>
  <c r="F76" i="11"/>
  <c r="F77" i="11" s="1"/>
  <c r="J20" i="11"/>
  <c r="L20" i="11"/>
  <c r="H28" i="11"/>
  <c r="S51" i="11"/>
  <c r="O52" i="11"/>
  <c r="S52" i="11"/>
  <c r="D65" i="11"/>
  <c r="G65" i="11"/>
  <c r="G74" i="11"/>
  <c r="O75" i="11"/>
  <c r="L83" i="11"/>
  <c r="F28" i="11"/>
  <c r="E65" i="11"/>
  <c r="E67" i="11" s="1"/>
  <c r="E68" i="11" s="1"/>
  <c r="E36" i="11"/>
  <c r="O66" i="11"/>
  <c r="E74" i="11"/>
  <c r="E76" i="11" s="1"/>
  <c r="E77" i="11" s="1"/>
  <c r="E44" i="11"/>
  <c r="H74" i="11"/>
  <c r="H76" i="11" s="1"/>
  <c r="H77" i="11" s="1"/>
  <c r="O51" i="11"/>
  <c r="J74" i="11"/>
  <c r="D52" i="11"/>
  <c r="J83" i="11"/>
  <c r="E14" i="11"/>
  <c r="D14" i="11"/>
  <c r="J28" i="11"/>
  <c r="D36" i="11"/>
  <c r="P35" i="11" s="1"/>
  <c r="D44" i="11"/>
  <c r="P43" i="11" s="1"/>
  <c r="W51" i="11"/>
  <c r="W52" i="11"/>
  <c r="F65" i="11"/>
  <c r="F67" i="11" s="1"/>
  <c r="F68" i="11" s="1"/>
  <c r="I74" i="11"/>
  <c r="I76" i="11" s="1"/>
  <c r="I77" i="11" s="1"/>
  <c r="F14" i="11"/>
  <c r="D20" i="11"/>
  <c r="L28" i="11"/>
  <c r="F36" i="11"/>
  <c r="F44" i="11"/>
  <c r="E52" i="11"/>
  <c r="H65" i="11"/>
  <c r="H67" i="11" s="1"/>
  <c r="H68" i="11" s="1"/>
  <c r="K74" i="11"/>
  <c r="K76" i="11" s="1"/>
  <c r="K77" i="11" s="1"/>
  <c r="D83" i="11"/>
  <c r="G14" i="11"/>
  <c r="E20" i="11"/>
  <c r="G36" i="11"/>
  <c r="P36" i="11" s="1"/>
  <c r="G44" i="11"/>
  <c r="P44" i="11" s="1"/>
  <c r="F52" i="11"/>
  <c r="I65" i="11"/>
  <c r="I67" i="11" s="1"/>
  <c r="I68" i="11" s="1"/>
  <c r="L74" i="11"/>
  <c r="E83" i="11"/>
  <c r="I28" i="11"/>
  <c r="H14" i="11"/>
  <c r="F20" i="11"/>
  <c r="H36" i="11"/>
  <c r="H44" i="11"/>
  <c r="G52" i="11"/>
  <c r="J65" i="11"/>
  <c r="O74" i="11"/>
  <c r="O76" i="11"/>
  <c r="F83" i="11"/>
  <c r="I14" i="11"/>
  <c r="G20" i="11"/>
  <c r="I36" i="11"/>
  <c r="I44" i="11"/>
  <c r="H52" i="11"/>
  <c r="K65" i="11"/>
  <c r="K67" i="11" s="1"/>
  <c r="K68" i="11" s="1"/>
  <c r="G83" i="11"/>
  <c r="J14" i="11"/>
  <c r="H20" i="11"/>
  <c r="D28" i="11"/>
  <c r="J36" i="11"/>
  <c r="P37" i="11" s="1"/>
  <c r="J44" i="11"/>
  <c r="P45" i="11" s="1"/>
  <c r="I52" i="11"/>
  <c r="L65" i="11"/>
  <c r="O73" i="11"/>
  <c r="K28" i="11"/>
  <c r="K14" i="11"/>
  <c r="I20" i="11"/>
  <c r="K36" i="11"/>
  <c r="K44" i="11"/>
  <c r="O65" i="11"/>
  <c r="O67" i="11"/>
  <c r="D74" i="11"/>
  <c r="L36" i="11"/>
  <c r="P38" i="11" s="1"/>
  <c r="L14" i="11"/>
  <c r="L44" i="11"/>
  <c r="P46" i="11" s="1"/>
  <c r="K52" i="11"/>
  <c r="K20" i="11"/>
  <c r="F76" i="8"/>
  <c r="F77" i="8" s="1"/>
  <c r="E76" i="8"/>
  <c r="E77" i="8" s="1"/>
  <c r="L52" i="8"/>
  <c r="I14" i="8"/>
  <c r="L83" i="8"/>
  <c r="H28" i="8"/>
  <c r="O75" i="8"/>
  <c r="L20" i="8"/>
  <c r="I28" i="8"/>
  <c r="O51" i="8"/>
  <c r="S51" i="8"/>
  <c r="O52" i="8"/>
  <c r="S52" i="8"/>
  <c r="D65" i="8"/>
  <c r="E65" i="8"/>
  <c r="E67" i="8" s="1"/>
  <c r="E68" i="8" s="1"/>
  <c r="G74" i="8"/>
  <c r="H74" i="8"/>
  <c r="H76" i="8" s="1"/>
  <c r="H77" i="8" s="1"/>
  <c r="D14" i="8"/>
  <c r="J28" i="8"/>
  <c r="D36" i="8"/>
  <c r="P35" i="8" s="1"/>
  <c r="D44" i="8"/>
  <c r="P43" i="8" s="1"/>
  <c r="W51" i="8"/>
  <c r="W52" i="8"/>
  <c r="F65" i="8"/>
  <c r="F66" i="8" s="1"/>
  <c r="I74" i="8"/>
  <c r="I76" i="8" s="1"/>
  <c r="I77" i="8" s="1"/>
  <c r="E14" i="8"/>
  <c r="K28" i="8"/>
  <c r="E36" i="8"/>
  <c r="E44" i="8"/>
  <c r="D52" i="8"/>
  <c r="G65" i="8"/>
  <c r="O66" i="8"/>
  <c r="J74" i="8"/>
  <c r="F14" i="8"/>
  <c r="D20" i="8"/>
  <c r="L28" i="8"/>
  <c r="F36" i="8"/>
  <c r="F44" i="8"/>
  <c r="F45" i="8" s="1"/>
  <c r="E52" i="8"/>
  <c r="E54" i="8" s="1"/>
  <c r="E55" i="8" s="1"/>
  <c r="H65" i="8"/>
  <c r="H67" i="8" s="1"/>
  <c r="H68" i="8" s="1"/>
  <c r="K74" i="8"/>
  <c r="K76" i="8" s="1"/>
  <c r="K77" i="8" s="1"/>
  <c r="D83" i="8"/>
  <c r="G14" i="8"/>
  <c r="Q19" i="8" s="1"/>
  <c r="E20" i="8"/>
  <c r="G36" i="8"/>
  <c r="P36" i="8" s="1"/>
  <c r="G44" i="8"/>
  <c r="P44" i="8" s="1"/>
  <c r="F52" i="8"/>
  <c r="I65" i="8"/>
  <c r="I67" i="8" s="1"/>
  <c r="I68" i="8" s="1"/>
  <c r="L74" i="8"/>
  <c r="E83" i="8"/>
  <c r="H14" i="8"/>
  <c r="F20" i="8"/>
  <c r="H36" i="8"/>
  <c r="H44" i="8"/>
  <c r="G52" i="8"/>
  <c r="J65" i="8"/>
  <c r="O74" i="8"/>
  <c r="O76" i="8"/>
  <c r="F83" i="8"/>
  <c r="G20" i="8"/>
  <c r="I36" i="8"/>
  <c r="I44" i="8"/>
  <c r="H52" i="8"/>
  <c r="H54" i="8" s="1"/>
  <c r="H55" i="8" s="1"/>
  <c r="K65" i="8"/>
  <c r="K67" i="8" s="1"/>
  <c r="K68" i="8" s="1"/>
  <c r="G83" i="8"/>
  <c r="J14" i="8"/>
  <c r="H20" i="8"/>
  <c r="D28" i="8"/>
  <c r="J36" i="8"/>
  <c r="P37" i="8" s="1"/>
  <c r="J44" i="8"/>
  <c r="P45" i="8" s="1"/>
  <c r="I52" i="8"/>
  <c r="I54" i="8" s="1"/>
  <c r="I55" i="8" s="1"/>
  <c r="L65" i="8"/>
  <c r="O73" i="8"/>
  <c r="K14" i="8"/>
  <c r="I20" i="8"/>
  <c r="E28" i="8"/>
  <c r="K36" i="8"/>
  <c r="K44" i="8"/>
  <c r="J52" i="8"/>
  <c r="O65" i="8"/>
  <c r="O67" i="8"/>
  <c r="D74" i="8"/>
  <c r="J20" i="8"/>
  <c r="F28" i="8"/>
  <c r="L36" i="8"/>
  <c r="P38" i="8" s="1"/>
  <c r="L44" i="8"/>
  <c r="P46" i="8" s="1"/>
  <c r="K52" i="8"/>
  <c r="K54" i="8" s="1"/>
  <c r="K55" i="8" s="1"/>
  <c r="K20" i="8"/>
  <c r="H79" i="13" l="1"/>
  <c r="G64" i="13"/>
  <c r="O36" i="13"/>
  <c r="G19" i="13"/>
  <c r="G51" i="13"/>
  <c r="G27" i="13"/>
  <c r="H29" i="13" s="1"/>
  <c r="H30" i="13" s="1"/>
  <c r="H31" i="13" s="1"/>
  <c r="G73" i="13"/>
  <c r="H57" i="13"/>
  <c r="G43" i="13"/>
  <c r="Q19" i="13"/>
  <c r="E21" i="13" s="1"/>
  <c r="E22" i="13" s="1"/>
  <c r="E23" i="13" s="1"/>
  <c r="G35" i="13"/>
  <c r="I21" i="13"/>
  <c r="I22" i="13" s="1"/>
  <c r="I23" i="13" s="1"/>
  <c r="L51" i="13"/>
  <c r="L43" i="13"/>
  <c r="L35" i="13"/>
  <c r="L64" i="13"/>
  <c r="L73" i="13"/>
  <c r="L27" i="13"/>
  <c r="L82" i="13"/>
  <c r="L19" i="13"/>
  <c r="O46" i="13"/>
  <c r="O38" i="13"/>
  <c r="I29" i="13"/>
  <c r="I30" i="13" s="1"/>
  <c r="I31" i="13" s="1"/>
  <c r="F21" i="13"/>
  <c r="F22" i="13" s="1"/>
  <c r="F23" i="13" s="1"/>
  <c r="K29" i="13"/>
  <c r="K30" i="13" s="1"/>
  <c r="K31" i="13" s="1"/>
  <c r="J51" i="13"/>
  <c r="J43" i="13"/>
  <c r="J35" i="13"/>
  <c r="J64" i="13"/>
  <c r="J73" i="13"/>
  <c r="O45" i="13"/>
  <c r="O37" i="13"/>
  <c r="J27" i="13"/>
  <c r="J19" i="13"/>
  <c r="K21" i="13"/>
  <c r="K22" i="13" s="1"/>
  <c r="K23" i="13" s="1"/>
  <c r="D19" i="13"/>
  <c r="D51" i="13"/>
  <c r="D43" i="13"/>
  <c r="D35" i="13"/>
  <c r="D64" i="13"/>
  <c r="D73" i="13"/>
  <c r="D27" i="13"/>
  <c r="E29" i="13" s="1"/>
  <c r="E30" i="13" s="1"/>
  <c r="E31" i="13" s="1"/>
  <c r="O35" i="13"/>
  <c r="O43" i="13"/>
  <c r="H21" i="13"/>
  <c r="H22" i="13" s="1"/>
  <c r="H23" i="13" s="1"/>
  <c r="H70" i="13"/>
  <c r="G19" i="12"/>
  <c r="L51" i="12"/>
  <c r="O46" i="12"/>
  <c r="L43" i="12"/>
  <c r="L27" i="12"/>
  <c r="Q19" i="12"/>
  <c r="K21" i="12" s="1"/>
  <c r="K22" i="12" s="1"/>
  <c r="K23" i="12" s="1"/>
  <c r="O36" i="12"/>
  <c r="O38" i="12"/>
  <c r="L19" i="12"/>
  <c r="D92" i="12"/>
  <c r="H70" i="12"/>
  <c r="L73" i="12"/>
  <c r="L82" i="12"/>
  <c r="L35" i="12"/>
  <c r="H79" i="12"/>
  <c r="F29" i="12"/>
  <c r="F30" i="12" s="1"/>
  <c r="F31" i="12" s="1"/>
  <c r="E21" i="12"/>
  <c r="E22" i="12" s="1"/>
  <c r="E23" i="12" s="1"/>
  <c r="F21" i="12"/>
  <c r="F22" i="12" s="1"/>
  <c r="F23" i="12" s="1"/>
  <c r="H29" i="12"/>
  <c r="H30" i="12" s="1"/>
  <c r="H31" i="12" s="1"/>
  <c r="D19" i="12"/>
  <c r="D64" i="12"/>
  <c r="D51" i="12"/>
  <c r="D43" i="12"/>
  <c r="D35" i="12"/>
  <c r="D73" i="12"/>
  <c r="D27" i="12"/>
  <c r="E29" i="12" s="1"/>
  <c r="E30" i="12" s="1"/>
  <c r="E31" i="12" s="1"/>
  <c r="O43" i="12"/>
  <c r="O35" i="12"/>
  <c r="I21" i="12"/>
  <c r="I22" i="12" s="1"/>
  <c r="I23" i="12" s="1"/>
  <c r="H57" i="12"/>
  <c r="L84" i="12"/>
  <c r="L85" i="12" s="1"/>
  <c r="O84" i="12" s="1"/>
  <c r="K85" i="12"/>
  <c r="K86" i="12" s="1"/>
  <c r="G84" i="12"/>
  <c r="G85" i="12" s="1"/>
  <c r="O82" i="12" s="1"/>
  <c r="J84" i="12"/>
  <c r="J85" i="12" s="1"/>
  <c r="O83" i="12" s="1"/>
  <c r="H85" i="12"/>
  <c r="H86" i="12" s="1"/>
  <c r="F85" i="12"/>
  <c r="F86" i="12" s="1"/>
  <c r="E85" i="12"/>
  <c r="E86" i="12" s="1"/>
  <c r="D84" i="12"/>
  <c r="D85" i="12" s="1"/>
  <c r="O81" i="12" s="1"/>
  <c r="H92" i="12"/>
  <c r="H21" i="12"/>
  <c r="H22" i="12" s="1"/>
  <c r="H23" i="12" s="1"/>
  <c r="L92" i="12"/>
  <c r="J43" i="12"/>
  <c r="J64" i="12"/>
  <c r="J51" i="12"/>
  <c r="J35" i="12"/>
  <c r="J73" i="12"/>
  <c r="O45" i="12"/>
  <c r="O37" i="12"/>
  <c r="J27" i="12"/>
  <c r="I29" i="12" s="1"/>
  <c r="I30" i="12" s="1"/>
  <c r="I31" i="12" s="1"/>
  <c r="J19" i="12"/>
  <c r="K29" i="12"/>
  <c r="K30" i="12" s="1"/>
  <c r="K31" i="12" s="1"/>
  <c r="I92" i="12"/>
  <c r="K53" i="11"/>
  <c r="K54" i="11" s="1"/>
  <c r="K55" i="11" s="1"/>
  <c r="E53" i="11"/>
  <c r="E54" i="11" s="1"/>
  <c r="E55" i="11" s="1"/>
  <c r="F45" i="11"/>
  <c r="F46" i="11" s="1"/>
  <c r="F47" i="11" s="1"/>
  <c r="I53" i="11"/>
  <c r="I54" i="11" s="1"/>
  <c r="I55" i="11" s="1"/>
  <c r="F37" i="11"/>
  <c r="F38" i="11" s="1"/>
  <c r="F39" i="11" s="1"/>
  <c r="I37" i="11"/>
  <c r="I38" i="11" s="1"/>
  <c r="I39" i="11" s="1"/>
  <c r="F53" i="11"/>
  <c r="F54" i="11" s="1"/>
  <c r="F55" i="11" s="1"/>
  <c r="K37" i="11"/>
  <c r="K38" i="11" s="1"/>
  <c r="K39" i="11" s="1"/>
  <c r="H45" i="11"/>
  <c r="H46" i="11" s="1"/>
  <c r="H47" i="11" s="1"/>
  <c r="K45" i="11"/>
  <c r="K46" i="11" s="1"/>
  <c r="K47" i="11" s="1"/>
  <c r="E45" i="11"/>
  <c r="E46" i="11" s="1"/>
  <c r="E47" i="11" s="1"/>
  <c r="H37" i="11"/>
  <c r="H38" i="11" s="1"/>
  <c r="H39" i="11" s="1"/>
  <c r="H53" i="11"/>
  <c r="H54" i="11" s="1"/>
  <c r="H55" i="11" s="1"/>
  <c r="I45" i="11"/>
  <c r="I46" i="11" s="1"/>
  <c r="I47" i="11" s="1"/>
  <c r="E37" i="11"/>
  <c r="E38" i="11" s="1"/>
  <c r="E39" i="11" s="1"/>
  <c r="H70" i="11"/>
  <c r="H79" i="11"/>
  <c r="D19" i="11"/>
  <c r="D51" i="11"/>
  <c r="D43" i="11"/>
  <c r="D35" i="11"/>
  <c r="O43" i="11"/>
  <c r="D64" i="11"/>
  <c r="O35" i="11"/>
  <c r="D73" i="11"/>
  <c r="D27" i="11"/>
  <c r="E29" i="11" s="1"/>
  <c r="E30" i="11" s="1"/>
  <c r="E31" i="11" s="1"/>
  <c r="L51" i="11"/>
  <c r="L43" i="11"/>
  <c r="L35" i="11"/>
  <c r="L64" i="11"/>
  <c r="L73" i="11"/>
  <c r="L27" i="11"/>
  <c r="O46" i="11"/>
  <c r="O38" i="11"/>
  <c r="L82" i="11"/>
  <c r="E92" i="11" s="1"/>
  <c r="L19" i="11"/>
  <c r="J35" i="11"/>
  <c r="J51" i="11"/>
  <c r="J43" i="11"/>
  <c r="J64" i="11"/>
  <c r="J73" i="11"/>
  <c r="O45" i="11"/>
  <c r="O37" i="11"/>
  <c r="J27" i="11"/>
  <c r="I29" i="11" s="1"/>
  <c r="I30" i="11" s="1"/>
  <c r="I31" i="11" s="1"/>
  <c r="J19" i="11"/>
  <c r="K29" i="11"/>
  <c r="K30" i="11" s="1"/>
  <c r="K31" i="11" s="1"/>
  <c r="O44" i="11"/>
  <c r="O36" i="11"/>
  <c r="G51" i="11"/>
  <c r="G43" i="11"/>
  <c r="G35" i="11"/>
  <c r="G64" i="11"/>
  <c r="G19" i="11"/>
  <c r="G73" i="11"/>
  <c r="G27" i="11"/>
  <c r="Q19" i="11"/>
  <c r="H21" i="11" s="1"/>
  <c r="H22" i="11" s="1"/>
  <c r="H23" i="11" s="1"/>
  <c r="F67" i="8"/>
  <c r="F68" i="8" s="1"/>
  <c r="H70" i="8" s="1"/>
  <c r="F53" i="8"/>
  <c r="F54" i="8" s="1"/>
  <c r="F55" i="8" s="1"/>
  <c r="H57" i="8" s="1"/>
  <c r="I37" i="8"/>
  <c r="I38" i="8" s="1"/>
  <c r="I39" i="8" s="1"/>
  <c r="I46" i="8"/>
  <c r="I47" i="8" s="1"/>
  <c r="F46" i="8"/>
  <c r="F47" i="8" s="1"/>
  <c r="K46" i="8"/>
  <c r="K47" i="8" s="1"/>
  <c r="H46" i="8"/>
  <c r="H47" i="8" s="1"/>
  <c r="K38" i="8"/>
  <c r="K39" i="8" s="1"/>
  <c r="H37" i="8"/>
  <c r="H38" i="8" s="1"/>
  <c r="H39" i="8" s="1"/>
  <c r="E46" i="8"/>
  <c r="E47" i="8" s="1"/>
  <c r="F37" i="8"/>
  <c r="F38" i="8" s="1"/>
  <c r="F39" i="8" s="1"/>
  <c r="E37" i="8"/>
  <c r="E38" i="8" s="1"/>
  <c r="E39" i="8" s="1"/>
  <c r="H79" i="8"/>
  <c r="H21" i="8"/>
  <c r="H22" i="8" s="1"/>
  <c r="H23" i="8" s="1"/>
  <c r="E21" i="8"/>
  <c r="E22" i="8" s="1"/>
  <c r="E23" i="8" s="1"/>
  <c r="J51" i="8"/>
  <c r="J43" i="8"/>
  <c r="J35" i="8"/>
  <c r="J64" i="8"/>
  <c r="J19" i="8"/>
  <c r="J73" i="8"/>
  <c r="O45" i="8"/>
  <c r="O37" i="8"/>
  <c r="J27" i="8"/>
  <c r="I29" i="8" s="1"/>
  <c r="I30" i="8" s="1"/>
  <c r="I31" i="8" s="1"/>
  <c r="O44" i="8"/>
  <c r="O36" i="8"/>
  <c r="G51" i="8"/>
  <c r="G43" i="8"/>
  <c r="G35" i="8"/>
  <c r="G64" i="8"/>
  <c r="G73" i="8"/>
  <c r="G27" i="8"/>
  <c r="H29" i="8" s="1"/>
  <c r="H30" i="8" s="1"/>
  <c r="H31" i="8" s="1"/>
  <c r="G19" i="8"/>
  <c r="K21" i="8"/>
  <c r="K22" i="8" s="1"/>
  <c r="K23" i="8" s="1"/>
  <c r="D19" i="8"/>
  <c r="O35" i="8"/>
  <c r="D51" i="8"/>
  <c r="D43" i="8"/>
  <c r="D35" i="8"/>
  <c r="O43" i="8"/>
  <c r="D64" i="8"/>
  <c r="D73" i="8"/>
  <c r="D27" i="8"/>
  <c r="E29" i="8" s="1"/>
  <c r="E30" i="8" s="1"/>
  <c r="E31" i="8" s="1"/>
  <c r="I21" i="8"/>
  <c r="I22" i="8" s="1"/>
  <c r="I23" i="8" s="1"/>
  <c r="F21" i="8"/>
  <c r="F22" i="8" s="1"/>
  <c r="F23" i="8" s="1"/>
  <c r="L51" i="8"/>
  <c r="L43" i="8"/>
  <c r="L35" i="8"/>
  <c r="L64" i="8"/>
  <c r="O46" i="8"/>
  <c r="L73" i="8"/>
  <c r="L27" i="8"/>
  <c r="O38" i="8"/>
  <c r="L82" i="8"/>
  <c r="L19" i="8"/>
  <c r="F29" i="13" l="1"/>
  <c r="F30" i="13" s="1"/>
  <c r="F31" i="13" s="1"/>
  <c r="L84" i="13"/>
  <c r="L85" i="13" s="1"/>
  <c r="O84" i="13" s="1"/>
  <c r="K85" i="13"/>
  <c r="K86" i="13" s="1"/>
  <c r="J84" i="13"/>
  <c r="J85" i="13" s="1"/>
  <c r="O83" i="13" s="1"/>
  <c r="I85" i="13"/>
  <c r="I86" i="13" s="1"/>
  <c r="H85" i="13"/>
  <c r="H86" i="13" s="1"/>
  <c r="G84" i="13"/>
  <c r="G85" i="13" s="1"/>
  <c r="O82" i="13" s="1"/>
  <c r="F85" i="13"/>
  <c r="F86" i="13" s="1"/>
  <c r="E85" i="13"/>
  <c r="E86" i="13" s="1"/>
  <c r="D84" i="13"/>
  <c r="D85" i="13" s="1"/>
  <c r="O81" i="13" s="1"/>
  <c r="H92" i="13"/>
  <c r="I92" i="13"/>
  <c r="J92" i="13"/>
  <c r="E92" i="13"/>
  <c r="K92" i="13"/>
  <c r="L92" i="13"/>
  <c r="G92" i="13"/>
  <c r="D92" i="13"/>
  <c r="F92" i="13"/>
  <c r="K92" i="12"/>
  <c r="E92" i="12"/>
  <c r="G92" i="12"/>
  <c r="F92" i="12"/>
  <c r="J92" i="12"/>
  <c r="I85" i="12"/>
  <c r="I86" i="12" s="1"/>
  <c r="H88" i="12" s="1"/>
  <c r="H57" i="11"/>
  <c r="G92" i="8"/>
  <c r="K84" i="8"/>
  <c r="K85" i="8" s="1"/>
  <c r="K86" i="8" s="1"/>
  <c r="E84" i="8"/>
  <c r="E85" i="8" s="1"/>
  <c r="E86" i="8" s="1"/>
  <c r="I84" i="8"/>
  <c r="I85" i="8" s="1"/>
  <c r="I86" i="8" s="1"/>
  <c r="H84" i="8"/>
  <c r="H85" i="8" s="1"/>
  <c r="H86" i="8" s="1"/>
  <c r="F84" i="8"/>
  <c r="F85" i="8" s="1"/>
  <c r="F86" i="8" s="1"/>
  <c r="K21" i="11"/>
  <c r="K22" i="11" s="1"/>
  <c r="K23" i="11" s="1"/>
  <c r="F21" i="11"/>
  <c r="F22" i="11" s="1"/>
  <c r="F23" i="11" s="1"/>
  <c r="E21" i="11"/>
  <c r="E22" i="11" s="1"/>
  <c r="E23" i="11" s="1"/>
  <c r="L85" i="11"/>
  <c r="O84" i="11" s="1"/>
  <c r="K85" i="11"/>
  <c r="K86" i="11" s="1"/>
  <c r="E85" i="11"/>
  <c r="E86" i="11" s="1"/>
  <c r="J85" i="11"/>
  <c r="O83" i="11" s="1"/>
  <c r="I85" i="11"/>
  <c r="I86" i="11" s="1"/>
  <c r="H85" i="11"/>
  <c r="H86" i="11" s="1"/>
  <c r="G85" i="11"/>
  <c r="O82" i="11" s="1"/>
  <c r="F85" i="11"/>
  <c r="F86" i="11" s="1"/>
  <c r="D85" i="11"/>
  <c r="O81" i="11" s="1"/>
  <c r="L92" i="11"/>
  <c r="H92" i="11"/>
  <c r="K92" i="11"/>
  <c r="J92" i="11"/>
  <c r="I92" i="11"/>
  <c r="F92" i="11"/>
  <c r="H29" i="11"/>
  <c r="H30" i="11" s="1"/>
  <c r="H31" i="11" s="1"/>
  <c r="F29" i="11"/>
  <c r="F30" i="11" s="1"/>
  <c r="F31" i="11" s="1"/>
  <c r="D92" i="11"/>
  <c r="I21" i="11"/>
  <c r="I22" i="11" s="1"/>
  <c r="I23" i="11" s="1"/>
  <c r="G92" i="11"/>
  <c r="F29" i="8"/>
  <c r="F30" i="8" s="1"/>
  <c r="F31" i="8" s="1"/>
  <c r="F92" i="8"/>
  <c r="E92" i="8"/>
  <c r="K29" i="8"/>
  <c r="K30" i="8" s="1"/>
  <c r="K31" i="8" s="1"/>
  <c r="D92" i="8"/>
  <c r="L84" i="8"/>
  <c r="L85" i="8" s="1"/>
  <c r="O84" i="8" s="1"/>
  <c r="J84" i="8"/>
  <c r="J85" i="8" s="1"/>
  <c r="O83" i="8" s="1"/>
  <c r="G84" i="8"/>
  <c r="G85" i="8" s="1"/>
  <c r="O82" i="8" s="1"/>
  <c r="D84" i="8"/>
  <c r="D85" i="8" s="1"/>
  <c r="O81" i="8" s="1"/>
  <c r="H92" i="8"/>
  <c r="J92" i="8"/>
  <c r="I92" i="8"/>
  <c r="L92" i="8"/>
  <c r="K92" i="8"/>
  <c r="H88" i="13" l="1"/>
  <c r="H88" i="11"/>
  <c r="H88" i="8"/>
</calcChain>
</file>

<file path=xl/sharedStrings.xml><?xml version="1.0" encoding="utf-8"?>
<sst xmlns="http://schemas.openxmlformats.org/spreadsheetml/2006/main" count="596" uniqueCount="96">
  <si>
    <t>Set1</t>
  </si>
  <si>
    <t>Set2</t>
  </si>
  <si>
    <t>Parça 1</t>
  </si>
  <si>
    <t>Parça 2</t>
  </si>
  <si>
    <t>Parça 3</t>
  </si>
  <si>
    <t>Parça 4</t>
  </si>
  <si>
    <t>Parça 5</t>
  </si>
  <si>
    <t>Parça 8</t>
  </si>
  <si>
    <t>Set 1</t>
  </si>
  <si>
    <t>Parça 6</t>
  </si>
  <si>
    <t>Parça 7</t>
  </si>
  <si>
    <t>Parça 9</t>
  </si>
  <si>
    <t>Resim No</t>
  </si>
  <si>
    <t>Method 1
(CC)</t>
  </si>
  <si>
    <t>Method 2
(Devernay)</t>
  </si>
  <si>
    <t>Method 1
(Subpixel Edge)</t>
  </si>
  <si>
    <t>Method 1
(Subpixel Counting)</t>
  </si>
  <si>
    <t>TRANSPOSED</t>
  </si>
  <si>
    <r>
      <rPr>
        <b/>
        <sz val="11"/>
        <color theme="1"/>
        <rFont val="Calibri"/>
        <family val="2"/>
        <charset val="162"/>
        <scheme val="minor"/>
      </rPr>
      <t>METHOD</t>
    </r>
    <r>
      <rPr>
        <sz val="11"/>
        <color theme="1"/>
        <rFont val="Calibri"/>
        <family val="2"/>
        <scheme val="minor"/>
      </rPr>
      <t>: CC</t>
    </r>
  </si>
  <si>
    <t>Diameters</t>
  </si>
  <si>
    <t>Piksel Bazında Ölçümler</t>
  </si>
  <si>
    <t>Ortalama</t>
  </si>
  <si>
    <t>Conversion Ratio 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</si>
  <si>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</si>
  <si>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</si>
  <si>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</si>
  <si>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</si>
  <si>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</si>
  <si>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</si>
  <si>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</si>
  <si>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</si>
  <si>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</si>
  <si>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0. yöntem</t>
  </si>
  <si>
    <t>Test</t>
  </si>
  <si>
    <t>Train</t>
  </si>
  <si>
    <t>ortalama R</t>
  </si>
  <si>
    <t>Ölçüm Piksel (P)</t>
  </si>
  <si>
    <t>Ölçüm (Dm)</t>
  </si>
  <si>
    <t>Hata(um)</t>
  </si>
  <si>
    <t>Yüzdesel Hata</t>
  </si>
  <si>
    <t>1. yöntem</t>
  </si>
  <si>
    <t>2. yöntem</t>
  </si>
  <si>
    <t>3. yöntem</t>
  </si>
  <si>
    <t>4. yöntem</t>
  </si>
  <si>
    <t>Eğri 1</t>
  </si>
  <si>
    <t>Eğri 2</t>
  </si>
  <si>
    <t>Eğri 3</t>
  </si>
  <si>
    <t>MAPE</t>
  </si>
  <si>
    <t>5. yöntem</t>
  </si>
  <si>
    <t>Eğri 4</t>
  </si>
  <si>
    <t>6. yöntem</t>
  </si>
  <si>
    <t>Eğri 6</t>
  </si>
  <si>
    <t>7. yöntem</t>
  </si>
  <si>
    <t>Set 1'den 11.06 hariç hepsi Set2'den ise sadece 11.046 veri kümesi olarak seçilmiştir.</t>
  </si>
  <si>
    <t>Çaplar</t>
  </si>
  <si>
    <t>Ortalama MAPE</t>
  </si>
  <si>
    <t>CC</t>
  </si>
  <si>
    <t>0. Yöntem</t>
  </si>
  <si>
    <t>1. Yöntem</t>
  </si>
  <si>
    <t>2. Yöntem</t>
  </si>
  <si>
    <t>3. Yöntem</t>
  </si>
  <si>
    <t>4. Yöntem</t>
  </si>
  <si>
    <t>5. Yöntem</t>
  </si>
  <si>
    <t>6. Yöntem</t>
  </si>
  <si>
    <t>7. Yöntem</t>
  </si>
  <si>
    <t>0.Yöntem</t>
  </si>
  <si>
    <t>Devernay</t>
  </si>
  <si>
    <t>Ortanca R değerinin alınması</t>
  </si>
  <si>
    <t>1.yöntem</t>
  </si>
  <si>
    <t>En yakın R değerinin alınması</t>
  </si>
  <si>
    <t>2.yöntem</t>
  </si>
  <si>
    <t>en yakın R'lerin lineer fitting'i</t>
  </si>
  <si>
    <t>3.yöntem</t>
  </si>
  <si>
    <t>bütün R lerin polinom fittingi</t>
  </si>
  <si>
    <t>4.Yöntem</t>
  </si>
  <si>
    <t>En yakın pikseller fitting</t>
  </si>
  <si>
    <t>Bütün referanslar lineer fitting</t>
  </si>
  <si>
    <t>Subpixel Edges</t>
  </si>
  <si>
    <t>Bütün referanslar polinomial fitting</t>
  </si>
  <si>
    <t>Error Estimation yöntemi</t>
  </si>
  <si>
    <t>Subpixel Counting</t>
  </si>
  <si>
    <t>Method</t>
  </si>
  <si>
    <t>Base Method</t>
  </si>
  <si>
    <t>R-Based Approach</t>
  </si>
  <si>
    <t>D-Based Approach</t>
  </si>
  <si>
    <t>Diameter</t>
  </si>
  <si>
    <t>APE(%)</t>
  </si>
  <si>
    <t>1.0+[8]</t>
  </si>
  <si>
    <t>2.2+[8]</t>
  </si>
  <si>
    <t>AE(um)</t>
  </si>
  <si>
    <t>1.0+[7]</t>
  </si>
  <si>
    <t>2.2+[7]</t>
  </si>
  <si>
    <t>1.0+[33]</t>
  </si>
  <si>
    <t>2.2+[33]</t>
  </si>
  <si>
    <t>Test Diameters for Glass Set(mm)</t>
  </si>
  <si>
    <t>Test Diameters for Metal Set(mm)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</si>
</sst>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64" fontId="3" fillId="0" borderId="0" xfId="0" applyNumberFormat="1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3" fillId="0" borderId="5" xfId="0" applyFont="1" applyBorder="1"/>
    <xf numFmtId="164" fontId="1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6" xfId="0" applyBorder="1"/>
    <xf numFmtId="165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CC'!$O$51:$O$52</c:f>
              <c:numCache>
                <c:formatCode>0.0000</c:formatCode>
                <c:ptCount val="2"/>
                <c:pt idx="0">
                  <c:v>186.4627322435683</c:v>
                </c:pt>
                <c:pt idx="1">
                  <c:v>441.65457870397768</c:v>
                </c:pt>
              </c:numCache>
            </c:numRef>
          </c:xVal>
          <c:yVal>
            <c:numRef>
              <c:f>'Saha Testi CC'!$P$51:$P$52</c:f>
              <c:numCache>
                <c:formatCode>0.00</c:formatCode>
                <c:ptCount val="2"/>
                <c:pt idx="0">
                  <c:v>3.665</c:v>
                </c:pt>
                <c:pt idx="1">
                  <c:v>8.5939999999999994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D-40BB-87BA-7237C7BF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11968"/>
        <c:axId val="245710528"/>
      </c:scatterChart>
      <c:valAx>
        <c:axId val="245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0528"/>
        <c:crosses val="autoZero"/>
        <c:crossBetween val="midCat"/>
      </c:valAx>
      <c:valAx>
        <c:axId val="245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1442511016198796"/>
                  <c:y val="-0.1536559075153773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CC'!$P$37:$P$38</c:f>
              <c:numCache>
                <c:formatCode>0.00</c:formatCode>
                <c:ptCount val="2"/>
                <c:pt idx="0">
                  <c:v>814.39244731385156</c:v>
                </c:pt>
                <c:pt idx="1">
                  <c:v>1256.0260132449832</c:v>
                </c:pt>
              </c:numCache>
            </c:numRef>
          </c:xVal>
          <c:yVal>
            <c:numRef>
              <c:f>'Saha Testi CC'!$O$37:$O$38</c:f>
              <c:numCache>
                <c:formatCode>0.00</c:formatCode>
                <c:ptCount val="2"/>
                <c:pt idx="0">
                  <c:v>19.400965777757239</c:v>
                </c:pt>
                <c:pt idx="1">
                  <c:v>19.362656301336074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C-4878-A507-782FEF27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58976"/>
        <c:axId val="537222687"/>
      </c:scatterChart>
      <c:valAx>
        <c:axId val="6227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222687"/>
        <c:crosses val="autoZero"/>
        <c:crossBetween val="midCat"/>
      </c:valAx>
      <c:valAx>
        <c:axId val="5372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Bütün R'lerin Polinomial Fitting'i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713770181317093"/>
                  <c:y val="-0.38650064090825859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CC'!$P$43:$P$46</c:f>
              <c:numCache>
                <c:formatCode>0.00</c:formatCode>
                <c:ptCount val="4"/>
                <c:pt idx="0">
                  <c:v>186.4627322435683</c:v>
                </c:pt>
                <c:pt idx="1">
                  <c:v>441.65457870397768</c:v>
                </c:pt>
                <c:pt idx="2">
                  <c:v>814.39244731385156</c:v>
                </c:pt>
                <c:pt idx="3">
                  <c:v>1256.0260132449832</c:v>
                </c:pt>
              </c:numCache>
            </c:numRef>
          </c:xVal>
          <c:yVal>
            <c:numRef>
              <c:f>'Saha Testi CC'!$O$43:$O$46</c:f>
              <c:numCache>
                <c:formatCode>0.00</c:formatCode>
                <c:ptCount val="4"/>
                <c:pt idx="0">
                  <c:v>19.655402213095147</c:v>
                </c:pt>
                <c:pt idx="1">
                  <c:v>19.458645770680878</c:v>
                </c:pt>
                <c:pt idx="2">
                  <c:v>19.400965777757239</c:v>
                </c:pt>
                <c:pt idx="3">
                  <c:v>19.362656301336074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0-4C06-B823-57C6CC58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16992"/>
        <c:axId val="661788000"/>
      </c:scatterChart>
      <c:valAx>
        <c:axId val="5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000"/>
        <c:crosses val="autoZero"/>
        <c:crossBetween val="midCat"/>
      </c:valAx>
      <c:valAx>
        <c:axId val="661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20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'Saha Testi CC'!$D$2:$L$2</c:f>
              <c:numCache>
                <c:formatCode>General</c:formatCode>
                <c:ptCount val="9"/>
                <c:pt idx="0">
                  <c:v>3.665</c:v>
                </c:pt>
                <c:pt idx="1">
                  <c:v>5.3979999999999997</c:v>
                </c:pt>
                <c:pt idx="2">
                  <c:v>6.431</c:v>
                </c:pt>
                <c:pt idx="3">
                  <c:v>8.5939999999999994</c:v>
                </c:pt>
                <c:pt idx="4">
                  <c:v>10.458</c:v>
                </c:pt>
                <c:pt idx="5">
                  <c:v>11.045999999999999</c:v>
                </c:pt>
                <c:pt idx="6">
                  <c:v>15.8</c:v>
                </c:pt>
                <c:pt idx="7">
                  <c:v>23.667999999999999</c:v>
                </c:pt>
                <c:pt idx="8">
                  <c:v>24.32</c:v>
                </c:pt>
              </c:numCache>
            </c:numRef>
          </c:xVal>
          <c:yVal>
            <c:numRef>
              <c:f>'Saha Testi CC'!$D$14:$L$14</c:f>
              <c:numCache>
                <c:formatCode>General</c:formatCode>
                <c:ptCount val="9"/>
                <c:pt idx="0">
                  <c:v>19.655402213095147</c:v>
                </c:pt>
                <c:pt idx="1">
                  <c:v>19.558559705826401</c:v>
                </c:pt>
                <c:pt idx="2">
                  <c:v>19.533673525084943</c:v>
                </c:pt>
                <c:pt idx="3">
                  <c:v>19.458645770680878</c:v>
                </c:pt>
                <c:pt idx="4">
                  <c:v>19.430043445020353</c:v>
                </c:pt>
                <c:pt idx="5">
                  <c:v>19.426245643782739</c:v>
                </c:pt>
                <c:pt idx="6">
                  <c:v>19.400965777757239</c:v>
                </c:pt>
                <c:pt idx="7">
                  <c:v>19.372320080053882</c:v>
                </c:pt>
                <c:pt idx="8">
                  <c:v>19.362656301336074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C-4271-8297-385BA500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50384"/>
        <c:axId val="372462032"/>
      </c:scatterChart>
      <c:valAx>
        <c:axId val="16018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462032"/>
        <c:crosses val="autoZero"/>
        <c:crossBetween val="midCat"/>
      </c:valAx>
      <c:valAx>
        <c:axId val="372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Devernay'!$O$51:$O$52</c:f>
              <c:numCache>
                <c:formatCode>0.0000</c:formatCode>
                <c:ptCount val="2"/>
                <c:pt idx="0">
                  <c:v>186.79813660758367</c:v>
                </c:pt>
                <c:pt idx="1">
                  <c:v>441.70913106715864</c:v>
                </c:pt>
              </c:numCache>
            </c:numRef>
          </c:xVal>
          <c:yVal>
            <c:numRef>
              <c:f>'Saha Testi Devernay'!$P$51:$P$52</c:f>
              <c:numCache>
                <c:formatCode>0.00</c:formatCode>
                <c:ptCount val="2"/>
                <c:pt idx="0">
                  <c:v>3.665</c:v>
                </c:pt>
                <c:pt idx="1">
                  <c:v>8.5939999999999994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7-4D02-9225-696F5C301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11968"/>
        <c:axId val="245710528"/>
      </c:scatterChart>
      <c:valAx>
        <c:axId val="245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0528"/>
        <c:crosses val="autoZero"/>
        <c:crossBetween val="midCat"/>
      </c:valAx>
      <c:valAx>
        <c:axId val="245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4177185544114682"/>
          <c:y val="0.3443434343434344"/>
          <c:w val="0.5505361060636651"/>
          <c:h val="0.391027598822874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28090719429302E-3"/>
                  <c:y val="0.0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Devernay'!$S$51:$S$52</c:f>
              <c:numCache>
                <c:formatCode>0.0000</c:formatCode>
                <c:ptCount val="2"/>
                <c:pt idx="0">
                  <c:v>441.70913106715864</c:v>
                </c:pt>
                <c:pt idx="1">
                  <c:v>814.2178857508386</c:v>
                </c:pt>
              </c:numCache>
            </c:numRef>
          </c:xVal>
          <c:yVal>
            <c:numRef>
              <c:f>'Saha Testi Devernay'!$T$51:$T$52</c:f>
              <c:numCache>
                <c:formatCode>0.00</c:formatCode>
                <c:ptCount val="2"/>
                <c:pt idx="0">
                  <c:v>8.5939999999999994</c:v>
                </c:pt>
                <c:pt idx="1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C-4B47-9C64-91533348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93472"/>
        <c:axId val="326695392"/>
      </c:scatterChart>
      <c:valAx>
        <c:axId val="3266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5392"/>
        <c:crosses val="autoZero"/>
        <c:crossBetween val="midCat"/>
      </c:valAx>
      <c:valAx>
        <c:axId val="326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Devernay'!$W$51:$W$52</c:f>
              <c:numCache>
                <c:formatCode>0.0000</c:formatCode>
                <c:ptCount val="2"/>
                <c:pt idx="0">
                  <c:v>814.2178857508386</c:v>
                </c:pt>
                <c:pt idx="1">
                  <c:v>1255.8546580937839</c:v>
                </c:pt>
              </c:numCache>
            </c:numRef>
          </c:xVal>
          <c:yVal>
            <c:numRef>
              <c:f>'Saha Testi Devernay'!$X$51:$X$52</c:f>
              <c:numCache>
                <c:formatCode>0.00</c:formatCode>
                <c:ptCount val="2"/>
                <c:pt idx="0">
                  <c:v>15.8</c:v>
                </c:pt>
                <c:pt idx="1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9-4042-A7BB-95FEC21B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2528"/>
        <c:axId val="242921568"/>
      </c:scatterChart>
      <c:valAx>
        <c:axId val="2429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1568"/>
        <c:crosses val="autoZero"/>
        <c:crossBetween val="midCat"/>
      </c:valAx>
      <c:valAx>
        <c:axId val="2429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Lineear Interpolasyon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Devernay'!$O$64:$O$67</c:f>
              <c:numCache>
                <c:formatCode>0.00</c:formatCode>
                <c:ptCount val="4"/>
                <c:pt idx="0">
                  <c:v>186.79813660758367</c:v>
                </c:pt>
                <c:pt idx="1">
                  <c:v>441.70913106715864</c:v>
                </c:pt>
                <c:pt idx="2">
                  <c:v>814.2178857508386</c:v>
                </c:pt>
                <c:pt idx="3">
                  <c:v>1255.8546580937839</c:v>
                </c:pt>
              </c:numCache>
            </c:numRef>
          </c:xVal>
          <c:yVal>
            <c:numRef>
              <c:f>'Saha Testi Devernay'!$P$64:$P$67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8-4247-84A6-8AA2CE36F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8128"/>
        <c:axId val="367068608"/>
      </c:scatterChart>
      <c:valAx>
        <c:axId val="367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608"/>
        <c:crosses val="autoZero"/>
        <c:crossBetween val="midCat"/>
      </c:valAx>
      <c:valAx>
        <c:axId val="367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Error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Devernay'!$N$81:$N$84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xVal>
          <c:yVal>
            <c:numRef>
              <c:f>'Saha Testi Devernay'!$O$81:$O$84</c:f>
              <c:numCache>
                <c:formatCode>General</c:formatCode>
                <c:ptCount val="4"/>
                <c:pt idx="0">
                  <c:v>47.598373929683468</c:v>
                </c:pt>
                <c:pt idx="1">
                  <c:v>40.170941581134656</c:v>
                </c:pt>
                <c:pt idx="2">
                  <c:v>32.427810144213254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D88-B031-CA792450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60"/>
        <c:axId val="19820240"/>
      </c:scatterChart>
      <c:valAx>
        <c:axId val="198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Çap</a:t>
                </a:r>
                <a:r>
                  <a:rPr lang="tr-TR" baseline="0"/>
                  <a:t> (mm)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20240"/>
        <c:crosses val="autoZero"/>
        <c:crossBetween val="midCat"/>
      </c:valAx>
      <c:valAx>
        <c:axId val="19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Devernay'!$O$73:$O$76</c:f>
              <c:numCache>
                <c:formatCode>0.00</c:formatCode>
                <c:ptCount val="4"/>
                <c:pt idx="0">
                  <c:v>186.79813660758367</c:v>
                </c:pt>
                <c:pt idx="1">
                  <c:v>441.70913106715864</c:v>
                </c:pt>
                <c:pt idx="2">
                  <c:v>814.2178857508386</c:v>
                </c:pt>
                <c:pt idx="3">
                  <c:v>1255.8546580937839</c:v>
                </c:pt>
              </c:numCache>
            </c:numRef>
          </c:xVal>
          <c:yVal>
            <c:numRef>
              <c:f>'Saha Testi Devernay'!$P$73:$P$76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0-4EBE-840F-4DCB9BD9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0751"/>
        <c:axId val="1874721231"/>
      </c:scatterChart>
      <c:valAx>
        <c:axId val="18747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1231"/>
        <c:crosses val="autoZero"/>
        <c:crossBetween val="midCat"/>
      </c:valAx>
      <c:valAx>
        <c:axId val="1874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Karşılaştırma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0.Yöntem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('Saha Testi Devernay'!$E$18,'Saha Testi Devernay'!$F$18,'Saha Testi Devernay'!$H$18,'Saha Testi Devernay'!$I$18,'Saha Testi Devernay'!$K$18)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Devernay'!$E$22,'Saha Testi Devernay'!$F$22,'Saha Testi Devernay'!$H$22,'Saha Testi Devernay'!$I$22,'Saha Testi Devernay'!$K$22)</c:f>
              <c:numCache>
                <c:formatCode>General</c:formatCode>
                <c:ptCount val="5"/>
                <c:pt idx="0">
                  <c:v>23.700455272305909</c:v>
                </c:pt>
                <c:pt idx="1">
                  <c:v>22.69620753829571</c:v>
                </c:pt>
                <c:pt idx="2">
                  <c:v>13.762159107937322</c:v>
                </c:pt>
                <c:pt idx="3">
                  <c:v>16.261722227461917</c:v>
                </c:pt>
                <c:pt idx="4">
                  <c:v>98.159171279522894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0-4618-BFB2-93EF4DBB770A}"/>
            </c:ext>
          </c:extLst>
        </c:ser>
        <c:ser>
          <c:idx val="1"/>
          <c:order val="1"/>
          <c:tx>
            <c:v>1.Yöntem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('Saha Testi Devernay'!$E$26,'Saha Testi Devernay'!$F$26,'Saha Testi Devernay'!$H$26,'Saha Testi Devernay'!$I$26,'Saha Testi Devernay'!$K$26)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Devernay'!$E$30,'Saha Testi Devernay'!$F$30,'Saha Testi Devernay'!$H$30,'Saha Testi Devernay'!$I$30,'Saha Testi Devernay'!$K$30)</c:f>
              <c:numCache>
                <c:formatCode>General</c:formatCode>
                <c:ptCount val="5"/>
                <c:pt idx="0">
                  <c:v>21.563833988961889</c:v>
                </c:pt>
                <c:pt idx="1">
                  <c:v>22.69620753829571</c:v>
                </c:pt>
                <c:pt idx="2">
                  <c:v>13.762159107937322</c:v>
                </c:pt>
                <c:pt idx="3">
                  <c:v>12.802158705019551</c:v>
                </c:pt>
                <c:pt idx="4">
                  <c:v>35.718339764152063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0-4618-BFB2-93EF4DBB770A}"/>
            </c:ext>
          </c:extLst>
        </c:ser>
        <c:ser>
          <c:idx val="2"/>
          <c:order val="2"/>
          <c:tx>
            <c:v>2.&lt;yöntem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('Saha Testi Devernay'!$E$50,'Saha Testi Devernay'!$F$50,'Saha Testi Devernay'!$H$50,'Saha Testi Devernay'!$I$50,'Saha Testi Devernay'!$K$50)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Devernay'!$E$54,'Saha Testi Devernay'!$F$54,'Saha Testi Devernay'!$H$54,'Saha Testi Devernay'!$I$54,'Saha Testi Devernay'!$K$54)</c:f>
              <c:numCache>
                <c:formatCode>General</c:formatCode>
                <c:ptCount val="5"/>
                <c:pt idx="0">
                  <c:v>3.8734529811055296</c:v>
                </c:pt>
                <c:pt idx="1">
                  <c:v>9.2595105193078453</c:v>
                </c:pt>
                <c:pt idx="2">
                  <c:v>3.2420492649780641</c:v>
                </c:pt>
                <c:pt idx="3">
                  <c:v>2.3653854737215596</c:v>
                </c:pt>
                <c:pt idx="4">
                  <c:v>10.256159015863631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00-4618-BFB2-93EF4DBB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8752"/>
        <c:axId val="1078280367"/>
      </c:scatterChart>
      <c:valAx>
        <c:axId val="9236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daire</a:t>
                </a:r>
                <a:r>
                  <a:rPr lang="tr-TR" baseline="0"/>
                  <a:t> çapı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8280367"/>
        <c:crosses val="autoZero"/>
        <c:crossBetween val="midCat"/>
      </c:valAx>
      <c:valAx>
        <c:axId val="10782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</a:t>
                </a:r>
                <a:r>
                  <a:rPr lang="tr-TR" baseline="0"/>
                  <a:t> MikroMetre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36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sq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CC'!$S$51:$S$52</c:f>
              <c:numCache>
                <c:formatCode>0.0000</c:formatCode>
                <c:ptCount val="2"/>
                <c:pt idx="0">
                  <c:v>441.65457870397768</c:v>
                </c:pt>
                <c:pt idx="1">
                  <c:v>814.39244731385156</c:v>
                </c:pt>
              </c:numCache>
            </c:numRef>
          </c:xVal>
          <c:yVal>
            <c:numRef>
              <c:f>'Saha Testi CC'!$T$51:$T$52</c:f>
              <c:numCache>
                <c:formatCode>0.00</c:formatCode>
                <c:ptCount val="2"/>
                <c:pt idx="0">
                  <c:v>8.5939999999999994</c:v>
                </c:pt>
                <c:pt idx="1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2-4CD5-9415-E11F56BD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93472"/>
        <c:axId val="326695392"/>
      </c:scatterChart>
      <c:valAx>
        <c:axId val="3266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5392"/>
        <c:crosses val="autoZero"/>
        <c:crossBetween val="midCat"/>
      </c:valAx>
      <c:valAx>
        <c:axId val="326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03933747412009"/>
                  <c:y val="-0.1744399103396746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Devernay'!$P$35:$P$36</c:f>
              <c:numCache>
                <c:formatCode>0.00</c:formatCode>
                <c:ptCount val="2"/>
                <c:pt idx="0">
                  <c:v>186.79813660758367</c:v>
                </c:pt>
                <c:pt idx="1">
                  <c:v>441.70913106715864</c:v>
                </c:pt>
              </c:numCache>
            </c:numRef>
          </c:xVal>
          <c:yVal>
            <c:numRef>
              <c:f>'Saha Testi Devernay'!$O$35:$O$36</c:f>
              <c:numCache>
                <c:formatCode>0.00</c:formatCode>
                <c:ptCount val="2"/>
                <c:pt idx="0">
                  <c:v>19.62011006404872</c:v>
                </c:pt>
                <c:pt idx="1">
                  <c:v>19.456242571298226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4-4EA7-B497-0D7D2A23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58240"/>
        <c:axId val="626745376"/>
      </c:scatterChart>
      <c:valAx>
        <c:axId val="6620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745376"/>
        <c:crosses val="autoZero"/>
        <c:crossBetween val="midCat"/>
      </c:valAx>
      <c:valAx>
        <c:axId val="626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171516119876801E-2"/>
                  <c:y val="-0.1346208629409128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Devernay'!$P$36:$P$37</c:f>
              <c:numCache>
                <c:formatCode>0.00</c:formatCode>
                <c:ptCount val="2"/>
                <c:pt idx="0">
                  <c:v>441.70913106715864</c:v>
                </c:pt>
                <c:pt idx="1">
                  <c:v>814.2178857508386</c:v>
                </c:pt>
              </c:numCache>
            </c:numRef>
          </c:xVal>
          <c:yVal>
            <c:numRef>
              <c:f>'Saha Testi Devernay'!$O$36:$O$37</c:f>
              <c:numCache>
                <c:formatCode>0.00</c:formatCode>
                <c:ptCount val="2"/>
                <c:pt idx="0">
                  <c:v>19.456242571298226</c:v>
                </c:pt>
                <c:pt idx="1">
                  <c:v>19.405125183942481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4-48EE-BFE5-0F199CE2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2832"/>
        <c:axId val="661788496"/>
      </c:scatterChart>
      <c:valAx>
        <c:axId val="4057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496"/>
        <c:crosses val="autoZero"/>
        <c:crossBetween val="midCat"/>
      </c:valAx>
      <c:valAx>
        <c:axId val="661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5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1442511016198796"/>
                  <c:y val="-0.1536559075153773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Devernay'!$P$37:$P$38</c:f>
              <c:numCache>
                <c:formatCode>0.00</c:formatCode>
                <c:ptCount val="2"/>
                <c:pt idx="0">
                  <c:v>814.2178857508386</c:v>
                </c:pt>
                <c:pt idx="1">
                  <c:v>1255.8546580937839</c:v>
                </c:pt>
              </c:numCache>
            </c:numRef>
          </c:xVal>
          <c:yVal>
            <c:numRef>
              <c:f>'Saha Testi Devernay'!$O$37:$O$38</c:f>
              <c:numCache>
                <c:formatCode>0.00</c:formatCode>
                <c:ptCount val="2"/>
                <c:pt idx="0">
                  <c:v>19.405125183942481</c:v>
                </c:pt>
                <c:pt idx="1">
                  <c:v>19.365298239936813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E-420C-9BFC-AE2144A1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58976"/>
        <c:axId val="537222687"/>
      </c:scatterChart>
      <c:valAx>
        <c:axId val="6227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222687"/>
        <c:crosses val="autoZero"/>
        <c:crossBetween val="midCat"/>
      </c:valAx>
      <c:valAx>
        <c:axId val="5372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Bütün R'lerin Polinomial Fitting'i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713770181317093"/>
                  <c:y val="-0.38650064090825859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Devernay'!$P$43:$P$46</c:f>
              <c:numCache>
                <c:formatCode>0.00</c:formatCode>
                <c:ptCount val="4"/>
                <c:pt idx="0">
                  <c:v>186.79813660758367</c:v>
                </c:pt>
                <c:pt idx="1">
                  <c:v>441.70913106715864</c:v>
                </c:pt>
                <c:pt idx="2">
                  <c:v>814.2178857508386</c:v>
                </c:pt>
                <c:pt idx="3">
                  <c:v>1255.8546580937839</c:v>
                </c:pt>
              </c:numCache>
            </c:numRef>
          </c:xVal>
          <c:yVal>
            <c:numRef>
              <c:f>'Saha Testi Devernay'!$O$43:$O$46</c:f>
              <c:numCache>
                <c:formatCode>0.00</c:formatCode>
                <c:ptCount val="4"/>
                <c:pt idx="0">
                  <c:v>19.62011006404872</c:v>
                </c:pt>
                <c:pt idx="1">
                  <c:v>19.456242571298226</c:v>
                </c:pt>
                <c:pt idx="2">
                  <c:v>19.405125183942481</c:v>
                </c:pt>
                <c:pt idx="3">
                  <c:v>19.365298239936813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4-4EAE-949A-09BC8B4B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16992"/>
        <c:axId val="661788000"/>
      </c:scatterChart>
      <c:valAx>
        <c:axId val="5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000"/>
        <c:crosses val="autoZero"/>
        <c:crossBetween val="midCat"/>
      </c:valAx>
      <c:valAx>
        <c:axId val="661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20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'Saha Testi Devernay'!$D$2:$L$2</c:f>
              <c:numCache>
                <c:formatCode>General</c:formatCode>
                <c:ptCount val="9"/>
                <c:pt idx="0">
                  <c:v>3.665</c:v>
                </c:pt>
                <c:pt idx="1">
                  <c:v>5.3979999999999997</c:v>
                </c:pt>
                <c:pt idx="2">
                  <c:v>6.431</c:v>
                </c:pt>
                <c:pt idx="3">
                  <c:v>8.5939999999999994</c:v>
                </c:pt>
                <c:pt idx="4">
                  <c:v>10.458</c:v>
                </c:pt>
                <c:pt idx="5">
                  <c:v>11.045999999999999</c:v>
                </c:pt>
                <c:pt idx="6">
                  <c:v>15.8</c:v>
                </c:pt>
                <c:pt idx="7">
                  <c:v>23.667999999999999</c:v>
                </c:pt>
                <c:pt idx="8">
                  <c:v>24.32</c:v>
                </c:pt>
              </c:numCache>
            </c:numRef>
          </c:xVal>
          <c:yVal>
            <c:numRef>
              <c:f>'Saha Testi Devernay'!$D$14:$L$14</c:f>
              <c:numCache>
                <c:formatCode>0.00000</c:formatCode>
                <c:ptCount val="9"/>
                <c:pt idx="0">
                  <c:v>19.62011006404872</c:v>
                </c:pt>
                <c:pt idx="1">
                  <c:v>19.542043856282529</c:v>
                </c:pt>
                <c:pt idx="2">
                  <c:v>19.525150496642379</c:v>
                </c:pt>
                <c:pt idx="3">
                  <c:v>19.456242571298226</c:v>
                </c:pt>
                <c:pt idx="4">
                  <c:v>19.430672862796399</c:v>
                </c:pt>
                <c:pt idx="5">
                  <c:v>19.427641547363955</c:v>
                </c:pt>
                <c:pt idx="6">
                  <c:v>19.405125183942481</c:v>
                </c:pt>
                <c:pt idx="7">
                  <c:v>19.375884250323924</c:v>
                </c:pt>
                <c:pt idx="8">
                  <c:v>19.365298239936813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5-45A4-A325-1FF3CDED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50384"/>
        <c:axId val="372462032"/>
      </c:scatterChart>
      <c:valAx>
        <c:axId val="16018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462032"/>
        <c:crosses val="autoZero"/>
        <c:crossBetween val="midCat"/>
      </c:valAx>
      <c:valAx>
        <c:axId val="372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SubPixelEdges'!$O$51:$O$52</c:f>
              <c:numCache>
                <c:formatCode>0.0000</c:formatCode>
                <c:ptCount val="2"/>
                <c:pt idx="0">
                  <c:v>186.33551019852419</c:v>
                </c:pt>
                <c:pt idx="1">
                  <c:v>441.26055088851507</c:v>
                </c:pt>
              </c:numCache>
            </c:numRef>
          </c:xVal>
          <c:yVal>
            <c:numRef>
              <c:f>'Saha Testi SubPixelEdges'!$P$51:$P$52</c:f>
              <c:numCache>
                <c:formatCode>0.00</c:formatCode>
                <c:ptCount val="2"/>
                <c:pt idx="0">
                  <c:v>3.665</c:v>
                </c:pt>
                <c:pt idx="1">
                  <c:v>8.5939999999999994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F-4885-AD72-529BAD9D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11968"/>
        <c:axId val="245710528"/>
      </c:scatterChart>
      <c:valAx>
        <c:axId val="245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0528"/>
        <c:crosses val="autoZero"/>
        <c:crossBetween val="midCat"/>
      </c:valAx>
      <c:valAx>
        <c:axId val="245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4177185544114682"/>
          <c:y val="0.3443434343434344"/>
          <c:w val="0.5505361060636651"/>
          <c:h val="0.391027598822874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28090719429302E-3"/>
                  <c:y val="0.0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SubPixelEdges'!$S$51:$S$52</c:f>
              <c:numCache>
                <c:formatCode>0.0000</c:formatCode>
                <c:ptCount val="2"/>
                <c:pt idx="0">
                  <c:v>441.26055088851507</c:v>
                </c:pt>
                <c:pt idx="1">
                  <c:v>813.79048927817871</c:v>
                </c:pt>
              </c:numCache>
            </c:numRef>
          </c:xVal>
          <c:yVal>
            <c:numRef>
              <c:f>'Saha Testi SubPixelEdges'!$T$51:$T$52</c:f>
              <c:numCache>
                <c:formatCode>0.00</c:formatCode>
                <c:ptCount val="2"/>
                <c:pt idx="0">
                  <c:v>8.5939999999999994</c:v>
                </c:pt>
                <c:pt idx="1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1-4000-A39F-16AB0C89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93472"/>
        <c:axId val="326695392"/>
      </c:scatterChart>
      <c:valAx>
        <c:axId val="3266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5392"/>
        <c:crosses val="autoZero"/>
        <c:crossBetween val="midCat"/>
      </c:valAx>
      <c:valAx>
        <c:axId val="326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SubPixelEdges'!$W$51:$W$52</c:f>
              <c:numCache>
                <c:formatCode>0.0000</c:formatCode>
                <c:ptCount val="2"/>
                <c:pt idx="0">
                  <c:v>813.79048927817871</c:v>
                </c:pt>
                <c:pt idx="1">
                  <c:v>1255.4529377136</c:v>
                </c:pt>
              </c:numCache>
            </c:numRef>
          </c:xVal>
          <c:yVal>
            <c:numRef>
              <c:f>'Saha Testi SubPixelEdges'!$X$51:$X$52</c:f>
              <c:numCache>
                <c:formatCode>0.00</c:formatCode>
                <c:ptCount val="2"/>
                <c:pt idx="0">
                  <c:v>15.8</c:v>
                </c:pt>
                <c:pt idx="1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C0-4E0C-97F6-0C3C5155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2528"/>
        <c:axId val="242921568"/>
      </c:scatterChart>
      <c:valAx>
        <c:axId val="2429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1568"/>
        <c:crosses val="autoZero"/>
        <c:crossBetween val="midCat"/>
      </c:valAx>
      <c:valAx>
        <c:axId val="2429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Lineear Interpolasyon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SubPixelEdges'!$O$64:$O$67</c:f>
              <c:numCache>
                <c:formatCode>0.00</c:formatCode>
                <c:ptCount val="4"/>
                <c:pt idx="0">
                  <c:v>186.33551019852419</c:v>
                </c:pt>
                <c:pt idx="1">
                  <c:v>441.26055088851507</c:v>
                </c:pt>
                <c:pt idx="2">
                  <c:v>813.79048927817871</c:v>
                </c:pt>
                <c:pt idx="3">
                  <c:v>1255.4529377136</c:v>
                </c:pt>
              </c:numCache>
            </c:numRef>
          </c:xVal>
          <c:yVal>
            <c:numRef>
              <c:f>'Saha Testi SubPixelEdges'!$P$64:$P$67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E7-47BC-BB62-6C064415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8128"/>
        <c:axId val="367068608"/>
      </c:scatterChart>
      <c:valAx>
        <c:axId val="367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608"/>
        <c:crosses val="autoZero"/>
        <c:crossBetween val="midCat"/>
      </c:valAx>
      <c:valAx>
        <c:axId val="367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Error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SubPixelEdges'!$N$81:$N$84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xVal>
          <c:yVal>
            <c:numRef>
              <c:f>'Saha Testi SubPixelEdges'!$O$81:$O$84</c:f>
              <c:numCache>
                <c:formatCode>General</c:formatCode>
                <c:ptCount val="4"/>
                <c:pt idx="0">
                  <c:v>55.402641232341395</c:v>
                </c:pt>
                <c:pt idx="1">
                  <c:v>46.12355219578923</c:v>
                </c:pt>
                <c:pt idx="2">
                  <c:v>35.661804026767996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7-4A1E-9C9E-E6B14662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60"/>
        <c:axId val="19820240"/>
      </c:scatterChart>
      <c:valAx>
        <c:axId val="198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Çap</a:t>
                </a:r>
                <a:r>
                  <a:rPr lang="tr-TR" baseline="0"/>
                  <a:t> (mm)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20240"/>
        <c:crosses val="autoZero"/>
        <c:crossBetween val="midCat"/>
      </c:valAx>
      <c:valAx>
        <c:axId val="19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CC'!$W$51:$W$52</c:f>
              <c:numCache>
                <c:formatCode>0.0000</c:formatCode>
                <c:ptCount val="2"/>
                <c:pt idx="0">
                  <c:v>814.39244731385156</c:v>
                </c:pt>
                <c:pt idx="1">
                  <c:v>1256.0260132449832</c:v>
                </c:pt>
              </c:numCache>
            </c:numRef>
          </c:xVal>
          <c:yVal>
            <c:numRef>
              <c:f>'Saha Testi CC'!$X$51:$X$52</c:f>
              <c:numCache>
                <c:formatCode>0.00</c:formatCode>
                <c:ptCount val="2"/>
                <c:pt idx="0">
                  <c:v>15.8</c:v>
                </c:pt>
                <c:pt idx="1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B1-427A-8AF8-802DB149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2528"/>
        <c:axId val="242921568"/>
      </c:scatterChart>
      <c:valAx>
        <c:axId val="2429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1568"/>
        <c:crosses val="autoZero"/>
        <c:crossBetween val="midCat"/>
      </c:valAx>
      <c:valAx>
        <c:axId val="2429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SubPixelEdges'!$O$73:$O$76</c:f>
              <c:numCache>
                <c:formatCode>0.00</c:formatCode>
                <c:ptCount val="4"/>
                <c:pt idx="0">
                  <c:v>186.33551019852419</c:v>
                </c:pt>
                <c:pt idx="1">
                  <c:v>441.26055088851507</c:v>
                </c:pt>
                <c:pt idx="2">
                  <c:v>813.79048927817871</c:v>
                </c:pt>
                <c:pt idx="3">
                  <c:v>1255.4529377136</c:v>
                </c:pt>
              </c:numCache>
            </c:numRef>
          </c:xVal>
          <c:yVal>
            <c:numRef>
              <c:f>'Saha Testi SubPixelEdges'!$P$73:$P$76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0-4AD3-9082-58743D8C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0751"/>
        <c:axId val="1874721231"/>
      </c:scatterChart>
      <c:valAx>
        <c:axId val="18747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1231"/>
        <c:crosses val="autoZero"/>
        <c:crossBetween val="midCat"/>
      </c:valAx>
      <c:valAx>
        <c:axId val="1874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Karşılaştırma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0.Yöntem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('Saha Testi SubPixelEdges'!$E$18,'Saha Testi SubPixelEdges'!$F$18,'Saha Testi SubPixelEdges'!$H$18,'Saha Testi SubPixelEdges'!$I$18,'Saha Testi SubPixelEdges'!$K$18)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SubPixelEdges'!$E$22,'Saha Testi SubPixelEdges'!$F$22,'Saha Testi SubPixelEdges'!$H$22,'Saha Testi SubPixelEdges'!$I$22,'Saha Testi SubPixelEdges'!$K$22)</c:f>
              <c:numCache>
                <c:formatCode>General</c:formatCode>
                <c:ptCount val="5"/>
                <c:pt idx="0">
                  <c:v>27.031771481098588</c:v>
                </c:pt>
                <c:pt idx="1">
                  <c:v>24.993446279435005</c:v>
                </c:pt>
                <c:pt idx="2">
                  <c:v>15.633257122075861</c:v>
                </c:pt>
                <c:pt idx="3">
                  <c:v>19.115796794295647</c:v>
                </c:pt>
                <c:pt idx="4">
                  <c:v>114.24958974068034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0-43DE-A35A-7CB34D83D86C}"/>
            </c:ext>
          </c:extLst>
        </c:ser>
        <c:ser>
          <c:idx val="1"/>
          <c:order val="1"/>
          <c:tx>
            <c:v>1.Yöntem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('Saha Testi SubPixelEdges'!$E$26,'Saha Testi SubPixelEdges'!$F$26,'Saha Testi SubPixelEdges'!$H$26,'Saha Testi SubPixelEdges'!$I$26,'Saha Testi SubPixelEdges'!$K$26)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SubPixelEdges'!$E$30,'Saha Testi SubPixelEdges'!$F$30,'Saha Testi SubPixelEdges'!$H$30,'Saha Testi SubPixelEdges'!$I$30,'Saha Testi SubPixelEdges'!$K$30)</c:f>
              <c:numCache>
                <c:formatCode>General</c:formatCode>
                <c:ptCount val="5"/>
                <c:pt idx="0">
                  <c:v>26.137484648603326</c:v>
                </c:pt>
                <c:pt idx="1">
                  <c:v>24.993446279435005</c:v>
                </c:pt>
                <c:pt idx="2">
                  <c:v>15.633257122075861</c:v>
                </c:pt>
                <c:pt idx="3">
                  <c:v>15.373140293762688</c:v>
                </c:pt>
                <c:pt idx="4">
                  <c:v>40.122529077592617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0-43DE-A35A-7CB34D83D86C}"/>
            </c:ext>
          </c:extLst>
        </c:ser>
        <c:ser>
          <c:idx val="2"/>
          <c:order val="2"/>
          <c:tx>
            <c:v>2.&lt;yöntem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('Saha Testi SubPixelEdges'!$E$50,'Saha Testi SubPixelEdges'!$F$50,'Saha Testi SubPixelEdges'!$H$50,'Saha Testi SubPixelEdges'!$I$50,'Saha Testi SubPixelEdges'!$K$50)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SubPixelEdges'!$E$54,'Saha Testi SubPixelEdges'!$F$54,'Saha Testi SubPixelEdges'!$H$54,'Saha Testi SubPixelEdges'!$I$54,'Saha Testi SubPixelEdges'!$K$54)</c:f>
              <c:numCache>
                <c:formatCode>General</c:formatCode>
                <c:ptCount val="5"/>
                <c:pt idx="0">
                  <c:v>3.7367615928776132</c:v>
                </c:pt>
                <c:pt idx="1">
                  <c:v>9.1929194191848751</c:v>
                </c:pt>
                <c:pt idx="2">
                  <c:v>2.6131662818258405</c:v>
                </c:pt>
                <c:pt idx="3">
                  <c:v>2.0558702860284939</c:v>
                </c:pt>
                <c:pt idx="4">
                  <c:v>10.309986617563993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0-43DE-A35A-7CB34D83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8752"/>
        <c:axId val="1078280367"/>
      </c:scatterChart>
      <c:valAx>
        <c:axId val="9236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daire</a:t>
                </a:r>
                <a:r>
                  <a:rPr lang="tr-TR" baseline="0"/>
                  <a:t> çapı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8280367"/>
        <c:crosses val="autoZero"/>
        <c:crossBetween val="midCat"/>
      </c:valAx>
      <c:valAx>
        <c:axId val="10782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</a:t>
                </a:r>
                <a:r>
                  <a:rPr lang="tr-TR" baseline="0"/>
                  <a:t> MikroMetre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36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sq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03933747412009"/>
                  <c:y val="-0.1744399103396746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SubPixelEdges'!$P$35:$P$36</c:f>
              <c:numCache>
                <c:formatCode>0.00</c:formatCode>
                <c:ptCount val="2"/>
                <c:pt idx="0">
                  <c:v>186.33551019852419</c:v>
                </c:pt>
                <c:pt idx="1">
                  <c:v>441.26055088851507</c:v>
                </c:pt>
              </c:numCache>
            </c:numRef>
          </c:xVal>
          <c:yVal>
            <c:numRef>
              <c:f>'Saha Testi SubPixelEdges'!$O$35:$O$36</c:f>
              <c:numCache>
                <c:formatCode>0.00</c:formatCode>
                <c:ptCount val="2"/>
                <c:pt idx="0">
                  <c:v>19.668822094593043</c:v>
                </c:pt>
                <c:pt idx="1">
                  <c:v>19.476021553921512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F-4C17-9868-2671C9D05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58240"/>
        <c:axId val="626745376"/>
      </c:scatterChart>
      <c:valAx>
        <c:axId val="6620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745376"/>
        <c:crosses val="autoZero"/>
        <c:crossBetween val="midCat"/>
      </c:valAx>
      <c:valAx>
        <c:axId val="626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171516119876801E-2"/>
                  <c:y val="-0.1346208629409128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SubPixelEdges'!$P$36:$P$37</c:f>
              <c:numCache>
                <c:formatCode>0.00</c:formatCode>
                <c:ptCount val="2"/>
                <c:pt idx="0">
                  <c:v>441.26055088851507</c:v>
                </c:pt>
                <c:pt idx="1">
                  <c:v>813.79048927817871</c:v>
                </c:pt>
              </c:numCache>
            </c:numRef>
          </c:xVal>
          <c:yVal>
            <c:numRef>
              <c:f>'Saha Testi SubPixelEdges'!$O$36:$O$37</c:f>
              <c:numCache>
                <c:formatCode>0.00</c:formatCode>
                <c:ptCount val="2"/>
                <c:pt idx="0">
                  <c:v>19.476021553921512</c:v>
                </c:pt>
                <c:pt idx="1">
                  <c:v>19.41531660564673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4-4544-8D3E-84705B8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2832"/>
        <c:axId val="661788496"/>
      </c:scatterChart>
      <c:valAx>
        <c:axId val="4057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496"/>
        <c:crosses val="autoZero"/>
        <c:crossBetween val="midCat"/>
      </c:valAx>
      <c:valAx>
        <c:axId val="661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5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1442511016198796"/>
                  <c:y val="-0.1536559075153773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SubPixelEdges'!$P$37:$P$38</c:f>
              <c:numCache>
                <c:formatCode>0.00</c:formatCode>
                <c:ptCount val="2"/>
                <c:pt idx="0">
                  <c:v>813.79048927817871</c:v>
                </c:pt>
                <c:pt idx="1">
                  <c:v>1255.4529377136</c:v>
                </c:pt>
              </c:numCache>
            </c:numRef>
          </c:xVal>
          <c:yVal>
            <c:numRef>
              <c:f>'Saha Testi SubPixelEdges'!$O$37:$O$38</c:f>
              <c:numCache>
                <c:formatCode>0.00</c:formatCode>
                <c:ptCount val="2"/>
                <c:pt idx="0">
                  <c:v>19.41531660564673</c:v>
                </c:pt>
                <c:pt idx="1">
                  <c:v>19.371494756538613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A98-8B62-E32C7B1E7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58976"/>
        <c:axId val="537222687"/>
      </c:scatterChart>
      <c:valAx>
        <c:axId val="6227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222687"/>
        <c:crosses val="autoZero"/>
        <c:crossBetween val="midCat"/>
      </c:valAx>
      <c:valAx>
        <c:axId val="5372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Bütün R'lerin Polinomial Fitting'i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713770181317093"/>
                  <c:y val="-0.38650064090825859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SubPixelEdges'!$P$43:$P$46</c:f>
              <c:numCache>
                <c:formatCode>0.00</c:formatCode>
                <c:ptCount val="4"/>
                <c:pt idx="0">
                  <c:v>186.33551019852419</c:v>
                </c:pt>
                <c:pt idx="1">
                  <c:v>441.26055088851507</c:v>
                </c:pt>
                <c:pt idx="2">
                  <c:v>813.79048927817871</c:v>
                </c:pt>
                <c:pt idx="3">
                  <c:v>1255.4529377136</c:v>
                </c:pt>
              </c:numCache>
            </c:numRef>
          </c:xVal>
          <c:yVal>
            <c:numRef>
              <c:f>'Saha Testi SubPixelEdges'!$O$43:$O$46</c:f>
              <c:numCache>
                <c:formatCode>0.00</c:formatCode>
                <c:ptCount val="4"/>
                <c:pt idx="0">
                  <c:v>19.668822094593043</c:v>
                </c:pt>
                <c:pt idx="1">
                  <c:v>19.476021553921512</c:v>
                </c:pt>
                <c:pt idx="2">
                  <c:v>19.41531660564673</c:v>
                </c:pt>
                <c:pt idx="3">
                  <c:v>19.371494756538613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A-4503-9B6F-70992D6D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16992"/>
        <c:axId val="661788000"/>
      </c:scatterChart>
      <c:valAx>
        <c:axId val="5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000"/>
        <c:crosses val="autoZero"/>
        <c:crossBetween val="midCat"/>
      </c:valAx>
      <c:valAx>
        <c:axId val="661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20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'Saha Testi SubPixelEdges'!$D$2:$L$2</c:f>
              <c:numCache>
                <c:formatCode>General</c:formatCode>
                <c:ptCount val="9"/>
                <c:pt idx="0">
                  <c:v>3.665</c:v>
                </c:pt>
                <c:pt idx="1">
                  <c:v>5.3979999999999997</c:v>
                </c:pt>
                <c:pt idx="2">
                  <c:v>6.431</c:v>
                </c:pt>
                <c:pt idx="3">
                  <c:v>8.5939999999999994</c:v>
                </c:pt>
                <c:pt idx="4">
                  <c:v>10.458</c:v>
                </c:pt>
                <c:pt idx="5">
                  <c:v>11.045999999999999</c:v>
                </c:pt>
                <c:pt idx="6">
                  <c:v>15.8</c:v>
                </c:pt>
                <c:pt idx="7">
                  <c:v>23.667999999999999</c:v>
                </c:pt>
                <c:pt idx="8">
                  <c:v>24.32</c:v>
                </c:pt>
              </c:numCache>
            </c:numRef>
          </c:xVal>
          <c:yVal>
            <c:numRef>
              <c:f>'Saha Testi SubPixelEdges'!$D$14:$L$14</c:f>
              <c:numCache>
                <c:formatCode>0.000</c:formatCode>
                <c:ptCount val="9"/>
                <c:pt idx="0">
                  <c:v>19.668822094593043</c:v>
                </c:pt>
                <c:pt idx="1">
                  <c:v>19.574043240441849</c:v>
                </c:pt>
                <c:pt idx="2">
                  <c:v>19.552008503726043</c:v>
                </c:pt>
                <c:pt idx="3">
                  <c:v>19.476021553921512</c:v>
                </c:pt>
                <c:pt idx="4">
                  <c:v>19.446951063749395</c:v>
                </c:pt>
                <c:pt idx="5">
                  <c:v>19.442375302294039</c:v>
                </c:pt>
                <c:pt idx="6">
                  <c:v>19.41531660564673</c:v>
                </c:pt>
                <c:pt idx="7">
                  <c:v>19.382459022592428</c:v>
                </c:pt>
                <c:pt idx="8">
                  <c:v>19.371494756538613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F-46D8-8EE0-3D080D44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50384"/>
        <c:axId val="372462032"/>
      </c:scatterChart>
      <c:valAx>
        <c:axId val="16018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462032"/>
        <c:crosses val="autoZero"/>
        <c:crossBetween val="midCat"/>
      </c:valAx>
      <c:valAx>
        <c:axId val="372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SubPixelCounting'!$O$51:$O$52</c:f>
              <c:numCache>
                <c:formatCode>0.0000</c:formatCode>
                <c:ptCount val="2"/>
                <c:pt idx="0">
                  <c:v>187.48667500000002</c:v>
                </c:pt>
                <c:pt idx="1">
                  <c:v>442.18275999999997</c:v>
                </c:pt>
              </c:numCache>
            </c:numRef>
          </c:xVal>
          <c:yVal>
            <c:numRef>
              <c:f>'Saha Testi SubPixelCounting'!$P$51:$P$52</c:f>
              <c:numCache>
                <c:formatCode>0.00</c:formatCode>
                <c:ptCount val="2"/>
                <c:pt idx="0">
                  <c:v>3.665</c:v>
                </c:pt>
                <c:pt idx="1">
                  <c:v>8.5939999999999994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0-4689-9DD1-1BDD95BF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11968"/>
        <c:axId val="245710528"/>
      </c:scatterChart>
      <c:valAx>
        <c:axId val="2457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0528"/>
        <c:crosses val="autoZero"/>
        <c:crossBetween val="midCat"/>
      </c:valAx>
      <c:valAx>
        <c:axId val="245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57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4177185544114682"/>
          <c:y val="0.3443434343434344"/>
          <c:w val="0.5505361060636651"/>
          <c:h val="0.391027598822874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28090719429302E-3"/>
                  <c:y val="0.09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SubPixelCounting'!$S$51:$S$52</c:f>
              <c:numCache>
                <c:formatCode>0.0000</c:formatCode>
                <c:ptCount val="2"/>
                <c:pt idx="0">
                  <c:v>442.18275999999997</c:v>
                </c:pt>
                <c:pt idx="1">
                  <c:v>814.54256599999997</c:v>
                </c:pt>
              </c:numCache>
            </c:numRef>
          </c:xVal>
          <c:yVal>
            <c:numRef>
              <c:f>'Saha Testi SubPixelCounting'!$T$51:$T$52</c:f>
              <c:numCache>
                <c:formatCode>0.00</c:formatCode>
                <c:ptCount val="2"/>
                <c:pt idx="0">
                  <c:v>8.5939999999999994</c:v>
                </c:pt>
                <c:pt idx="1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2F-4272-A766-239574F3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93472"/>
        <c:axId val="326695392"/>
      </c:scatterChart>
      <c:valAx>
        <c:axId val="3266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5392"/>
        <c:crosses val="autoZero"/>
        <c:crossBetween val="midCat"/>
      </c:valAx>
      <c:valAx>
        <c:axId val="326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6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'Saha Testi SubPixelCounting'!$W$51:$W$52</c:f>
              <c:numCache>
                <c:formatCode>0.0000</c:formatCode>
                <c:ptCount val="2"/>
                <c:pt idx="0">
                  <c:v>814.54256599999997</c:v>
                </c:pt>
                <c:pt idx="1">
                  <c:v>1255.9898599999997</c:v>
                </c:pt>
              </c:numCache>
            </c:numRef>
          </c:xVal>
          <c:yVal>
            <c:numRef>
              <c:f>'Saha Testi SubPixelCounting'!$X$51:$X$52</c:f>
              <c:numCache>
                <c:formatCode>0.00</c:formatCode>
                <c:ptCount val="2"/>
                <c:pt idx="0">
                  <c:v>15.8</c:v>
                </c:pt>
                <c:pt idx="1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F-4DF9-BD61-9560927D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2528"/>
        <c:axId val="242921568"/>
      </c:scatterChart>
      <c:valAx>
        <c:axId val="2429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1568"/>
        <c:crosses val="autoZero"/>
        <c:crossBetween val="midCat"/>
      </c:valAx>
      <c:valAx>
        <c:axId val="2429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2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Lineear Interpolasyon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CC'!$O$64:$O$67</c:f>
              <c:numCache>
                <c:formatCode>0.00</c:formatCode>
                <c:ptCount val="4"/>
                <c:pt idx="0">
                  <c:v>186.4627322435683</c:v>
                </c:pt>
                <c:pt idx="1">
                  <c:v>441.65457870397768</c:v>
                </c:pt>
                <c:pt idx="2">
                  <c:v>814.39244731385156</c:v>
                </c:pt>
                <c:pt idx="3">
                  <c:v>1256.0260132449832</c:v>
                </c:pt>
              </c:numCache>
            </c:numRef>
          </c:xVal>
          <c:yVal>
            <c:numRef>
              <c:f>'Saha Testi CC'!$P$64:$P$67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5-4F26-B8D8-6610B222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8128"/>
        <c:axId val="367068608"/>
      </c:scatterChart>
      <c:valAx>
        <c:axId val="367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608"/>
        <c:crosses val="autoZero"/>
        <c:crossBetween val="midCat"/>
      </c:valAx>
      <c:valAx>
        <c:axId val="367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Lineear Interpolasyon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SubPixelCounting'!$O$64:$O$67</c:f>
              <c:numCache>
                <c:formatCode>0.00</c:formatCode>
                <c:ptCount val="4"/>
                <c:pt idx="0">
                  <c:v>187.48667500000002</c:v>
                </c:pt>
                <c:pt idx="1">
                  <c:v>442.18275999999997</c:v>
                </c:pt>
                <c:pt idx="2">
                  <c:v>814.54256599999997</c:v>
                </c:pt>
                <c:pt idx="3">
                  <c:v>1255.9898599999997</c:v>
                </c:pt>
              </c:numCache>
            </c:numRef>
          </c:xVal>
          <c:yVal>
            <c:numRef>
              <c:f>'Saha Testi SubPixelCounting'!$P$64:$P$67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4-4724-B118-7355540A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68128"/>
        <c:axId val="367068608"/>
      </c:scatterChart>
      <c:valAx>
        <c:axId val="3670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608"/>
        <c:crosses val="autoZero"/>
        <c:crossBetween val="midCat"/>
      </c:valAx>
      <c:valAx>
        <c:axId val="3670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70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Error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SubPixelCounting'!$N$81:$N$84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xVal>
          <c:yVal>
            <c:numRef>
              <c:f>'Saha Testi SubPixelCounting'!$O$81:$O$84</c:f>
              <c:numCache>
                <c:formatCode>General</c:formatCode>
                <c:ptCount val="4"/>
                <c:pt idx="0">
                  <c:v>34.655455657897072</c:v>
                </c:pt>
                <c:pt idx="1">
                  <c:v>31.920746270991174</c:v>
                </c:pt>
                <c:pt idx="2">
                  <c:v>27.838268439520419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1-485A-94D0-E2533EE0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60"/>
        <c:axId val="19820240"/>
      </c:scatterChart>
      <c:valAx>
        <c:axId val="198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Çap</a:t>
                </a:r>
                <a:r>
                  <a:rPr lang="tr-TR" baseline="0"/>
                  <a:t> (mm)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20240"/>
        <c:crosses val="autoZero"/>
        <c:crossBetween val="midCat"/>
      </c:valAx>
      <c:valAx>
        <c:axId val="19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SubPixelCounting'!$O$73:$O$76</c:f>
              <c:numCache>
                <c:formatCode>0.00</c:formatCode>
                <c:ptCount val="4"/>
                <c:pt idx="0">
                  <c:v>187.48667500000002</c:v>
                </c:pt>
                <c:pt idx="1">
                  <c:v>442.18275999999997</c:v>
                </c:pt>
                <c:pt idx="2">
                  <c:v>814.54256599999997</c:v>
                </c:pt>
                <c:pt idx="3">
                  <c:v>1255.9898599999997</c:v>
                </c:pt>
              </c:numCache>
            </c:numRef>
          </c:xVal>
          <c:yVal>
            <c:numRef>
              <c:f>'Saha Testi SubPixelCounting'!$P$73:$P$76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5-4057-8AD2-C2751459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0751"/>
        <c:axId val="1874721231"/>
      </c:scatterChart>
      <c:valAx>
        <c:axId val="18747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1231"/>
        <c:crosses val="autoZero"/>
        <c:crossBetween val="midCat"/>
      </c:valAx>
      <c:valAx>
        <c:axId val="1874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Karşılaştırma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0.Yöntem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('Saha Testi SubPixelCounting'!$E$18,'Saha Testi SubPixelCounting'!$F$18,'Saha Testi SubPixelCounting'!$H$18,'Saha Testi SubPixelCounting'!$I$18,'Saha Testi SubPixelCounting'!$K$18)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SubPixelCounting'!$E$22,'Saha Testi SubPixelCounting'!$F$22,'Saha Testi SubPixelCounting'!$H$22,'Saha Testi SubPixelCounting'!$I$22,'Saha Testi SubPixelCounting'!$K$22)</c:f>
              <c:numCache>
                <c:formatCode>General</c:formatCode>
                <c:ptCount val="5"/>
                <c:pt idx="0">
                  <c:v>18.17506146553427</c:v>
                </c:pt>
                <c:pt idx="1">
                  <c:v>20.287757663821182</c:v>
                </c:pt>
                <c:pt idx="2">
                  <c:v>11.292560230073079</c:v>
                </c:pt>
                <c:pt idx="3">
                  <c:v>12.140812753532515</c:v>
                </c:pt>
                <c:pt idx="4">
                  <c:v>78.736875358963232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9-47CC-8281-6F3B0BDF03B1}"/>
            </c:ext>
          </c:extLst>
        </c:ser>
        <c:ser>
          <c:idx val="1"/>
          <c:order val="1"/>
          <c:tx>
            <c:v>1.Yöntem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('Saha Testi SubPixelCounting'!$E$26,'Saha Testi SubPixelCounting'!$F$26,'Saha Testi SubPixelCounting'!$H$26,'Saha Testi SubPixelCounting'!$I$26,'Saha Testi SubPixelCounting'!$K$26)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SubPixelCounting'!$E$30,'Saha Testi SubPixelCounting'!$F$30,'Saha Testi SubPixelCounting'!$H$30,'Saha Testi SubPixelCounting'!$I$30,'Saha Testi SubPixelCounting'!$K$30)</c:f>
              <c:numCache>
                <c:formatCode>General</c:formatCode>
                <c:ptCount val="5"/>
                <c:pt idx="0">
                  <c:v>13.00795539202948</c:v>
                </c:pt>
                <c:pt idx="1">
                  <c:v>20.287757663821182</c:v>
                </c:pt>
                <c:pt idx="2">
                  <c:v>11.292560230073079</c:v>
                </c:pt>
                <c:pt idx="3">
                  <c:v>9.4871010534749445</c:v>
                </c:pt>
                <c:pt idx="4">
                  <c:v>32.292144094043351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9-47CC-8281-6F3B0BDF03B1}"/>
            </c:ext>
          </c:extLst>
        </c:ser>
        <c:ser>
          <c:idx val="2"/>
          <c:order val="2"/>
          <c:tx>
            <c:v>2.&lt;yöntem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('Saha Testi SubPixelCounting'!$E$50,'Saha Testi SubPixelCounting'!$F$50,'Saha Testi SubPixelCounting'!$H$50,'Saha Testi SubPixelCounting'!$I$50,'Saha Testi SubPixelCounting'!$K$50)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SubPixelCounting'!$E$54,'Saha Testi SubPixelCounting'!$F$54,'Saha Testi SubPixelCounting'!$H$54,'Saha Testi SubPixelCounting'!$I$54,'Saha Testi SubPixelCounting'!$K$54)</c:f>
              <c:numCache>
                <c:formatCode>General</c:formatCode>
                <c:ptCount val="5"/>
                <c:pt idx="0">
                  <c:v>4.5923766959994339</c:v>
                </c:pt>
                <c:pt idx="1">
                  <c:v>11.128895143999173</c:v>
                </c:pt>
                <c:pt idx="2">
                  <c:v>3.1349332400001373</c:v>
                </c:pt>
                <c:pt idx="3">
                  <c:v>1.456275216002112</c:v>
                </c:pt>
                <c:pt idx="4">
                  <c:v>7.4980369999941843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9-47CC-8281-6F3B0BDF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8752"/>
        <c:axId val="1078280367"/>
      </c:scatterChart>
      <c:valAx>
        <c:axId val="9236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daire</a:t>
                </a:r>
                <a:r>
                  <a:rPr lang="tr-TR" baseline="0"/>
                  <a:t> çapı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8280367"/>
        <c:crosses val="autoZero"/>
        <c:crossBetween val="midCat"/>
      </c:valAx>
      <c:valAx>
        <c:axId val="10782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</a:t>
                </a:r>
                <a:r>
                  <a:rPr lang="tr-TR" baseline="0"/>
                  <a:t> MikroMetre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36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sq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03933747412009"/>
                  <c:y val="-0.1744399103396746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SubPixelCounting'!$P$35:$P$36</c:f>
              <c:numCache>
                <c:formatCode>0.00</c:formatCode>
                <c:ptCount val="2"/>
                <c:pt idx="0">
                  <c:v>187.48667500000002</c:v>
                </c:pt>
                <c:pt idx="1">
                  <c:v>442.18275999999997</c:v>
                </c:pt>
              </c:numCache>
            </c:numRef>
          </c:xVal>
          <c:yVal>
            <c:numRef>
              <c:f>'Saha Testi SubPixelCounting'!$O$35:$O$36</c:f>
              <c:numCache>
                <c:formatCode>0.00</c:formatCode>
                <c:ptCount val="2"/>
                <c:pt idx="0">
                  <c:v>19.548055881838</c:v>
                </c:pt>
                <c:pt idx="1">
                  <c:v>19.4354026828183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8-4A83-8233-8E66D965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58240"/>
        <c:axId val="626745376"/>
      </c:scatterChart>
      <c:valAx>
        <c:axId val="6620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745376"/>
        <c:crosses val="autoZero"/>
        <c:crossBetween val="midCat"/>
      </c:valAx>
      <c:valAx>
        <c:axId val="626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171516119876801E-2"/>
                  <c:y val="-0.1346208629409128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SubPixelCounting'!$P$36:$P$37</c:f>
              <c:numCache>
                <c:formatCode>0.00</c:formatCode>
                <c:ptCount val="2"/>
                <c:pt idx="0">
                  <c:v>442.18275999999997</c:v>
                </c:pt>
                <c:pt idx="1">
                  <c:v>814.54256599999997</c:v>
                </c:pt>
              </c:numCache>
            </c:numRef>
          </c:xVal>
          <c:yVal>
            <c:numRef>
              <c:f>'Saha Testi SubPixelCounting'!$O$36:$O$37</c:f>
              <c:numCache>
                <c:formatCode>0.00</c:formatCode>
                <c:ptCount val="2"/>
                <c:pt idx="0">
                  <c:v>19.4354026828183</c:v>
                </c:pt>
                <c:pt idx="1">
                  <c:v>19.397390215700526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5-4050-B243-F07D69CC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2832"/>
        <c:axId val="661788496"/>
      </c:scatterChart>
      <c:valAx>
        <c:axId val="4057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496"/>
        <c:crosses val="autoZero"/>
        <c:crossBetween val="midCat"/>
      </c:valAx>
      <c:valAx>
        <c:axId val="661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5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1442511016198796"/>
                  <c:y val="-0.1536559075153773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SubPixelCounting'!$P$37:$P$38</c:f>
              <c:numCache>
                <c:formatCode>0.00</c:formatCode>
                <c:ptCount val="2"/>
                <c:pt idx="0">
                  <c:v>814.54256599999997</c:v>
                </c:pt>
                <c:pt idx="1">
                  <c:v>1255.9898599999997</c:v>
                </c:pt>
              </c:numCache>
            </c:numRef>
          </c:xVal>
          <c:yVal>
            <c:numRef>
              <c:f>'Saha Testi SubPixelCounting'!$O$37:$O$38</c:f>
              <c:numCache>
                <c:formatCode>0.00</c:formatCode>
                <c:ptCount val="2"/>
                <c:pt idx="0">
                  <c:v>19.397390215700526</c:v>
                </c:pt>
                <c:pt idx="1">
                  <c:v>19.363213648874527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D-4C62-B3F1-1801138E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58976"/>
        <c:axId val="537222687"/>
      </c:scatterChart>
      <c:valAx>
        <c:axId val="6227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7222687"/>
        <c:crosses val="autoZero"/>
        <c:crossBetween val="midCat"/>
      </c:valAx>
      <c:valAx>
        <c:axId val="53722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Bütün R'lerin Polinomial Fitting'i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713770181317093"/>
                  <c:y val="-0.38650064090825859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SubPixelCounting'!$P$43:$P$46</c:f>
              <c:numCache>
                <c:formatCode>0.00</c:formatCode>
                <c:ptCount val="4"/>
                <c:pt idx="0">
                  <c:v>187.48667500000002</c:v>
                </c:pt>
                <c:pt idx="1">
                  <c:v>442.18275999999997</c:v>
                </c:pt>
                <c:pt idx="2">
                  <c:v>814.54256599999997</c:v>
                </c:pt>
                <c:pt idx="3">
                  <c:v>1255.9898599999997</c:v>
                </c:pt>
              </c:numCache>
            </c:numRef>
          </c:xVal>
          <c:yVal>
            <c:numRef>
              <c:f>'Saha Testi SubPixelCounting'!$O$43:$O$46</c:f>
              <c:numCache>
                <c:formatCode>0.00</c:formatCode>
                <c:ptCount val="4"/>
                <c:pt idx="0">
                  <c:v>19.548055881838</c:v>
                </c:pt>
                <c:pt idx="1">
                  <c:v>19.4354026828183</c:v>
                </c:pt>
                <c:pt idx="2">
                  <c:v>19.397390215700526</c:v>
                </c:pt>
                <c:pt idx="3">
                  <c:v>19.363213648874527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B-468E-94CB-7E4987E2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16992"/>
        <c:axId val="661788000"/>
      </c:scatterChart>
      <c:valAx>
        <c:axId val="5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000"/>
        <c:crosses val="autoZero"/>
        <c:crossBetween val="midCat"/>
      </c:valAx>
      <c:valAx>
        <c:axId val="661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201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'Saha Testi SubPixelCounting'!$D$2:$L$2</c:f>
              <c:numCache>
                <c:formatCode>General</c:formatCode>
                <c:ptCount val="9"/>
                <c:pt idx="0">
                  <c:v>3.665</c:v>
                </c:pt>
                <c:pt idx="1">
                  <c:v>5.3979999999999997</c:v>
                </c:pt>
                <c:pt idx="2">
                  <c:v>6.431</c:v>
                </c:pt>
                <c:pt idx="3">
                  <c:v>8.5939999999999994</c:v>
                </c:pt>
                <c:pt idx="4">
                  <c:v>10.458</c:v>
                </c:pt>
                <c:pt idx="5">
                  <c:v>11.045999999999999</c:v>
                </c:pt>
                <c:pt idx="6">
                  <c:v>15.8</c:v>
                </c:pt>
                <c:pt idx="7">
                  <c:v>23.667999999999999</c:v>
                </c:pt>
                <c:pt idx="8">
                  <c:v>24.32</c:v>
                </c:pt>
              </c:numCache>
            </c:numRef>
          </c:xVal>
          <c:yVal>
            <c:numRef>
              <c:f>'Saha Testi SubPixelCounting'!$D$14:$L$14</c:f>
              <c:numCache>
                <c:formatCode>0.000</c:formatCode>
                <c:ptCount val="9"/>
                <c:pt idx="0">
                  <c:v>19.548055881838</c:v>
                </c:pt>
                <c:pt idx="1">
                  <c:v>19.501062744698281</c:v>
                </c:pt>
                <c:pt idx="2">
                  <c:v>19.496909224497685</c:v>
                </c:pt>
                <c:pt idx="3">
                  <c:v>19.4354026828183</c:v>
                </c:pt>
                <c:pt idx="4">
                  <c:v>19.414438949678853</c:v>
                </c:pt>
                <c:pt idx="5">
                  <c:v>19.41406441368634</c:v>
                </c:pt>
                <c:pt idx="6">
                  <c:v>19.397390215700526</c:v>
                </c:pt>
                <c:pt idx="7">
                  <c:v>19.370960865543765</c:v>
                </c:pt>
                <c:pt idx="8">
                  <c:v>19.363213648874527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5-4B2E-A40C-E888CE21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50384"/>
        <c:axId val="372462032"/>
      </c:scatterChart>
      <c:valAx>
        <c:axId val="16018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2462032"/>
        <c:crosses val="autoZero"/>
        <c:crossBetween val="midCat"/>
      </c:valAx>
      <c:valAx>
        <c:axId val="372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18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Error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CC'!$N$81:$N$84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xVal>
          <c:yVal>
            <c:numRef>
              <c:f>'Saha Testi CC'!$O$81:$O$84</c:f>
              <c:numCache>
                <c:formatCode>General</c:formatCode>
                <c:ptCount val="4"/>
                <c:pt idx="0">
                  <c:v>54.586202559731234</c:v>
                </c:pt>
                <c:pt idx="1">
                  <c:v>42.394188643497088</c:v>
                </c:pt>
                <c:pt idx="2">
                  <c:v>31.198948257944892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5-473C-B8F9-CC4A1ABA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760"/>
        <c:axId val="19820240"/>
      </c:scatterChart>
      <c:valAx>
        <c:axId val="198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Çap</a:t>
                </a:r>
                <a:r>
                  <a:rPr lang="tr-TR" baseline="0"/>
                  <a:t> (mm)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20240"/>
        <c:crosses val="autoZero"/>
        <c:crossBetween val="midCat"/>
      </c:valAx>
      <c:valAx>
        <c:axId val="19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CC'!$O$73:$O$76</c:f>
              <c:numCache>
                <c:formatCode>0.00</c:formatCode>
                <c:ptCount val="4"/>
                <c:pt idx="0">
                  <c:v>186.4627322435683</c:v>
                </c:pt>
                <c:pt idx="1">
                  <c:v>441.65457870397768</c:v>
                </c:pt>
                <c:pt idx="2">
                  <c:v>814.39244731385156</c:v>
                </c:pt>
                <c:pt idx="3">
                  <c:v>1256.0260132449832</c:v>
                </c:pt>
              </c:numCache>
            </c:numRef>
          </c:xVal>
          <c:yVal>
            <c:numRef>
              <c:f>'Saha Testi CC'!$P$73:$P$76</c:f>
              <c:numCache>
                <c:formatCode>General</c:formatCode>
                <c:ptCount val="4"/>
                <c:pt idx="0">
                  <c:v>3.665</c:v>
                </c:pt>
                <c:pt idx="1">
                  <c:v>8.5939999999999994</c:v>
                </c:pt>
                <c:pt idx="2">
                  <c:v>15.8</c:v>
                </c:pt>
                <c:pt idx="3">
                  <c:v>24.32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0-4B06-A1A4-E57F46DE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720751"/>
        <c:axId val="1874721231"/>
      </c:scatterChart>
      <c:valAx>
        <c:axId val="187472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1231"/>
        <c:crosses val="autoZero"/>
        <c:crossBetween val="midCat"/>
      </c:valAx>
      <c:valAx>
        <c:axId val="1874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472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Karşılaştırma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0.Yöntem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('Saha Testi CC'!$E$18,'Saha Testi CC'!$F$18,'Saha Testi CC'!$H$18,'Saha Testi CC'!$I$18,'Saha Testi CC'!$K$18)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CC'!$E$22,'Saha Testi CC'!$F$22,'Saha Testi CC'!$H$22,'Saha Testi CC'!$I$22,'Saha Testi CC'!$K$22)</c:f>
              <c:numCache>
                <c:formatCode>General</c:formatCode>
                <c:ptCount val="5"/>
                <c:pt idx="0">
                  <c:v>27.575416085206861</c:v>
                </c:pt>
                <c:pt idx="1">
                  <c:v>24.701113589971513</c:v>
                </c:pt>
                <c:pt idx="2">
                  <c:v>15.394876630315579</c:v>
                </c:pt>
                <c:pt idx="3">
                  <c:v>18.423106980085535</c:v>
                </c:pt>
                <c:pt idx="4">
                  <c:v>105.46782405600297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A-40B1-9ADA-B11C00F5F245}"/>
            </c:ext>
          </c:extLst>
        </c:ser>
        <c:ser>
          <c:idx val="1"/>
          <c:order val="1"/>
          <c:tx>
            <c:v>1.Yöntem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('Saha Testi CC'!$E$26,'Saha Testi CC'!$F$26,'Saha Testi CC'!$H$26,'Saha Testi CC'!$I$26,'Saha Testi CC'!$K$26)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CC'!$E$30,'Saha Testi CC'!$F$30,'Saha Testi CC'!$H$30,'Saha Testi CC'!$I$30,'Saha Testi CC'!$K$30)</c:f>
              <c:numCache>
                <c:formatCode>General</c:formatCode>
                <c:ptCount val="5"/>
                <c:pt idx="0">
                  <c:v>26.72772750648722</c:v>
                </c:pt>
                <c:pt idx="1">
                  <c:v>24.701113589971513</c:v>
                </c:pt>
                <c:pt idx="2">
                  <c:v>15.394876630315579</c:v>
                </c:pt>
                <c:pt idx="3">
                  <c:v>14.374439880874945</c:v>
                </c:pt>
                <c:pt idx="4">
                  <c:v>34.997685896232866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A-40B1-9ADA-B11C00F5F245}"/>
            </c:ext>
          </c:extLst>
        </c:ser>
        <c:ser>
          <c:idx val="2"/>
          <c:order val="2"/>
          <c:tx>
            <c:v>2.&lt;yöntem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('Saha Testi CC'!$E$50,'Saha Testi CC'!$F$50,'Saha Testi CC'!$H$50,'Saha Testi CC'!$I$50,'Saha Testi CC'!$K$50)</c:f>
              <c:numCache>
                <c:formatCode>General</c:formatCode>
                <c:ptCount val="5"/>
                <c:pt idx="0">
                  <c:v>5.3979999999999997</c:v>
                </c:pt>
                <c:pt idx="1">
                  <c:v>6.431</c:v>
                </c:pt>
                <c:pt idx="2">
                  <c:v>10.458</c:v>
                </c:pt>
                <c:pt idx="3">
                  <c:v>11.045999999999999</c:v>
                </c:pt>
                <c:pt idx="4">
                  <c:v>23.667999999999999</c:v>
                </c:pt>
              </c:numCache>
            </c:numRef>
          </c:xVal>
          <c:yVal>
            <c:numRef>
              <c:f>('Saha Testi CC'!$E$54,'Saha Testi CC'!$F$54,'Saha Testi CC'!$H$54,'Saha Testi CC'!$I$54,'Saha Testi CC'!$K$54)</c:f>
              <c:numCache>
                <c:formatCode>General</c:formatCode>
                <c:ptCount val="5"/>
                <c:pt idx="0">
                  <c:v>3.7254554847292454</c:v>
                </c:pt>
                <c:pt idx="1">
                  <c:v>8.4980860938843605</c:v>
                </c:pt>
                <c:pt idx="2">
                  <c:v>3.4264689254008829</c:v>
                </c:pt>
                <c:pt idx="3">
                  <c:v>2.6383906598841378</c:v>
                </c:pt>
                <c:pt idx="4">
                  <c:v>9.3995102775288331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A-40B1-9ADA-B11C00F5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98752"/>
        <c:axId val="1078280367"/>
      </c:scatterChart>
      <c:valAx>
        <c:axId val="9236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daire</a:t>
                </a:r>
                <a:r>
                  <a:rPr lang="tr-TR" baseline="0"/>
                  <a:t> çapı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8280367"/>
        <c:crosses val="autoZero"/>
        <c:crossBetween val="midCat"/>
      </c:valAx>
      <c:valAx>
        <c:axId val="10782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Hata</a:t>
                </a:r>
                <a:r>
                  <a:rPr lang="tr-TR" baseline="0"/>
                  <a:t> MikroMetre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36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sq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703933747412009"/>
                  <c:y val="-0.1744399103396746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CC'!$P$35:$P$36</c:f>
              <c:numCache>
                <c:formatCode>0.00</c:formatCode>
                <c:ptCount val="2"/>
                <c:pt idx="0">
                  <c:v>186.4627322435683</c:v>
                </c:pt>
                <c:pt idx="1">
                  <c:v>441.65457870397768</c:v>
                </c:pt>
              </c:numCache>
            </c:numRef>
          </c:xVal>
          <c:yVal>
            <c:numRef>
              <c:f>'Saha Testi CC'!$O$35:$O$36</c:f>
              <c:numCache>
                <c:formatCode>0.00</c:formatCode>
                <c:ptCount val="2"/>
                <c:pt idx="0">
                  <c:v>19.655402213095147</c:v>
                </c:pt>
                <c:pt idx="1">
                  <c:v>19.458645770680878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0-4721-9727-89A20972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58240"/>
        <c:axId val="626745376"/>
      </c:scatterChart>
      <c:valAx>
        <c:axId val="6620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6745376"/>
        <c:crosses val="autoZero"/>
        <c:crossBetween val="midCat"/>
      </c:valAx>
      <c:valAx>
        <c:axId val="6267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1171516119876801E-2"/>
                  <c:y val="-0.1346208629409128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'Saha Testi CC'!$P$36:$P$37</c:f>
              <c:numCache>
                <c:formatCode>0.00</c:formatCode>
                <c:ptCount val="2"/>
                <c:pt idx="0">
                  <c:v>441.65457870397768</c:v>
                </c:pt>
                <c:pt idx="1">
                  <c:v>814.39244731385156</c:v>
                </c:pt>
              </c:numCache>
            </c:numRef>
          </c:xVal>
          <c:yVal>
            <c:numRef>
              <c:f>'Saha Testi CC'!$O$36:$O$37</c:f>
              <c:numCache>
                <c:formatCode>0.00</c:formatCode>
                <c:ptCount val="2"/>
                <c:pt idx="0">
                  <c:v>19.458645770680878</c:v>
                </c:pt>
                <c:pt idx="1">
                  <c:v>19.400965777757239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8-485F-BAE5-AD6B8E08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22832"/>
        <c:axId val="661788496"/>
      </c:scatterChart>
      <c:valAx>
        <c:axId val="4057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1788496"/>
        <c:crosses val="autoZero"/>
        <c:crossBetween val="midCat"/>
      </c:valAx>
      <c:valAx>
        <c:axId val="661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57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53</xdr:row>
      <xdr:rowOff>15240</xdr:rowOff>
    </xdr:from>
    <xdr:to>
      <xdr:col>16</xdr:col>
      <xdr:colOff>220980</xdr:colOff>
      <xdr:row>59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81542F4-6925-4BA4-A3F1-E2AA392F4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52</xdr:row>
      <xdr:rowOff>114300</xdr:rowOff>
    </xdr:from>
    <xdr:to>
      <xdr:col>20</xdr:col>
      <xdr:colOff>38100</xdr:colOff>
      <xdr:row>59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D387DBE-9AB1-472B-A47C-650000C4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601980</xdr:colOff>
      <xdr:row>52</xdr:row>
      <xdr:rowOff>91440</xdr:rowOff>
    </xdr:from>
    <xdr:to>
      <xdr:col>24</xdr:col>
      <xdr:colOff>45720</xdr:colOff>
      <xdr:row>59</xdr:row>
      <xdr:rowOff>99060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332FDEC-5985-4C37-A718-27FF3C9B8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220980</xdr:colOff>
      <xdr:row>61</xdr:row>
      <xdr:rowOff>22860</xdr:rowOff>
    </xdr:from>
    <xdr:to>
      <xdr:col>21</xdr:col>
      <xdr:colOff>533400</xdr:colOff>
      <xdr:row>69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E1EA921-81E0-488B-9AAF-D39910A4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78</xdr:row>
      <xdr:rowOff>121920</xdr:rowOff>
    </xdr:from>
    <xdr:to>
      <xdr:col>21</xdr:col>
      <xdr:colOff>541020</xdr:colOff>
      <xdr:row>89</xdr:row>
      <xdr:rowOff>167640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6B7D57D-6F5B-4A41-931D-B9E5F9A21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69</xdr:row>
      <xdr:rowOff>76200</xdr:rowOff>
    </xdr:from>
    <xdr:to>
      <xdr:col>21</xdr:col>
      <xdr:colOff>502920</xdr:colOff>
      <xdr:row>78</xdr:row>
      <xdr:rowOff>60960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16612D92-ECCD-45BE-A03E-2D5A787C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104775</xdr:colOff>
      <xdr:row>13</xdr:row>
      <xdr:rowOff>209550</xdr:rowOff>
    </xdr:from>
    <xdr:to>
      <xdr:col>24</xdr:col>
      <xdr:colOff>409575</xdr:colOff>
      <xdr:row>28</xdr:row>
      <xdr:rowOff>66675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FEE3F3B-4569-4255-9CC0-D60CCAAD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584834</xdr:colOff>
      <xdr:row>32</xdr:row>
      <xdr:rowOff>5715</xdr:rowOff>
    </xdr:from>
    <xdr:to>
      <xdr:col>19</xdr:col>
      <xdr:colOff>289559</xdr:colOff>
      <xdr:row>39</xdr:row>
      <xdr:rowOff>43815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F2D87A0-D8A3-41F5-A908-C53E45E3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432434</xdr:colOff>
      <xdr:row>32</xdr:row>
      <xdr:rowOff>20955</xdr:rowOff>
    </xdr:from>
    <xdr:to>
      <xdr:col>22</xdr:col>
      <xdr:colOff>125730</xdr:colOff>
      <xdr:row>39</xdr:row>
      <xdr:rowOff>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A886DB1C-B46F-49C2-A91F-A3F46B2F0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329565</xdr:colOff>
      <xdr:row>32</xdr:row>
      <xdr:rowOff>15240</xdr:rowOff>
    </xdr:from>
    <xdr:to>
      <xdr:col>25</xdr:col>
      <xdr:colOff>45721</xdr:colOff>
      <xdr:row>39</xdr:row>
      <xdr:rowOff>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88189F1A-FCF7-4522-A51D-2B5987D9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268604</xdr:colOff>
      <xdr:row>39</xdr:row>
      <xdr:rowOff>169545</xdr:rowOff>
    </xdr:from>
    <xdr:to>
      <xdr:col>21</xdr:col>
      <xdr:colOff>457199</xdr:colOff>
      <xdr:row>49</xdr:row>
      <xdr:rowOff>1905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4A075624-C787-4DEE-9976-847594C8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582930</xdr:colOff>
      <xdr:row>0</xdr:row>
      <xdr:rowOff>64770</xdr:rowOff>
    </xdr:from>
    <xdr:to>
      <xdr:col>20</xdr:col>
      <xdr:colOff>278130</xdr:colOff>
      <xdr:row>14</xdr:row>
      <xdr:rowOff>102870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962A6287-1901-ACD9-DC8C-8EF036A53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53</xdr:row>
      <xdr:rowOff>15240</xdr:rowOff>
    </xdr:from>
    <xdr:to>
      <xdr:col>16</xdr:col>
      <xdr:colOff>220980</xdr:colOff>
      <xdr:row>59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5377342-05EB-463B-AE3A-A0163749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52</xdr:row>
      <xdr:rowOff>114300</xdr:rowOff>
    </xdr:from>
    <xdr:to>
      <xdr:col>20</xdr:col>
      <xdr:colOff>38100</xdr:colOff>
      <xdr:row>59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24E219F-5227-4AEE-8CF2-78771AC5D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601980</xdr:colOff>
      <xdr:row>52</xdr:row>
      <xdr:rowOff>91440</xdr:rowOff>
    </xdr:from>
    <xdr:to>
      <xdr:col>24</xdr:col>
      <xdr:colOff>45720</xdr:colOff>
      <xdr:row>59</xdr:row>
      <xdr:rowOff>99060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69AB9B0F-0545-43E6-86C5-4FD089A8E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220980</xdr:colOff>
      <xdr:row>61</xdr:row>
      <xdr:rowOff>22860</xdr:rowOff>
    </xdr:from>
    <xdr:to>
      <xdr:col>21</xdr:col>
      <xdr:colOff>533400</xdr:colOff>
      <xdr:row>69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FF83CD-288E-4762-AC54-3BACC425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78</xdr:row>
      <xdr:rowOff>121920</xdr:rowOff>
    </xdr:from>
    <xdr:to>
      <xdr:col>21</xdr:col>
      <xdr:colOff>541020</xdr:colOff>
      <xdr:row>89</xdr:row>
      <xdr:rowOff>167640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9BE2CA4-FE51-45C2-B3E4-5EB48DFF7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69</xdr:row>
      <xdr:rowOff>76200</xdr:rowOff>
    </xdr:from>
    <xdr:to>
      <xdr:col>21</xdr:col>
      <xdr:colOff>502920</xdr:colOff>
      <xdr:row>78</xdr:row>
      <xdr:rowOff>60960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4970282B-5B43-4FDB-B7EB-C27C3B6EC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104775</xdr:colOff>
      <xdr:row>13</xdr:row>
      <xdr:rowOff>209550</xdr:rowOff>
    </xdr:from>
    <xdr:to>
      <xdr:col>24</xdr:col>
      <xdr:colOff>409575</xdr:colOff>
      <xdr:row>28</xdr:row>
      <xdr:rowOff>66675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65BE6304-02AC-4AB7-9946-A1C0B650B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584834</xdr:colOff>
      <xdr:row>32</xdr:row>
      <xdr:rowOff>5715</xdr:rowOff>
    </xdr:from>
    <xdr:to>
      <xdr:col>19</xdr:col>
      <xdr:colOff>289559</xdr:colOff>
      <xdr:row>39</xdr:row>
      <xdr:rowOff>43815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F9EE7FD1-AC7D-4997-BEBE-F13239B9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432434</xdr:colOff>
      <xdr:row>32</xdr:row>
      <xdr:rowOff>20955</xdr:rowOff>
    </xdr:from>
    <xdr:to>
      <xdr:col>22</xdr:col>
      <xdr:colOff>125730</xdr:colOff>
      <xdr:row>39</xdr:row>
      <xdr:rowOff>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2A275B9E-AFFF-4457-867E-30EB79D70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329565</xdr:colOff>
      <xdr:row>32</xdr:row>
      <xdr:rowOff>15240</xdr:rowOff>
    </xdr:from>
    <xdr:to>
      <xdr:col>25</xdr:col>
      <xdr:colOff>45721</xdr:colOff>
      <xdr:row>39</xdr:row>
      <xdr:rowOff>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1F15BDC0-7B5A-4179-92F8-20990996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268604</xdr:colOff>
      <xdr:row>39</xdr:row>
      <xdr:rowOff>169545</xdr:rowOff>
    </xdr:from>
    <xdr:to>
      <xdr:col>21</xdr:col>
      <xdr:colOff>457199</xdr:colOff>
      <xdr:row>49</xdr:row>
      <xdr:rowOff>1905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74A71EAA-8E7F-414D-A7F7-6BA112EB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582930</xdr:colOff>
      <xdr:row>0</xdr:row>
      <xdr:rowOff>64770</xdr:rowOff>
    </xdr:from>
    <xdr:to>
      <xdr:col>20</xdr:col>
      <xdr:colOff>278130</xdr:colOff>
      <xdr:row>14</xdr:row>
      <xdr:rowOff>102870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5BA2A86A-98FB-41F2-8FA7-34A9E8830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53</xdr:row>
      <xdr:rowOff>15240</xdr:rowOff>
    </xdr:from>
    <xdr:to>
      <xdr:col>16</xdr:col>
      <xdr:colOff>220980</xdr:colOff>
      <xdr:row>59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A0D92F9-1EDE-470D-8C1B-0CC62C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52</xdr:row>
      <xdr:rowOff>114300</xdr:rowOff>
    </xdr:from>
    <xdr:to>
      <xdr:col>20</xdr:col>
      <xdr:colOff>38100</xdr:colOff>
      <xdr:row>59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3FE719B-B3BE-4C65-B035-B11A57705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601980</xdr:colOff>
      <xdr:row>52</xdr:row>
      <xdr:rowOff>91440</xdr:rowOff>
    </xdr:from>
    <xdr:to>
      <xdr:col>24</xdr:col>
      <xdr:colOff>45720</xdr:colOff>
      <xdr:row>59</xdr:row>
      <xdr:rowOff>99060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9AF0CEE-CD5B-4121-B3CF-8A1201265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220980</xdr:colOff>
      <xdr:row>61</xdr:row>
      <xdr:rowOff>22860</xdr:rowOff>
    </xdr:from>
    <xdr:to>
      <xdr:col>21</xdr:col>
      <xdr:colOff>533400</xdr:colOff>
      <xdr:row>69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D42CC9F-72A0-49EA-B252-D6C95EBA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78</xdr:row>
      <xdr:rowOff>121920</xdr:rowOff>
    </xdr:from>
    <xdr:to>
      <xdr:col>21</xdr:col>
      <xdr:colOff>541020</xdr:colOff>
      <xdr:row>89</xdr:row>
      <xdr:rowOff>167640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50D911C4-FE6D-47DB-BD94-6840E0E5F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69</xdr:row>
      <xdr:rowOff>76200</xdr:rowOff>
    </xdr:from>
    <xdr:to>
      <xdr:col>21</xdr:col>
      <xdr:colOff>502920</xdr:colOff>
      <xdr:row>78</xdr:row>
      <xdr:rowOff>60960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7803E00C-1C01-4524-B9F1-670988AC4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104775</xdr:colOff>
      <xdr:row>13</xdr:row>
      <xdr:rowOff>209550</xdr:rowOff>
    </xdr:from>
    <xdr:to>
      <xdr:col>24</xdr:col>
      <xdr:colOff>409575</xdr:colOff>
      <xdr:row>28</xdr:row>
      <xdr:rowOff>66675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9F56FC2D-425C-493D-8A39-200D0FAD3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584834</xdr:colOff>
      <xdr:row>32</xdr:row>
      <xdr:rowOff>5715</xdr:rowOff>
    </xdr:from>
    <xdr:to>
      <xdr:col>19</xdr:col>
      <xdr:colOff>289559</xdr:colOff>
      <xdr:row>39</xdr:row>
      <xdr:rowOff>43815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B00EC9A-D001-41D1-A2B5-66A8824E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432434</xdr:colOff>
      <xdr:row>32</xdr:row>
      <xdr:rowOff>20955</xdr:rowOff>
    </xdr:from>
    <xdr:to>
      <xdr:col>22</xdr:col>
      <xdr:colOff>125730</xdr:colOff>
      <xdr:row>39</xdr:row>
      <xdr:rowOff>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1AEB3BFB-DC85-43B4-9F83-380408FE4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329565</xdr:colOff>
      <xdr:row>32</xdr:row>
      <xdr:rowOff>15240</xdr:rowOff>
    </xdr:from>
    <xdr:to>
      <xdr:col>25</xdr:col>
      <xdr:colOff>45721</xdr:colOff>
      <xdr:row>39</xdr:row>
      <xdr:rowOff>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9D381502-D1ED-472C-BAC4-614FFE519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268604</xdr:colOff>
      <xdr:row>39</xdr:row>
      <xdr:rowOff>169545</xdr:rowOff>
    </xdr:from>
    <xdr:to>
      <xdr:col>21</xdr:col>
      <xdr:colOff>457199</xdr:colOff>
      <xdr:row>49</xdr:row>
      <xdr:rowOff>1905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011265E-DD58-4DC6-B67E-86D2A2B04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582930</xdr:colOff>
      <xdr:row>0</xdr:row>
      <xdr:rowOff>64770</xdr:rowOff>
    </xdr:from>
    <xdr:to>
      <xdr:col>20</xdr:col>
      <xdr:colOff>278130</xdr:colOff>
      <xdr:row>14</xdr:row>
      <xdr:rowOff>102870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87213E5C-27C9-49CA-A8E6-544B723D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487680</xdr:colOff>
      <xdr:row>53</xdr:row>
      <xdr:rowOff>15240</xdr:rowOff>
    </xdr:from>
    <xdr:to>
      <xdr:col>16</xdr:col>
      <xdr:colOff>220980</xdr:colOff>
      <xdr:row>59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E4C93A0-DDE3-4423-80CD-C76B99E0C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</xdr:colOff>
      <xdr:row>52</xdr:row>
      <xdr:rowOff>114300</xdr:rowOff>
    </xdr:from>
    <xdr:to>
      <xdr:col>20</xdr:col>
      <xdr:colOff>38100</xdr:colOff>
      <xdr:row>59</xdr:row>
      <xdr:rowOff>106680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B7C9282-18F8-46F4-A98E-D8C2B1A8A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601980</xdr:colOff>
      <xdr:row>52</xdr:row>
      <xdr:rowOff>91440</xdr:rowOff>
    </xdr:from>
    <xdr:to>
      <xdr:col>24</xdr:col>
      <xdr:colOff>45720</xdr:colOff>
      <xdr:row>59</xdr:row>
      <xdr:rowOff>99060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AC82BE5-EDC5-456F-BCD2-AF929F7DA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220980</xdr:colOff>
      <xdr:row>61</xdr:row>
      <xdr:rowOff>22860</xdr:rowOff>
    </xdr:from>
    <xdr:to>
      <xdr:col>21</xdr:col>
      <xdr:colOff>533400</xdr:colOff>
      <xdr:row>69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B0EE569-1531-4424-B00C-8BA4A581C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78</xdr:row>
      <xdr:rowOff>121920</xdr:rowOff>
    </xdr:from>
    <xdr:to>
      <xdr:col>21</xdr:col>
      <xdr:colOff>541020</xdr:colOff>
      <xdr:row>89</xdr:row>
      <xdr:rowOff>167640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1A8B8DDF-C152-448D-BAAC-2ACAB79F2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69</xdr:row>
      <xdr:rowOff>76200</xdr:rowOff>
    </xdr:from>
    <xdr:to>
      <xdr:col>21</xdr:col>
      <xdr:colOff>502920</xdr:colOff>
      <xdr:row>78</xdr:row>
      <xdr:rowOff>60960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25EF8A45-EACB-4267-B7C4-3F2C93302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179070</xdr:colOff>
      <xdr:row>15</xdr:row>
      <xdr:rowOff>24765</xdr:rowOff>
    </xdr:from>
    <xdr:to>
      <xdr:col>24</xdr:col>
      <xdr:colOff>483870</xdr:colOff>
      <xdr:row>30</xdr:row>
      <xdr:rowOff>55245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B687363-ACFC-416A-8586-A9759E148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584834</xdr:colOff>
      <xdr:row>32</xdr:row>
      <xdr:rowOff>5715</xdr:rowOff>
    </xdr:from>
    <xdr:to>
      <xdr:col>19</xdr:col>
      <xdr:colOff>289559</xdr:colOff>
      <xdr:row>39</xdr:row>
      <xdr:rowOff>43815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899B2022-2EAC-4E15-9245-6A8CB9961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432434</xdr:colOff>
      <xdr:row>32</xdr:row>
      <xdr:rowOff>20955</xdr:rowOff>
    </xdr:from>
    <xdr:to>
      <xdr:col>22</xdr:col>
      <xdr:colOff>125730</xdr:colOff>
      <xdr:row>39</xdr:row>
      <xdr:rowOff>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CD680FBD-07A1-4711-9FBE-D9FF9EF51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329565</xdr:colOff>
      <xdr:row>32</xdr:row>
      <xdr:rowOff>15240</xdr:rowOff>
    </xdr:from>
    <xdr:to>
      <xdr:col>25</xdr:col>
      <xdr:colOff>45721</xdr:colOff>
      <xdr:row>39</xdr:row>
      <xdr:rowOff>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2E8C9F55-35CB-4C63-874E-584B73E84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268604</xdr:colOff>
      <xdr:row>39</xdr:row>
      <xdr:rowOff>169545</xdr:rowOff>
    </xdr:from>
    <xdr:to>
      <xdr:col>21</xdr:col>
      <xdr:colOff>457199</xdr:colOff>
      <xdr:row>49</xdr:row>
      <xdr:rowOff>1905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59971688-8975-4240-B1B0-0F3BCFEA5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582930</xdr:colOff>
      <xdr:row>0</xdr:row>
      <xdr:rowOff>64770</xdr:rowOff>
    </xdr:from>
    <xdr:to>
      <xdr:col>20</xdr:col>
      <xdr:colOff>278130</xdr:colOff>
      <xdr:row>14</xdr:row>
      <xdr:rowOff>102870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2A065C46-5C4F-41E5-98EC-16EC80A6A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2645-DAEA-49BE-B110-A82118A06A4C}">
  <sheetPr codeName="Sayfa1"/>
  <dimension ref="B2:O11"/>
  <sheetViews>
    <sheetView workbookViewId="0">
      <selection activeCell="I10" sqref="I10"/>
    </sheetView>
  </sheetViews>
  <sheetFormatPr defaultRowHeight="14.4" x14ac:dyDescent="0.3"/>
  <sheetData>
    <row r="2" spans="2:15" x14ac:dyDescent="0.3">
      <c r="C2" t="s">
        <v>0</v>
      </c>
      <c r="D2" t="s">
        <v>1</v>
      </c>
      <c r="G2" s="42" t="s">
        <v>17</v>
      </c>
      <c r="H2" s="42"/>
      <c r="I2" s="42"/>
      <c r="J2" s="42"/>
      <c r="K2" s="42"/>
      <c r="L2" s="42"/>
      <c r="M2" s="42"/>
      <c r="N2" s="42"/>
      <c r="O2" s="42"/>
    </row>
    <row r="3" spans="2:15" x14ac:dyDescent="0.3">
      <c r="B3">
        <v>1</v>
      </c>
      <c r="C3">
        <v>3.665</v>
      </c>
      <c r="D3">
        <v>3.6709999999999998</v>
      </c>
      <c r="G3" s="15">
        <v>3.665</v>
      </c>
      <c r="H3" s="15">
        <v>5.3979999999999997</v>
      </c>
      <c r="I3" s="15">
        <v>6.431</v>
      </c>
      <c r="J3" s="15">
        <v>8.5939999999999994</v>
      </c>
      <c r="K3" s="15">
        <v>10.458</v>
      </c>
      <c r="L3">
        <v>11.06</v>
      </c>
      <c r="M3" s="15">
        <v>15.8</v>
      </c>
      <c r="N3" s="15">
        <v>23.667999999999999</v>
      </c>
      <c r="O3" s="15">
        <v>24.289000000000001</v>
      </c>
    </row>
    <row r="4" spans="2:15" x14ac:dyDescent="0.3">
      <c r="B4">
        <v>2</v>
      </c>
      <c r="C4">
        <v>5.3979999999999997</v>
      </c>
      <c r="D4">
        <v>5.399</v>
      </c>
    </row>
    <row r="5" spans="2:15" x14ac:dyDescent="0.3">
      <c r="B5">
        <v>3</v>
      </c>
      <c r="C5">
        <v>6.431</v>
      </c>
      <c r="D5">
        <v>6.4240000000000004</v>
      </c>
      <c r="G5">
        <v>3.6709999999999998</v>
      </c>
      <c r="H5">
        <v>5.399</v>
      </c>
      <c r="I5">
        <v>6.4240000000000004</v>
      </c>
      <c r="J5">
        <v>8.5920000000000005</v>
      </c>
      <c r="K5">
        <v>10.472</v>
      </c>
      <c r="L5" s="15">
        <v>11.045999999999999</v>
      </c>
      <c r="M5">
        <v>15.8</v>
      </c>
      <c r="N5">
        <v>23.673999999999999</v>
      </c>
      <c r="O5">
        <v>24.283000000000001</v>
      </c>
    </row>
    <row r="6" spans="2:15" x14ac:dyDescent="0.3">
      <c r="B6">
        <v>4</v>
      </c>
      <c r="C6">
        <v>8.5939999999999994</v>
      </c>
      <c r="D6">
        <v>8.5920000000000005</v>
      </c>
    </row>
    <row r="7" spans="2:15" x14ac:dyDescent="0.3">
      <c r="B7">
        <v>5</v>
      </c>
      <c r="C7">
        <v>10.458</v>
      </c>
      <c r="D7">
        <v>10.472</v>
      </c>
      <c r="G7" t="s">
        <v>53</v>
      </c>
    </row>
    <row r="8" spans="2:15" x14ac:dyDescent="0.3">
      <c r="B8">
        <v>6</v>
      </c>
      <c r="C8">
        <v>11.06</v>
      </c>
      <c r="D8">
        <v>11.045999999999999</v>
      </c>
    </row>
    <row r="9" spans="2:15" x14ac:dyDescent="0.3">
      <c r="B9">
        <v>7</v>
      </c>
      <c r="C9">
        <v>15.8</v>
      </c>
      <c r="D9">
        <v>15.8</v>
      </c>
    </row>
    <row r="10" spans="2:15" x14ac:dyDescent="0.3">
      <c r="B10">
        <v>8</v>
      </c>
      <c r="C10">
        <v>23.667999999999999</v>
      </c>
      <c r="D10">
        <v>23.673999999999999</v>
      </c>
    </row>
    <row r="11" spans="2:15" x14ac:dyDescent="0.3">
      <c r="B11">
        <v>9</v>
      </c>
      <c r="C11">
        <v>24.289000000000001</v>
      </c>
      <c r="D11">
        <v>24.283000000000001</v>
      </c>
    </row>
  </sheetData>
  <mergeCells count="1">
    <mergeCell ref="G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81C8-31D9-447C-AB56-D9778E4CCBD5}">
  <sheetPr codeName="Sayfa2"/>
  <dimension ref="A1:V48"/>
  <sheetViews>
    <sheetView topLeftCell="A9" workbookViewId="0">
      <selection activeCell="P48" sqref="P3:P48"/>
    </sheetView>
  </sheetViews>
  <sheetFormatPr defaultRowHeight="14.4" x14ac:dyDescent="0.3"/>
  <sheetData>
    <row r="1" spans="1:22" x14ac:dyDescent="0.3">
      <c r="B1" t="s">
        <v>8</v>
      </c>
      <c r="C1" s="42" t="s">
        <v>12</v>
      </c>
      <c r="D1" s="42"/>
      <c r="E1" s="42"/>
      <c r="F1" s="42"/>
      <c r="G1" s="42"/>
      <c r="H1" s="42"/>
      <c r="I1" s="42"/>
      <c r="J1" s="42"/>
      <c r="K1" s="42"/>
      <c r="L1" s="42"/>
    </row>
    <row r="2" spans="1:2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N2" s="44" t="s">
        <v>17</v>
      </c>
      <c r="O2" s="44"/>
      <c r="P2" s="44"/>
      <c r="Q2" s="44"/>
      <c r="R2" s="44"/>
      <c r="S2" s="44"/>
      <c r="T2" s="44"/>
      <c r="U2" s="44"/>
      <c r="V2" s="44"/>
    </row>
    <row r="3" spans="1:22" x14ac:dyDescent="0.3">
      <c r="A3" s="43" t="s">
        <v>13</v>
      </c>
      <c r="B3" t="s">
        <v>2</v>
      </c>
      <c r="C3">
        <v>186.49004843272701</v>
      </c>
      <c r="D3">
        <v>186.483220921753</v>
      </c>
      <c r="E3">
        <v>186.45932266459201</v>
      </c>
      <c r="F3">
        <v>186.39785593384099</v>
      </c>
      <c r="G3">
        <v>186.48663470848601</v>
      </c>
      <c r="H3">
        <v>186.432006619519</v>
      </c>
      <c r="I3">
        <v>186.53100825057999</v>
      </c>
      <c r="J3">
        <v>186.48663470848601</v>
      </c>
      <c r="K3">
        <v>186.39102504585301</v>
      </c>
      <c r="L3">
        <v>186.46956514984601</v>
      </c>
      <c r="N3" s="16">
        <v>186.49004843272701</v>
      </c>
      <c r="O3" s="16">
        <v>275.93427618757801</v>
      </c>
      <c r="P3" s="16">
        <v>329.34177320292002</v>
      </c>
      <c r="Q3" s="16">
        <v>441.761524739528</v>
      </c>
      <c r="R3" s="16">
        <v>538.269979732568</v>
      </c>
      <c r="S3" s="2">
        <v>568.77921593926897</v>
      </c>
      <c r="T3" s="16">
        <v>814.43341057882196</v>
      </c>
      <c r="U3" s="16">
        <v>1221.7626714475</v>
      </c>
      <c r="V3" s="16">
        <v>1256.0497338740099</v>
      </c>
    </row>
    <row r="4" spans="1:22" x14ac:dyDescent="0.3">
      <c r="A4" s="43"/>
      <c r="B4" t="s">
        <v>3</v>
      </c>
      <c r="C4">
        <v>275.93427618757801</v>
      </c>
      <c r="D4">
        <v>275.87659158860203</v>
      </c>
      <c r="E4">
        <v>276.081893839538</v>
      </c>
      <c r="F4">
        <v>276.02193368981102</v>
      </c>
      <c r="G4">
        <v>276.25478289412598</v>
      </c>
      <c r="H4">
        <v>275.91351112125699</v>
      </c>
      <c r="I4">
        <v>276.06113987688201</v>
      </c>
      <c r="J4">
        <v>275.83274322530002</v>
      </c>
      <c r="K4">
        <v>275.90658908519401</v>
      </c>
      <c r="L4">
        <v>276.03346549935998</v>
      </c>
      <c r="N4" s="16">
        <v>186.483220921753</v>
      </c>
      <c r="O4" s="16">
        <v>275.87659158860203</v>
      </c>
      <c r="P4" s="16">
        <v>329.29537778014799</v>
      </c>
      <c r="Q4" s="16">
        <v>441.64622219216801</v>
      </c>
      <c r="R4" s="16">
        <v>538.20256077730596</v>
      </c>
      <c r="S4" s="2">
        <v>568.937011680816</v>
      </c>
      <c r="T4" s="16">
        <v>814.44200892515596</v>
      </c>
      <c r="U4" s="16">
        <v>1221.6964941917199</v>
      </c>
      <c r="V4" s="16">
        <v>1256.02793944425</v>
      </c>
    </row>
    <row r="5" spans="1:22" x14ac:dyDescent="0.3">
      <c r="A5" s="43"/>
      <c r="B5" t="s">
        <v>4</v>
      </c>
      <c r="C5">
        <v>329.34177320292002</v>
      </c>
      <c r="D5">
        <v>329.29537778014799</v>
      </c>
      <c r="E5">
        <v>329.22770606876998</v>
      </c>
      <c r="F5">
        <v>329.16969067179099</v>
      </c>
      <c r="G5">
        <v>329.22383869369901</v>
      </c>
      <c r="H5">
        <v>329.16969067179099</v>
      </c>
      <c r="I5">
        <v>329.20643494365697</v>
      </c>
      <c r="J5">
        <v>329.24510869442997</v>
      </c>
      <c r="K5">
        <v>329.21610380726497</v>
      </c>
      <c r="L5">
        <v>329.16775664912501</v>
      </c>
      <c r="N5" s="16">
        <v>186.45932266459201</v>
      </c>
      <c r="O5" s="16">
        <v>276.081893839538</v>
      </c>
      <c r="P5" s="16">
        <v>329.22770606876998</v>
      </c>
      <c r="Q5" s="16">
        <v>441.67072650207899</v>
      </c>
      <c r="R5" s="16">
        <v>538.25815245647004</v>
      </c>
      <c r="S5" s="2">
        <v>568.78145448280804</v>
      </c>
      <c r="T5" s="16">
        <v>814.40136139726405</v>
      </c>
      <c r="U5" s="16">
        <v>1221.76475571229</v>
      </c>
      <c r="V5" s="16">
        <v>1255.98333571135</v>
      </c>
    </row>
    <row r="6" spans="1:22" x14ac:dyDescent="0.3">
      <c r="A6" s="43"/>
      <c r="B6" t="s">
        <v>5</v>
      </c>
      <c r="C6">
        <v>441.761524739528</v>
      </c>
      <c r="D6">
        <v>441.64622219216801</v>
      </c>
      <c r="E6">
        <v>441.67072650207899</v>
      </c>
      <c r="F6">
        <v>441.602975975334</v>
      </c>
      <c r="G6">
        <v>441.60874238227098</v>
      </c>
      <c r="H6">
        <v>441.72981953928399</v>
      </c>
      <c r="I6">
        <v>441.62892421361698</v>
      </c>
      <c r="J6">
        <v>441.71252483450297</v>
      </c>
      <c r="K6">
        <v>441.61162555750298</v>
      </c>
      <c r="L6">
        <v>441.57270110348998</v>
      </c>
      <c r="N6" s="16">
        <v>186.39785593384099</v>
      </c>
      <c r="O6" s="16">
        <v>276.02193368981102</v>
      </c>
      <c r="P6" s="16">
        <v>329.16969067179099</v>
      </c>
      <c r="Q6" s="16">
        <v>441.602975975334</v>
      </c>
      <c r="R6" s="16">
        <v>538.12566920454697</v>
      </c>
      <c r="S6" s="2">
        <v>568.69638363381398</v>
      </c>
      <c r="T6" s="16">
        <v>814.31693312547895</v>
      </c>
      <c r="U6" s="16">
        <v>1221.7564186318</v>
      </c>
      <c r="V6" s="16">
        <v>1256.0264188885201</v>
      </c>
    </row>
    <row r="7" spans="1:22" x14ac:dyDescent="0.3">
      <c r="A7" s="43"/>
      <c r="B7" t="s">
        <v>6</v>
      </c>
      <c r="C7">
        <v>538.269979732568</v>
      </c>
      <c r="D7">
        <v>538.20256077730596</v>
      </c>
      <c r="E7">
        <v>538.25815245647004</v>
      </c>
      <c r="F7">
        <v>538.12566920454697</v>
      </c>
      <c r="G7">
        <v>538.11265569753095</v>
      </c>
      <c r="H7">
        <v>538.21675494338399</v>
      </c>
      <c r="I7">
        <v>538.32438185573301</v>
      </c>
      <c r="J7">
        <v>538.33265995773502</v>
      </c>
      <c r="K7">
        <v>538.22503470072797</v>
      </c>
      <c r="L7">
        <v>538.31846884779395</v>
      </c>
      <c r="N7" s="16">
        <v>186.48663470848601</v>
      </c>
      <c r="O7" s="16">
        <v>276.25478289412598</v>
      </c>
      <c r="P7" s="16">
        <v>329.22383869369901</v>
      </c>
      <c r="Q7" s="16">
        <v>441.60874238227098</v>
      </c>
      <c r="R7" s="16">
        <v>538.11265569753095</v>
      </c>
      <c r="S7" s="2">
        <v>568.84636841345196</v>
      </c>
      <c r="T7" s="16">
        <v>814.47327487391101</v>
      </c>
      <c r="U7" s="16">
        <v>1221.7444339789199</v>
      </c>
      <c r="V7" s="16">
        <v>1256.0350353466199</v>
      </c>
    </row>
    <row r="8" spans="1:22" x14ac:dyDescent="0.3">
      <c r="A8" s="43"/>
      <c r="B8" t="s">
        <v>9</v>
      </c>
      <c r="C8">
        <v>568.77921593926897</v>
      </c>
      <c r="D8">
        <v>568.937011680816</v>
      </c>
      <c r="E8">
        <v>568.78145448280804</v>
      </c>
      <c r="F8">
        <v>568.69638363381398</v>
      </c>
      <c r="G8">
        <v>568.84636841345196</v>
      </c>
      <c r="H8">
        <v>568.944844371675</v>
      </c>
      <c r="I8">
        <v>568.78145448280804</v>
      </c>
      <c r="J8">
        <v>568.66727752704003</v>
      </c>
      <c r="K8">
        <v>568.79712404090503</v>
      </c>
      <c r="L8">
        <v>568.715413744378</v>
      </c>
      <c r="N8" s="16">
        <v>186.432006619519</v>
      </c>
      <c r="O8" s="16">
        <v>275.91351112125699</v>
      </c>
      <c r="P8" s="16">
        <v>329.16969067179099</v>
      </c>
      <c r="Q8" s="16">
        <v>441.72981953928399</v>
      </c>
      <c r="R8" s="16">
        <v>538.21675494338399</v>
      </c>
      <c r="S8" s="2">
        <v>568.944844371675</v>
      </c>
      <c r="T8" s="16">
        <v>814.27393388215796</v>
      </c>
      <c r="U8" s="16">
        <v>1221.76527677793</v>
      </c>
      <c r="V8" s="16">
        <v>1256.0152680903</v>
      </c>
    </row>
    <row r="9" spans="1:22" x14ac:dyDescent="0.3">
      <c r="A9" s="43"/>
      <c r="B9" t="s">
        <v>10</v>
      </c>
      <c r="C9">
        <v>814.43341057882196</v>
      </c>
      <c r="D9">
        <v>814.44200892515596</v>
      </c>
      <c r="E9">
        <v>814.40136139726405</v>
      </c>
      <c r="F9">
        <v>814.31693312547895</v>
      </c>
      <c r="G9">
        <v>814.47327487391101</v>
      </c>
      <c r="H9">
        <v>814.27393388215796</v>
      </c>
      <c r="I9">
        <v>814.42559382156196</v>
      </c>
      <c r="J9">
        <v>814.31615134132096</v>
      </c>
      <c r="K9">
        <v>814.37790997753302</v>
      </c>
      <c r="L9">
        <v>814.46389521531</v>
      </c>
      <c r="N9" s="16">
        <v>186.53100825057999</v>
      </c>
      <c r="O9" s="16">
        <v>276.06113987688201</v>
      </c>
      <c r="P9" s="16">
        <v>329.20643494365697</v>
      </c>
      <c r="Q9" s="16">
        <v>441.62892421361698</v>
      </c>
      <c r="R9" s="16">
        <v>538.32438185573301</v>
      </c>
      <c r="S9" s="2">
        <v>568.78145448280804</v>
      </c>
      <c r="T9" s="16">
        <v>814.42559382156196</v>
      </c>
      <c r="U9" s="16">
        <v>1221.7407864525301</v>
      </c>
      <c r="V9" s="16">
        <v>1256.0228709180101</v>
      </c>
    </row>
    <row r="10" spans="1:22" x14ac:dyDescent="0.3">
      <c r="A10" s="43"/>
      <c r="B10" t="s">
        <v>7</v>
      </c>
      <c r="C10">
        <v>1221.7626714475</v>
      </c>
      <c r="D10">
        <v>1221.6964941917199</v>
      </c>
      <c r="E10">
        <v>1221.76475571229</v>
      </c>
      <c r="F10">
        <v>1221.7564186318</v>
      </c>
      <c r="G10">
        <v>1221.7444339789199</v>
      </c>
      <c r="H10">
        <v>1221.76527677793</v>
      </c>
      <c r="I10">
        <v>1221.7407864525301</v>
      </c>
      <c r="J10">
        <v>1221.7491236397</v>
      </c>
      <c r="K10">
        <v>1221.70066294355</v>
      </c>
      <c r="L10">
        <v>1221.7512079276</v>
      </c>
      <c r="N10" s="16">
        <v>186.48663470848601</v>
      </c>
      <c r="O10" s="16">
        <v>275.83274322530002</v>
      </c>
      <c r="P10" s="16">
        <v>329.24510869442997</v>
      </c>
      <c r="Q10" s="16">
        <v>441.71252483450297</v>
      </c>
      <c r="R10" s="16">
        <v>538.33265995773502</v>
      </c>
      <c r="S10" s="2">
        <v>568.66727752704003</v>
      </c>
      <c r="T10" s="16">
        <v>814.31615134132096</v>
      </c>
      <c r="U10" s="16">
        <v>1221.7491236397</v>
      </c>
      <c r="V10" s="16">
        <v>1256.0375695877501</v>
      </c>
    </row>
    <row r="11" spans="1:22" x14ac:dyDescent="0.3">
      <c r="A11" s="43"/>
      <c r="B11" t="s">
        <v>11</v>
      </c>
      <c r="C11">
        <v>1256.0497338740099</v>
      </c>
      <c r="D11">
        <v>1256.02793944425</v>
      </c>
      <c r="E11">
        <v>1255.98333571135</v>
      </c>
      <c r="F11">
        <v>1256.0264188885201</v>
      </c>
      <c r="G11">
        <v>1256.0350353466199</v>
      </c>
      <c r="H11">
        <v>1256.0152680903</v>
      </c>
      <c r="I11">
        <v>1256.0228709180101</v>
      </c>
      <c r="J11">
        <v>1256.0375695877501</v>
      </c>
      <c r="K11">
        <v>1256.0056377758001</v>
      </c>
      <c r="L11">
        <v>1256.05632281322</v>
      </c>
      <c r="N11" s="16">
        <v>186.39102504585301</v>
      </c>
      <c r="O11" s="16">
        <v>275.90658908519401</v>
      </c>
      <c r="P11" s="16">
        <v>329.21610380726497</v>
      </c>
      <c r="Q11" s="16">
        <v>441.61162555750298</v>
      </c>
      <c r="R11" s="16">
        <v>538.22503470072797</v>
      </c>
      <c r="S11" s="2">
        <v>568.79712404090503</v>
      </c>
      <c r="T11" s="16">
        <v>814.37790997753302</v>
      </c>
      <c r="U11" s="16">
        <v>1221.70066294355</v>
      </c>
      <c r="V11" s="16">
        <v>1256.0056377758001</v>
      </c>
    </row>
    <row r="12" spans="1:22" x14ac:dyDescent="0.3">
      <c r="N12" s="16">
        <v>186.46956514984601</v>
      </c>
      <c r="O12" s="16">
        <v>276.03346549935998</v>
      </c>
      <c r="P12" s="16">
        <v>329.16775664912501</v>
      </c>
      <c r="Q12" s="16">
        <v>441.57270110348998</v>
      </c>
      <c r="R12" s="16">
        <v>538.31846884779395</v>
      </c>
      <c r="S12" s="2">
        <v>568.715413744378</v>
      </c>
      <c r="T12" s="16">
        <v>814.46389521531</v>
      </c>
      <c r="U12" s="16">
        <v>1221.7512079276</v>
      </c>
      <c r="V12" s="16">
        <v>1256.05632281322</v>
      </c>
    </row>
    <row r="13" spans="1:22" x14ac:dyDescent="0.3"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43" t="s">
        <v>14</v>
      </c>
      <c r="B15" t="s">
        <v>2</v>
      </c>
      <c r="C15">
        <v>186.79873256656199</v>
      </c>
      <c r="D15">
        <v>186.818305815239</v>
      </c>
      <c r="E15">
        <v>186.791400221092</v>
      </c>
      <c r="F15">
        <v>186.76336815273601</v>
      </c>
      <c r="G15">
        <v>186.829197418723</v>
      </c>
      <c r="H15">
        <v>186.75779330997599</v>
      </c>
      <c r="I15">
        <v>186.83582987483899</v>
      </c>
      <c r="J15">
        <v>186.80121423412001</v>
      </c>
      <c r="K15">
        <v>186.754235686068</v>
      </c>
      <c r="L15">
        <v>186.831288796482</v>
      </c>
      <c r="N15" s="16">
        <v>186.79873256656199</v>
      </c>
      <c r="O15" s="16">
        <v>276.190986106747</v>
      </c>
      <c r="P15" s="16">
        <v>329.45741189279897</v>
      </c>
      <c r="Q15" s="16">
        <v>441.78455352349101</v>
      </c>
      <c r="R15" s="16">
        <v>538.22749641300095</v>
      </c>
      <c r="S15" s="2">
        <v>568.73673848701401</v>
      </c>
      <c r="T15" s="16">
        <v>814.25047296385799</v>
      </c>
      <c r="U15" s="16">
        <v>1221.5430820736201</v>
      </c>
      <c r="V15" s="16">
        <v>1255.87496538342</v>
      </c>
    </row>
    <row r="16" spans="1:22" x14ac:dyDescent="0.3">
      <c r="A16" s="43"/>
      <c r="B16" t="s">
        <v>3</v>
      </c>
      <c r="C16">
        <v>276.190986106747</v>
      </c>
      <c r="D16">
        <v>276.13616213282597</v>
      </c>
      <c r="E16">
        <v>276.27426234336502</v>
      </c>
      <c r="F16">
        <v>276.230848565889</v>
      </c>
      <c r="G16">
        <v>276.41834486266202</v>
      </c>
      <c r="H16">
        <v>276.175539644845</v>
      </c>
      <c r="I16">
        <v>276.24623980896598</v>
      </c>
      <c r="J16">
        <v>276.13188099982102</v>
      </c>
      <c r="K16">
        <v>276.19705093409698</v>
      </c>
      <c r="L16">
        <v>276.24814003049499</v>
      </c>
      <c r="N16" s="16">
        <v>186.818305815239</v>
      </c>
      <c r="O16" s="16">
        <v>276.13616213282597</v>
      </c>
      <c r="P16" s="16">
        <v>329.39889422644302</v>
      </c>
      <c r="Q16" s="16">
        <v>441.70689863594703</v>
      </c>
      <c r="R16" s="16">
        <v>538.16645700563697</v>
      </c>
      <c r="S16" s="2">
        <v>568.86079300551103</v>
      </c>
      <c r="T16" s="16">
        <v>814.24274798289503</v>
      </c>
      <c r="U16" s="16">
        <v>1221.4887145385201</v>
      </c>
      <c r="V16" s="16">
        <v>1255.8395503960501</v>
      </c>
    </row>
    <row r="17" spans="1:22" x14ac:dyDescent="0.3">
      <c r="A17" s="43"/>
      <c r="B17" t="s">
        <v>4</v>
      </c>
      <c r="C17">
        <v>329.45741189279897</v>
      </c>
      <c r="D17">
        <v>329.39889422644302</v>
      </c>
      <c r="E17">
        <v>329.353524562149</v>
      </c>
      <c r="F17">
        <v>329.330876917956</v>
      </c>
      <c r="G17">
        <v>329.38066804584503</v>
      </c>
      <c r="H17">
        <v>329.33638296332498</v>
      </c>
      <c r="I17">
        <v>329.37121881289698</v>
      </c>
      <c r="J17">
        <v>329.37550429651498</v>
      </c>
      <c r="K17">
        <v>329.35575445875099</v>
      </c>
      <c r="L17">
        <v>329.34036864370302</v>
      </c>
      <c r="N17" s="16">
        <v>186.791400221092</v>
      </c>
      <c r="O17" s="16">
        <v>276.27426234336502</v>
      </c>
      <c r="P17" s="16">
        <v>329.353524562149</v>
      </c>
      <c r="Q17" s="16">
        <v>441.72464679754597</v>
      </c>
      <c r="R17" s="16">
        <v>538.21751232625297</v>
      </c>
      <c r="S17" s="2">
        <v>568.73805386093704</v>
      </c>
      <c r="T17" s="16">
        <v>814.234076811862</v>
      </c>
      <c r="U17" s="16">
        <v>1221.53400931894</v>
      </c>
      <c r="V17" s="16">
        <v>1255.81849165996</v>
      </c>
    </row>
    <row r="18" spans="1:22" x14ac:dyDescent="0.3">
      <c r="A18" s="43"/>
      <c r="B18" t="s">
        <v>5</v>
      </c>
      <c r="C18">
        <v>441.78455352349101</v>
      </c>
      <c r="D18">
        <v>441.70689863594703</v>
      </c>
      <c r="E18">
        <v>441.72464679754597</v>
      </c>
      <c r="F18">
        <v>441.71337326866899</v>
      </c>
      <c r="G18">
        <v>441.66500734721899</v>
      </c>
      <c r="H18">
        <v>441.76191480261502</v>
      </c>
      <c r="I18">
        <v>441.69087542797303</v>
      </c>
      <c r="J18">
        <v>441.759395052944</v>
      </c>
      <c r="K18">
        <v>441.66808496159899</v>
      </c>
      <c r="L18">
        <v>441.616560853583</v>
      </c>
      <c r="N18" s="16">
        <v>186.76336815273601</v>
      </c>
      <c r="O18" s="16">
        <v>276.230848565889</v>
      </c>
      <c r="P18" s="16">
        <v>329.330876917956</v>
      </c>
      <c r="Q18" s="16">
        <v>441.71337326866899</v>
      </c>
      <c r="R18" s="16">
        <v>538.10852002768695</v>
      </c>
      <c r="S18" s="2">
        <v>568.66768705125401</v>
      </c>
      <c r="T18" s="16">
        <v>814.17158016644305</v>
      </c>
      <c r="U18" s="16">
        <v>1221.5242363242601</v>
      </c>
      <c r="V18" s="16">
        <v>1255.8510494453801</v>
      </c>
    </row>
    <row r="19" spans="1:22" x14ac:dyDescent="0.3">
      <c r="A19" s="43"/>
      <c r="B19" t="s">
        <v>6</v>
      </c>
      <c r="C19">
        <v>538.22749641300095</v>
      </c>
      <c r="D19">
        <v>538.16645700563697</v>
      </c>
      <c r="E19">
        <v>538.21751232625297</v>
      </c>
      <c r="F19">
        <v>538.10852002768695</v>
      </c>
      <c r="G19">
        <v>538.12824361804905</v>
      </c>
      <c r="H19">
        <v>538.17597125867405</v>
      </c>
      <c r="I19">
        <v>538.30101623071096</v>
      </c>
      <c r="J19">
        <v>538.32943844283295</v>
      </c>
      <c r="K19">
        <v>538.25063763075605</v>
      </c>
      <c r="L19">
        <v>538.30667358296</v>
      </c>
      <c r="N19" s="16">
        <v>186.829197418723</v>
      </c>
      <c r="O19" s="16">
        <v>276.41834486266202</v>
      </c>
      <c r="P19" s="16">
        <v>329.38066804584503</v>
      </c>
      <c r="Q19" s="16">
        <v>441.66500734721899</v>
      </c>
      <c r="R19" s="16">
        <v>538.12824361804905</v>
      </c>
      <c r="S19" s="2">
        <v>568.78297629175904</v>
      </c>
      <c r="T19" s="16">
        <v>814.25682266498904</v>
      </c>
      <c r="U19" s="16">
        <v>1221.52423089794</v>
      </c>
      <c r="V19" s="16">
        <v>1255.8771494630901</v>
      </c>
    </row>
    <row r="20" spans="1:22" x14ac:dyDescent="0.3">
      <c r="A20" s="43"/>
      <c r="B20" t="s">
        <v>9</v>
      </c>
      <c r="C20">
        <v>568.73673848701401</v>
      </c>
      <c r="D20">
        <v>568.86079300551103</v>
      </c>
      <c r="E20">
        <v>568.73805386093704</v>
      </c>
      <c r="F20">
        <v>568.66768705125401</v>
      </c>
      <c r="G20">
        <v>568.78297629175904</v>
      </c>
      <c r="H20">
        <v>568.85562990443498</v>
      </c>
      <c r="I20">
        <v>568.72641989668602</v>
      </c>
      <c r="J20">
        <v>568.63332809741098</v>
      </c>
      <c r="K20">
        <v>568.76341203163804</v>
      </c>
      <c r="L20">
        <v>568.69233559817201</v>
      </c>
      <c r="N20" s="16">
        <v>186.75779330997599</v>
      </c>
      <c r="O20" s="16">
        <v>276.175539644845</v>
      </c>
      <c r="P20" s="16">
        <v>329.33638296332498</v>
      </c>
      <c r="Q20" s="16">
        <v>441.76191480261502</v>
      </c>
      <c r="R20" s="16">
        <v>538.17597125867405</v>
      </c>
      <c r="S20" s="2">
        <v>568.85562990443498</v>
      </c>
      <c r="T20" s="16">
        <v>814.15044104763103</v>
      </c>
      <c r="U20" s="16">
        <v>1221.53202928889</v>
      </c>
      <c r="V20" s="16">
        <v>1255.8534993043399</v>
      </c>
    </row>
    <row r="21" spans="1:22" x14ac:dyDescent="0.3">
      <c r="A21" s="43"/>
      <c r="B21" t="s">
        <v>10</v>
      </c>
      <c r="C21">
        <v>814.25047296385799</v>
      </c>
      <c r="D21">
        <v>814.24274798289503</v>
      </c>
      <c r="E21">
        <v>814.234076811862</v>
      </c>
      <c r="F21">
        <v>814.17158016644305</v>
      </c>
      <c r="G21">
        <v>814.25682266498904</v>
      </c>
      <c r="H21">
        <v>814.15044104763103</v>
      </c>
      <c r="I21">
        <v>814.23831200956795</v>
      </c>
      <c r="J21">
        <v>814.16639933546401</v>
      </c>
      <c r="K21">
        <v>814.20937596056001</v>
      </c>
      <c r="L21">
        <v>814.25862856511503</v>
      </c>
      <c r="N21" s="16">
        <v>186.83582987483899</v>
      </c>
      <c r="O21" s="16">
        <v>276.24623980896598</v>
      </c>
      <c r="P21" s="16">
        <v>329.37121881289698</v>
      </c>
      <c r="Q21" s="16">
        <v>441.69087542797303</v>
      </c>
      <c r="R21" s="16">
        <v>538.30101623071096</v>
      </c>
      <c r="S21" s="2">
        <v>568.72641989668602</v>
      </c>
      <c r="T21" s="16">
        <v>814.23831200956795</v>
      </c>
      <c r="U21" s="16">
        <v>1221.5191237968199</v>
      </c>
      <c r="V21" s="16">
        <v>1255.8570206634599</v>
      </c>
    </row>
    <row r="22" spans="1:22" x14ac:dyDescent="0.3">
      <c r="A22" s="43"/>
      <c r="B22" t="s">
        <v>7</v>
      </c>
      <c r="C22">
        <v>1221.5430820736201</v>
      </c>
      <c r="D22">
        <v>1221.4887145385201</v>
      </c>
      <c r="E22">
        <v>1221.53400931894</v>
      </c>
      <c r="F22">
        <v>1221.5242363242601</v>
      </c>
      <c r="G22">
        <v>1221.52423089794</v>
      </c>
      <c r="H22">
        <v>1221.53202928889</v>
      </c>
      <c r="I22">
        <v>1221.5191237968199</v>
      </c>
      <c r="J22">
        <v>1221.5221018212201</v>
      </c>
      <c r="K22">
        <v>1221.4692303715301</v>
      </c>
      <c r="L22">
        <v>1221.52769159114</v>
      </c>
      <c r="N22" s="16">
        <v>186.80121423412001</v>
      </c>
      <c r="O22" s="16">
        <v>276.13188099982102</v>
      </c>
      <c r="P22" s="16">
        <v>329.37550429651498</v>
      </c>
      <c r="Q22" s="16">
        <v>441.759395052944</v>
      </c>
      <c r="R22" s="16">
        <v>538.32943844283295</v>
      </c>
      <c r="S22" s="2">
        <v>568.63332809741098</v>
      </c>
      <c r="T22" s="16">
        <v>814.16639933546401</v>
      </c>
      <c r="U22" s="16">
        <v>1221.5221018212201</v>
      </c>
      <c r="V22" s="16">
        <v>1255.86036305365</v>
      </c>
    </row>
    <row r="23" spans="1:22" x14ac:dyDescent="0.3">
      <c r="A23" s="43"/>
      <c r="B23" t="s">
        <v>11</v>
      </c>
      <c r="C23">
        <v>1255.87496538342</v>
      </c>
      <c r="D23">
        <v>1255.8395503960501</v>
      </c>
      <c r="E23">
        <v>1255.81849165996</v>
      </c>
      <c r="F23">
        <v>1255.8510494453801</v>
      </c>
      <c r="G23">
        <v>1255.8771494630901</v>
      </c>
      <c r="H23">
        <v>1255.8534993043399</v>
      </c>
      <c r="I23">
        <v>1255.8570206634599</v>
      </c>
      <c r="J23">
        <v>1255.86036305365</v>
      </c>
      <c r="K23">
        <v>1255.83414537303</v>
      </c>
      <c r="L23">
        <v>1255.8803461954601</v>
      </c>
      <c r="N23" s="16">
        <v>186.754235686068</v>
      </c>
      <c r="O23" s="16">
        <v>276.19705093409698</v>
      </c>
      <c r="P23" s="16">
        <v>329.35575445875099</v>
      </c>
      <c r="Q23" s="16">
        <v>441.66808496159899</v>
      </c>
      <c r="R23" s="16">
        <v>538.25063763075605</v>
      </c>
      <c r="S23" s="2">
        <v>568.76341203163804</v>
      </c>
      <c r="T23" s="16">
        <v>814.20937596056001</v>
      </c>
      <c r="U23" s="16">
        <v>1221.4692303715301</v>
      </c>
      <c r="V23" s="16">
        <v>1255.83414537303</v>
      </c>
    </row>
    <row r="24" spans="1:22" x14ac:dyDescent="0.3">
      <c r="N24" s="16">
        <v>186.831288796482</v>
      </c>
      <c r="O24" s="16">
        <v>276.24814003049499</v>
      </c>
      <c r="P24" s="16">
        <v>329.34036864370302</v>
      </c>
      <c r="Q24" s="16">
        <v>441.616560853583</v>
      </c>
      <c r="R24" s="16">
        <v>538.30667358296</v>
      </c>
      <c r="S24" s="2">
        <v>568.69233559817201</v>
      </c>
      <c r="T24" s="16">
        <v>814.25862856511503</v>
      </c>
      <c r="U24" s="16">
        <v>1221.52769159114</v>
      </c>
      <c r="V24" s="16">
        <v>1255.8803461954601</v>
      </c>
    </row>
    <row r="25" spans="1:22" x14ac:dyDescent="0.3"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43" t="s">
        <v>15</v>
      </c>
      <c r="B27" t="s">
        <v>2</v>
      </c>
      <c r="C27">
        <v>186.335969339641</v>
      </c>
      <c r="D27">
        <v>186.359764207224</v>
      </c>
      <c r="E27">
        <v>186.31663779593501</v>
      </c>
      <c r="F27">
        <v>186.30698999141401</v>
      </c>
      <c r="G27">
        <v>186.367590279262</v>
      </c>
      <c r="H27">
        <v>186.289762391045</v>
      </c>
      <c r="I27">
        <v>186.37365597707199</v>
      </c>
      <c r="J27">
        <v>186.33798224128699</v>
      </c>
      <c r="K27">
        <v>186.287687684589</v>
      </c>
      <c r="L27">
        <v>186.379062077773</v>
      </c>
      <c r="N27" s="16">
        <v>186.335969339641</v>
      </c>
      <c r="O27" s="16">
        <v>275.74103371775101</v>
      </c>
      <c r="P27" s="16">
        <v>329.00785948714798</v>
      </c>
      <c r="Q27" s="16">
        <v>441.34193722837102</v>
      </c>
      <c r="R27" s="16">
        <v>537.774069523045</v>
      </c>
      <c r="S27" s="2">
        <v>568.30602229761098</v>
      </c>
      <c r="T27" s="16">
        <v>813.82716031143605</v>
      </c>
      <c r="U27" s="16">
        <v>1221.1286408138001</v>
      </c>
      <c r="V27" s="16">
        <v>1255.46285509007</v>
      </c>
    </row>
    <row r="28" spans="1:22" x14ac:dyDescent="0.3">
      <c r="A28" s="43"/>
      <c r="B28" t="s">
        <v>3</v>
      </c>
      <c r="C28">
        <v>275.74103371775101</v>
      </c>
      <c r="D28">
        <v>275.68838497224402</v>
      </c>
      <c r="E28">
        <v>275.82286725930197</v>
      </c>
      <c r="F28">
        <v>275.77486598341198</v>
      </c>
      <c r="G28">
        <v>275.97307799531802</v>
      </c>
      <c r="H28">
        <v>275.72221752182401</v>
      </c>
      <c r="I28">
        <v>275.79506881543102</v>
      </c>
      <c r="J28">
        <v>275.68138576714898</v>
      </c>
      <c r="K28">
        <v>275.741414459753</v>
      </c>
      <c r="L28">
        <v>275.79345046262398</v>
      </c>
      <c r="N28" s="16">
        <v>186.359764207224</v>
      </c>
      <c r="O28" s="16">
        <v>275.68838497224402</v>
      </c>
      <c r="P28" s="16">
        <v>328.95311553983601</v>
      </c>
      <c r="Q28" s="16">
        <v>441.25346597343002</v>
      </c>
      <c r="R28" s="16">
        <v>537.70927511933405</v>
      </c>
      <c r="S28" s="2">
        <v>568.42937563585997</v>
      </c>
      <c r="T28" s="16">
        <v>813.80897331867095</v>
      </c>
      <c r="U28" s="16">
        <v>1221.07348495666</v>
      </c>
      <c r="V28" s="16">
        <v>1255.43403563683</v>
      </c>
    </row>
    <row r="29" spans="1:22" x14ac:dyDescent="0.3">
      <c r="A29" s="43"/>
      <c r="B29" t="s">
        <v>4</v>
      </c>
      <c r="C29">
        <v>329.00785948714798</v>
      </c>
      <c r="D29">
        <v>328.95311553983601</v>
      </c>
      <c r="E29">
        <v>328.90991271383001</v>
      </c>
      <c r="F29">
        <v>328.87867140938999</v>
      </c>
      <c r="G29">
        <v>328.92736351028498</v>
      </c>
      <c r="H29">
        <v>328.874332068456</v>
      </c>
      <c r="I29">
        <v>328.92338988240101</v>
      </c>
      <c r="J29">
        <v>328.92008159539898</v>
      </c>
      <c r="K29">
        <v>328.90032533586202</v>
      </c>
      <c r="L29">
        <v>328.88109564167797</v>
      </c>
      <c r="N29" s="16">
        <v>186.31663779593501</v>
      </c>
      <c r="O29" s="16">
        <v>275.82286725930197</v>
      </c>
      <c r="P29" s="16">
        <v>328.90991271383001</v>
      </c>
      <c r="Q29" s="16">
        <v>441.27656305854703</v>
      </c>
      <c r="R29" s="16">
        <v>537.76738700752003</v>
      </c>
      <c r="S29" s="2">
        <v>568.31050889222001</v>
      </c>
      <c r="T29" s="16">
        <v>813.81192622027299</v>
      </c>
      <c r="U29" s="16">
        <v>1221.13072013234</v>
      </c>
      <c r="V29" s="16">
        <v>1255.4147423977499</v>
      </c>
    </row>
    <row r="30" spans="1:22" x14ac:dyDescent="0.3">
      <c r="A30" s="43"/>
      <c r="B30" t="s">
        <v>5</v>
      </c>
      <c r="C30">
        <v>441.34193722837102</v>
      </c>
      <c r="D30">
        <v>441.25346597343002</v>
      </c>
      <c r="E30">
        <v>441.27656305854703</v>
      </c>
      <c r="F30">
        <v>441.26928258227099</v>
      </c>
      <c r="G30">
        <v>441.21013479922499</v>
      </c>
      <c r="H30">
        <v>441.31912444153602</v>
      </c>
      <c r="I30">
        <v>441.24345519905597</v>
      </c>
      <c r="J30">
        <v>441.31451240600597</v>
      </c>
      <c r="K30">
        <v>441.22108034491401</v>
      </c>
      <c r="L30">
        <v>441.15595285179501</v>
      </c>
      <c r="N30" s="16">
        <v>186.30698999141401</v>
      </c>
      <c r="O30" s="16">
        <v>275.77486598341198</v>
      </c>
      <c r="P30" s="16">
        <v>328.87867140938999</v>
      </c>
      <c r="Q30" s="16">
        <v>441.26928258227099</v>
      </c>
      <c r="R30" s="16">
        <v>537.66123595058002</v>
      </c>
      <c r="S30" s="2">
        <v>568.23520130214501</v>
      </c>
      <c r="T30" s="16">
        <v>813.74767719290696</v>
      </c>
      <c r="U30" s="16">
        <v>1221.10846318473</v>
      </c>
      <c r="V30" s="16">
        <v>1255.45580926142</v>
      </c>
    </row>
    <row r="31" spans="1:22" x14ac:dyDescent="0.3">
      <c r="A31" s="43"/>
      <c r="B31" t="s">
        <v>6</v>
      </c>
      <c r="C31">
        <v>537.774069523045</v>
      </c>
      <c r="D31">
        <v>537.70927511933405</v>
      </c>
      <c r="E31">
        <v>537.76738700752003</v>
      </c>
      <c r="F31">
        <v>537.66123595058002</v>
      </c>
      <c r="G31">
        <v>537.68185477438101</v>
      </c>
      <c r="H31">
        <v>537.72044438658702</v>
      </c>
      <c r="I31">
        <v>537.85073816869601</v>
      </c>
      <c r="J31">
        <v>537.88361209428194</v>
      </c>
      <c r="K31">
        <v>537.799565120583</v>
      </c>
      <c r="L31">
        <v>537.85856772927502</v>
      </c>
      <c r="N31" s="16">
        <v>186.367590279262</v>
      </c>
      <c r="O31" s="16">
        <v>275.97307799531802</v>
      </c>
      <c r="P31" s="16">
        <v>328.92736351028498</v>
      </c>
      <c r="Q31" s="16">
        <v>441.21013479922499</v>
      </c>
      <c r="R31" s="16">
        <v>537.68185477438101</v>
      </c>
      <c r="S31" s="2">
        <v>568.35168719979697</v>
      </c>
      <c r="T31" s="16">
        <v>813.82441452472096</v>
      </c>
      <c r="U31" s="16">
        <v>1221.11005953529</v>
      </c>
      <c r="V31" s="16">
        <v>1255.4757756827601</v>
      </c>
    </row>
    <row r="32" spans="1:22" x14ac:dyDescent="0.3">
      <c r="A32" s="43"/>
      <c r="B32" t="s">
        <v>9</v>
      </c>
      <c r="C32">
        <v>568.30602229761098</v>
      </c>
      <c r="D32">
        <v>568.42937563585997</v>
      </c>
      <c r="E32">
        <v>568.31050889222001</v>
      </c>
      <c r="F32">
        <v>568.23520130214501</v>
      </c>
      <c r="G32">
        <v>568.35168719979697</v>
      </c>
      <c r="H32">
        <v>568.41977494893297</v>
      </c>
      <c r="I32">
        <v>568.29534992989795</v>
      </c>
      <c r="J32">
        <v>568.20229866095895</v>
      </c>
      <c r="K32">
        <v>568.33066625199399</v>
      </c>
      <c r="L32">
        <v>568.255934148042</v>
      </c>
      <c r="N32" s="16">
        <v>186.289762391045</v>
      </c>
      <c r="O32" s="16">
        <v>275.72221752182401</v>
      </c>
      <c r="P32" s="16">
        <v>328.874332068456</v>
      </c>
      <c r="Q32" s="16">
        <v>441.31912444153602</v>
      </c>
      <c r="R32" s="16">
        <v>537.72044438658702</v>
      </c>
      <c r="S32" s="2">
        <v>568.41977494893297</v>
      </c>
      <c r="T32" s="16">
        <v>813.72633933131203</v>
      </c>
      <c r="U32" s="16">
        <v>1221.1307846393299</v>
      </c>
      <c r="V32" s="16">
        <v>1255.4493133578401</v>
      </c>
    </row>
    <row r="33" spans="1:22" x14ac:dyDescent="0.3">
      <c r="A33" s="43"/>
      <c r="B33" t="s">
        <v>10</v>
      </c>
      <c r="C33">
        <v>813.82716031143605</v>
      </c>
      <c r="D33">
        <v>813.80897331867095</v>
      </c>
      <c r="E33">
        <v>813.81192622027299</v>
      </c>
      <c r="F33">
        <v>813.74767719290696</v>
      </c>
      <c r="G33">
        <v>813.82441452472096</v>
      </c>
      <c r="H33">
        <v>813.72633933131203</v>
      </c>
      <c r="I33">
        <v>813.81129651534604</v>
      </c>
      <c r="J33">
        <v>813.735598040215</v>
      </c>
      <c r="K33">
        <v>813.78696783343605</v>
      </c>
      <c r="L33">
        <v>813.82453949346905</v>
      </c>
      <c r="N33" s="16">
        <v>186.37365597707199</v>
      </c>
      <c r="O33" s="16">
        <v>275.79506881543102</v>
      </c>
      <c r="P33" s="16">
        <v>328.92338988240101</v>
      </c>
      <c r="Q33" s="16">
        <v>441.24345519905597</v>
      </c>
      <c r="R33" s="16">
        <v>537.85073816869601</v>
      </c>
      <c r="S33" s="2">
        <v>568.29534992989795</v>
      </c>
      <c r="T33" s="16">
        <v>813.81129651534604</v>
      </c>
      <c r="U33" s="16">
        <v>1221.0990137122001</v>
      </c>
      <c r="V33" s="16">
        <v>1255.4694913400899</v>
      </c>
    </row>
    <row r="34" spans="1:22" x14ac:dyDescent="0.3">
      <c r="A34" s="43"/>
      <c r="B34" t="s">
        <v>7</v>
      </c>
      <c r="C34">
        <v>1221.1286408138001</v>
      </c>
      <c r="D34">
        <v>1221.07348495666</v>
      </c>
      <c r="E34">
        <v>1221.13072013234</v>
      </c>
      <c r="F34">
        <v>1221.10846318473</v>
      </c>
      <c r="G34">
        <v>1221.11005953529</v>
      </c>
      <c r="H34">
        <v>1221.1307846393299</v>
      </c>
      <c r="I34">
        <v>1221.0990137122001</v>
      </c>
      <c r="J34">
        <v>1221.1012836151699</v>
      </c>
      <c r="K34">
        <v>1221.05074377339</v>
      </c>
      <c r="L34">
        <v>1221.1077124757401</v>
      </c>
      <c r="N34" s="16">
        <v>186.33798224128699</v>
      </c>
      <c r="O34" s="16">
        <v>275.68138576714898</v>
      </c>
      <c r="P34" s="16">
        <v>328.92008159539898</v>
      </c>
      <c r="Q34" s="16">
        <v>441.31451240600597</v>
      </c>
      <c r="R34" s="16">
        <v>537.88361209428194</v>
      </c>
      <c r="S34" s="2">
        <v>568.20229866095895</v>
      </c>
      <c r="T34" s="16">
        <v>813.735598040215</v>
      </c>
      <c r="U34" s="16">
        <v>1221.1012836151699</v>
      </c>
      <c r="V34" s="16">
        <v>1255.4528608089499</v>
      </c>
    </row>
    <row r="35" spans="1:22" x14ac:dyDescent="0.3">
      <c r="A35" s="43"/>
      <c r="B35" t="s">
        <v>11</v>
      </c>
      <c r="C35">
        <v>1255.46285509007</v>
      </c>
      <c r="D35">
        <v>1255.43403563683</v>
      </c>
      <c r="E35">
        <v>1255.4147423977499</v>
      </c>
      <c r="F35">
        <v>1255.45580926142</v>
      </c>
      <c r="G35">
        <v>1255.4757756827601</v>
      </c>
      <c r="H35">
        <v>1255.4493133578401</v>
      </c>
      <c r="I35">
        <v>1255.4694913400899</v>
      </c>
      <c r="J35">
        <v>1255.4528608089499</v>
      </c>
      <c r="K35">
        <v>1255.4286171670101</v>
      </c>
      <c r="L35">
        <v>1255.48587639328</v>
      </c>
      <c r="N35" s="16">
        <v>186.287687684589</v>
      </c>
      <c r="O35" s="16">
        <v>275.741414459753</v>
      </c>
      <c r="P35" s="16">
        <v>328.90032533586202</v>
      </c>
      <c r="Q35" s="16">
        <v>441.22108034491401</v>
      </c>
      <c r="R35" s="16">
        <v>537.799565120583</v>
      </c>
      <c r="S35" s="2">
        <v>568.33066625199399</v>
      </c>
      <c r="T35" s="16">
        <v>813.78696783343605</v>
      </c>
      <c r="U35" s="16">
        <v>1221.05074377339</v>
      </c>
      <c r="V35" s="16">
        <v>1255.4286171670101</v>
      </c>
    </row>
    <row r="36" spans="1:22" x14ac:dyDescent="0.3">
      <c r="N36" s="16">
        <v>186.379062077773</v>
      </c>
      <c r="O36" s="16">
        <v>275.79345046262398</v>
      </c>
      <c r="P36" s="16">
        <v>328.88109564167797</v>
      </c>
      <c r="Q36" s="16">
        <v>441.15595285179501</v>
      </c>
      <c r="R36" s="16">
        <v>537.85856772927502</v>
      </c>
      <c r="S36" s="2">
        <v>568.255934148042</v>
      </c>
      <c r="T36" s="16">
        <v>813.82453949346905</v>
      </c>
      <c r="U36" s="16">
        <v>1221.1077124757401</v>
      </c>
      <c r="V36" s="16">
        <v>1255.48587639328</v>
      </c>
    </row>
    <row r="37" spans="1:22" x14ac:dyDescent="0.3"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43" t="s">
        <v>16</v>
      </c>
      <c r="B39" t="s">
        <v>2</v>
      </c>
      <c r="C39">
        <v>187.46994000000001</v>
      </c>
      <c r="D39">
        <v>187.52163999999999</v>
      </c>
      <c r="E39">
        <v>187.48766000000001</v>
      </c>
      <c r="F39">
        <v>187.42920000000001</v>
      </c>
      <c r="G39">
        <v>187.46592999999999</v>
      </c>
      <c r="H39">
        <v>187.46834000000001</v>
      </c>
      <c r="I39">
        <v>187.54570000000001</v>
      </c>
      <c r="J39">
        <v>187.4855</v>
      </c>
      <c r="K39">
        <v>187.46153000000001</v>
      </c>
      <c r="L39">
        <v>187.53130999999999</v>
      </c>
      <c r="N39" s="16">
        <v>187.46994000000001</v>
      </c>
      <c r="O39" s="16">
        <v>276.73334</v>
      </c>
      <c r="P39" s="16">
        <v>329.98770000000002</v>
      </c>
      <c r="Q39" s="16">
        <v>442.30353000000002</v>
      </c>
      <c r="R39" s="16">
        <v>538.71172999999999</v>
      </c>
      <c r="S39" s="2">
        <v>569.13715000000002</v>
      </c>
      <c r="T39" s="16">
        <v>814.59289999999999</v>
      </c>
      <c r="U39" s="16">
        <v>1221.8501000000001</v>
      </c>
      <c r="V39" s="16">
        <v>1255.8771999999999</v>
      </c>
    </row>
    <row r="40" spans="1:22" x14ac:dyDescent="0.3">
      <c r="A40" s="43"/>
      <c r="B40" t="s">
        <v>3</v>
      </c>
      <c r="C40">
        <v>276.73334</v>
      </c>
      <c r="D40">
        <v>276.70105000000001</v>
      </c>
      <c r="E40">
        <v>276.80457000000001</v>
      </c>
      <c r="F40">
        <v>276.86194</v>
      </c>
      <c r="G40">
        <v>277.00272000000001</v>
      </c>
      <c r="H40">
        <v>276.76483000000002</v>
      </c>
      <c r="I40">
        <v>276.76202000000001</v>
      </c>
      <c r="J40">
        <v>276.62659000000002</v>
      </c>
      <c r="K40">
        <v>276.84728999999999</v>
      </c>
      <c r="L40">
        <v>276.94992000000002</v>
      </c>
      <c r="N40" s="16">
        <v>187.52163999999999</v>
      </c>
      <c r="O40" s="16">
        <v>276.70105000000001</v>
      </c>
      <c r="P40" s="16">
        <v>329.87871999999999</v>
      </c>
      <c r="Q40" s="16">
        <v>442.19684000000001</v>
      </c>
      <c r="R40" s="16">
        <v>538.64642000000003</v>
      </c>
      <c r="S40" s="2">
        <v>569.31713999999999</v>
      </c>
      <c r="T40" s="16">
        <v>814.61333999999999</v>
      </c>
      <c r="U40" s="16">
        <v>1221.7805000000001</v>
      </c>
      <c r="V40" s="16">
        <v>1256.08</v>
      </c>
    </row>
    <row r="41" spans="1:22" x14ac:dyDescent="0.3">
      <c r="A41" s="43"/>
      <c r="B41" t="s">
        <v>4</v>
      </c>
      <c r="C41">
        <v>329.98770000000002</v>
      </c>
      <c r="D41">
        <v>329.87871999999999</v>
      </c>
      <c r="E41">
        <v>329.85025000000002</v>
      </c>
      <c r="F41">
        <v>329.77496000000002</v>
      </c>
      <c r="G41">
        <v>329.87598000000003</v>
      </c>
      <c r="H41">
        <v>329.78284000000002</v>
      </c>
      <c r="I41">
        <v>329.86182000000002</v>
      </c>
      <c r="J41">
        <v>329.81540000000001</v>
      </c>
      <c r="K41">
        <v>329.85385000000002</v>
      </c>
      <c r="L41">
        <v>329.79001</v>
      </c>
      <c r="N41" s="16">
        <v>187.48766000000001</v>
      </c>
      <c r="O41" s="16">
        <v>276.80457000000001</v>
      </c>
      <c r="P41" s="16">
        <v>329.85025000000002</v>
      </c>
      <c r="Q41" s="16">
        <v>442.18056999999999</v>
      </c>
      <c r="R41" s="16">
        <v>538.6626</v>
      </c>
      <c r="S41" s="2">
        <v>569.09240999999997</v>
      </c>
      <c r="T41" s="16">
        <v>814.53070000000002</v>
      </c>
      <c r="U41" s="16">
        <v>1221.8412000000001</v>
      </c>
      <c r="V41" s="16">
        <v>1256.0227</v>
      </c>
    </row>
    <row r="42" spans="1:22" x14ac:dyDescent="0.3">
      <c r="A42" s="43"/>
      <c r="B42" t="s">
        <v>5</v>
      </c>
      <c r="C42">
        <v>442.30353000000002</v>
      </c>
      <c r="D42">
        <v>442.19684000000001</v>
      </c>
      <c r="E42">
        <v>442.18056999999999</v>
      </c>
      <c r="F42">
        <v>442.19835999999998</v>
      </c>
      <c r="G42">
        <v>442.16005999999999</v>
      </c>
      <c r="H42">
        <v>442.28329000000002</v>
      </c>
      <c r="I42">
        <v>442.14496000000003</v>
      </c>
      <c r="J42">
        <v>442.22332999999998</v>
      </c>
      <c r="K42">
        <v>442.10604999999998</v>
      </c>
      <c r="L42">
        <v>442.03061000000002</v>
      </c>
      <c r="N42" s="16">
        <v>187.42920000000001</v>
      </c>
      <c r="O42" s="16">
        <v>276.86194</v>
      </c>
      <c r="P42" s="16">
        <v>329.77496000000002</v>
      </c>
      <c r="Q42" s="16">
        <v>442.19835999999998</v>
      </c>
      <c r="R42" s="16">
        <v>538.52202999999997</v>
      </c>
      <c r="S42" s="2">
        <v>569.01318000000003</v>
      </c>
      <c r="T42" s="16">
        <v>814.47247000000004</v>
      </c>
      <c r="U42" s="16">
        <v>1221.826</v>
      </c>
      <c r="V42" s="16">
        <v>1255.8264999999999</v>
      </c>
    </row>
    <row r="43" spans="1:22" x14ac:dyDescent="0.3">
      <c r="A43" s="43"/>
      <c r="B43" t="s">
        <v>6</v>
      </c>
      <c r="C43">
        <v>538.71172999999999</v>
      </c>
      <c r="D43">
        <v>538.64642000000003</v>
      </c>
      <c r="E43">
        <v>538.6626</v>
      </c>
      <c r="F43">
        <v>538.52202999999997</v>
      </c>
      <c r="G43">
        <v>538.55944999999997</v>
      </c>
      <c r="H43">
        <v>538.65941999999995</v>
      </c>
      <c r="I43">
        <v>538.76544000000001</v>
      </c>
      <c r="J43">
        <v>538.72844999999995</v>
      </c>
      <c r="K43">
        <v>538.68706999999995</v>
      </c>
      <c r="L43">
        <v>538.76984000000004</v>
      </c>
      <c r="N43" s="16">
        <v>187.46592999999999</v>
      </c>
      <c r="O43" s="16">
        <v>277.00272000000001</v>
      </c>
      <c r="P43" s="16">
        <v>329.87598000000003</v>
      </c>
      <c r="Q43" s="16">
        <v>442.16005999999999</v>
      </c>
      <c r="R43" s="16">
        <v>538.55944999999997</v>
      </c>
      <c r="S43" s="2">
        <v>569.22173999999995</v>
      </c>
      <c r="T43" s="16">
        <v>814.61370999999997</v>
      </c>
      <c r="U43" s="16">
        <v>1221.8521000000001</v>
      </c>
      <c r="V43" s="16">
        <v>1256.0623000000001</v>
      </c>
    </row>
    <row r="44" spans="1:22" x14ac:dyDescent="0.3">
      <c r="A44" s="43"/>
      <c r="B44" t="s">
        <v>9</v>
      </c>
      <c r="C44">
        <v>569.13715000000002</v>
      </c>
      <c r="D44">
        <v>569.31713999999999</v>
      </c>
      <c r="E44">
        <v>569.09240999999997</v>
      </c>
      <c r="F44">
        <v>569.01318000000003</v>
      </c>
      <c r="G44">
        <v>569.22173999999995</v>
      </c>
      <c r="H44">
        <v>569.29926</v>
      </c>
      <c r="I44">
        <v>569.09258999999997</v>
      </c>
      <c r="J44">
        <v>568.99920999999995</v>
      </c>
      <c r="K44">
        <v>569.2038</v>
      </c>
      <c r="L44">
        <v>569.09247000000005</v>
      </c>
      <c r="N44" s="16">
        <v>187.46834000000001</v>
      </c>
      <c r="O44" s="16">
        <v>276.76483000000002</v>
      </c>
      <c r="P44" s="16">
        <v>329.78284000000002</v>
      </c>
      <c r="Q44" s="16">
        <v>442.28329000000002</v>
      </c>
      <c r="R44" s="16">
        <v>538.65941999999995</v>
      </c>
      <c r="S44" s="2">
        <v>569.29926</v>
      </c>
      <c r="T44" s="16">
        <v>814.45447000000001</v>
      </c>
      <c r="U44" s="16">
        <v>1221.8499999999999</v>
      </c>
      <c r="V44" s="16">
        <v>1255.9712</v>
      </c>
    </row>
    <row r="45" spans="1:22" x14ac:dyDescent="0.3">
      <c r="A45" s="43"/>
      <c r="B45" t="s">
        <v>10</v>
      </c>
      <c r="C45">
        <v>814.59289999999999</v>
      </c>
      <c r="D45">
        <v>814.61333999999999</v>
      </c>
      <c r="E45">
        <v>814.53070000000002</v>
      </c>
      <c r="F45">
        <v>814.47247000000004</v>
      </c>
      <c r="G45">
        <v>814.61370999999997</v>
      </c>
      <c r="H45">
        <v>814.45447000000001</v>
      </c>
      <c r="I45">
        <v>814.57104000000004</v>
      </c>
      <c r="J45">
        <v>814.43615999999997</v>
      </c>
      <c r="K45">
        <v>814.51378999999997</v>
      </c>
      <c r="L45">
        <v>814.62707999999998</v>
      </c>
      <c r="N45" s="16">
        <v>187.54570000000001</v>
      </c>
      <c r="O45" s="16">
        <v>276.76202000000001</v>
      </c>
      <c r="P45" s="16">
        <v>329.86182000000002</v>
      </c>
      <c r="Q45" s="16">
        <v>442.14496000000003</v>
      </c>
      <c r="R45" s="16">
        <v>538.76544000000001</v>
      </c>
      <c r="S45" s="2">
        <v>569.09258999999997</v>
      </c>
      <c r="T45" s="16">
        <v>814.57104000000004</v>
      </c>
      <c r="U45" s="16">
        <v>1221.8193000000001</v>
      </c>
      <c r="V45" s="16">
        <v>1255.9672</v>
      </c>
    </row>
    <row r="46" spans="1:22" x14ac:dyDescent="0.3">
      <c r="A46" s="43"/>
      <c r="B46" t="s">
        <v>7</v>
      </c>
      <c r="C46">
        <v>1221.8501000000001</v>
      </c>
      <c r="D46">
        <v>1221.7805000000001</v>
      </c>
      <c r="E46">
        <v>1221.8412000000001</v>
      </c>
      <c r="F46">
        <v>1221.826</v>
      </c>
      <c r="G46">
        <v>1221.8521000000001</v>
      </c>
      <c r="H46">
        <v>1221.8499999999999</v>
      </c>
      <c r="I46">
        <v>1221.8193000000001</v>
      </c>
      <c r="J46">
        <v>1221.8348000000001</v>
      </c>
      <c r="K46">
        <v>1221.7954999999999</v>
      </c>
      <c r="L46">
        <v>1221.8396</v>
      </c>
      <c r="N46" s="16">
        <v>187.4855</v>
      </c>
      <c r="O46" s="16">
        <v>276.62659000000002</v>
      </c>
      <c r="P46" s="16">
        <v>329.81540000000001</v>
      </c>
      <c r="Q46" s="16">
        <v>442.22332999999998</v>
      </c>
      <c r="R46" s="16">
        <v>538.72844999999995</v>
      </c>
      <c r="S46" s="2">
        <v>568.99920999999995</v>
      </c>
      <c r="T46" s="16">
        <v>814.43615999999997</v>
      </c>
      <c r="U46" s="16">
        <v>1221.8348000000001</v>
      </c>
      <c r="V46" s="16">
        <v>1255.9929</v>
      </c>
    </row>
    <row r="47" spans="1:22" x14ac:dyDescent="0.3">
      <c r="A47" s="43"/>
      <c r="B47" t="s">
        <v>11</v>
      </c>
      <c r="C47">
        <v>1255.8771999999999</v>
      </c>
      <c r="D47">
        <v>1256.08</v>
      </c>
      <c r="E47">
        <v>1256.0227</v>
      </c>
      <c r="F47">
        <v>1255.8264999999999</v>
      </c>
      <c r="G47">
        <v>1256.0623000000001</v>
      </c>
      <c r="H47">
        <v>1255.9712</v>
      </c>
      <c r="I47">
        <v>1255.9672</v>
      </c>
      <c r="J47">
        <v>1255.9929</v>
      </c>
      <c r="K47">
        <v>1256.0172</v>
      </c>
      <c r="L47">
        <v>1256.0814</v>
      </c>
      <c r="N47" s="16">
        <v>187.46153000000001</v>
      </c>
      <c r="O47" s="16">
        <v>276.84728999999999</v>
      </c>
      <c r="P47" s="16">
        <v>329.85385000000002</v>
      </c>
      <c r="Q47" s="16">
        <v>442.10604999999998</v>
      </c>
      <c r="R47" s="16">
        <v>538.68706999999995</v>
      </c>
      <c r="S47" s="2">
        <v>569.2038</v>
      </c>
      <c r="T47" s="16">
        <v>814.51378999999997</v>
      </c>
      <c r="U47" s="16">
        <v>1221.7954999999999</v>
      </c>
      <c r="V47" s="16">
        <v>1256.0172</v>
      </c>
    </row>
    <row r="48" spans="1:22" x14ac:dyDescent="0.3">
      <c r="N48" s="16">
        <v>187.53130999999999</v>
      </c>
      <c r="O48" s="16">
        <v>276.94992000000002</v>
      </c>
      <c r="P48" s="16">
        <v>329.79001</v>
      </c>
      <c r="Q48" s="16">
        <v>442.03061000000002</v>
      </c>
      <c r="R48" s="16">
        <v>538.76984000000004</v>
      </c>
      <c r="S48" s="2">
        <v>569.09247000000005</v>
      </c>
      <c r="T48" s="16">
        <v>814.62707999999998</v>
      </c>
      <c r="U48" s="16">
        <v>1221.8396</v>
      </c>
      <c r="V48" s="16">
        <v>1256.0814</v>
      </c>
    </row>
  </sheetData>
  <mergeCells count="6">
    <mergeCell ref="A39:A47"/>
    <mergeCell ref="N2:V2"/>
    <mergeCell ref="C1:L1"/>
    <mergeCell ref="A3:A11"/>
    <mergeCell ref="A15:A23"/>
    <mergeCell ref="A27:A3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00A6-AE90-4327-8CD9-39386DD97D3A}">
  <sheetPr codeName="Sayfa3"/>
  <dimension ref="A1:V48"/>
  <sheetViews>
    <sheetView workbookViewId="0">
      <selection activeCell="P3" sqref="P3:P12"/>
    </sheetView>
  </sheetViews>
  <sheetFormatPr defaultRowHeight="14.4" x14ac:dyDescent="0.3"/>
  <sheetData>
    <row r="1" spans="1:22" x14ac:dyDescent="0.3">
      <c r="B1" t="s">
        <v>8</v>
      </c>
      <c r="C1" s="42" t="s">
        <v>12</v>
      </c>
      <c r="D1" s="42"/>
      <c r="E1" s="42"/>
      <c r="F1" s="42"/>
      <c r="G1" s="42"/>
      <c r="H1" s="42"/>
      <c r="I1" s="42"/>
      <c r="J1" s="42"/>
      <c r="K1" s="42"/>
      <c r="L1" s="42"/>
    </row>
    <row r="2" spans="1:2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N2" s="44" t="s">
        <v>17</v>
      </c>
      <c r="O2" s="44"/>
      <c r="P2" s="44"/>
      <c r="Q2" s="44"/>
      <c r="R2" s="44"/>
      <c r="S2" s="44"/>
      <c r="T2" s="44"/>
      <c r="U2" s="44"/>
      <c r="V2" s="44"/>
    </row>
    <row r="3" spans="1:22" x14ac:dyDescent="0.3">
      <c r="A3" s="43" t="s">
        <v>13</v>
      </c>
      <c r="B3" t="s">
        <v>2</v>
      </c>
      <c r="C3">
        <v>187.23955475348299</v>
      </c>
      <c r="D3">
        <v>187.05245972540001</v>
      </c>
      <c r="E3">
        <v>187.19194830616101</v>
      </c>
      <c r="F3">
        <v>187.00140132135701</v>
      </c>
      <c r="G3">
        <v>187.134124195444</v>
      </c>
      <c r="H3">
        <v>187.02863420479</v>
      </c>
      <c r="I3">
        <v>187.096699071373</v>
      </c>
      <c r="J3">
        <v>187.14432974854</v>
      </c>
      <c r="K3">
        <v>187.12391808574799</v>
      </c>
      <c r="L3">
        <v>187.15793628700101</v>
      </c>
      <c r="N3" s="2">
        <v>187.23955475348299</v>
      </c>
      <c r="O3" s="2">
        <v>277.29214937779301</v>
      </c>
      <c r="P3" s="2">
        <v>328.74780461047999</v>
      </c>
      <c r="Q3" s="2">
        <v>441.81196014170803</v>
      </c>
      <c r="R3" s="2">
        <v>538.38823820341099</v>
      </c>
      <c r="S3" s="16">
        <v>568.65944101298703</v>
      </c>
      <c r="T3" s="2">
        <v>815.06553789173404</v>
      </c>
      <c r="U3" s="2">
        <v>1221.79289293895</v>
      </c>
      <c r="V3" s="2">
        <v>1254.9433155638401</v>
      </c>
    </row>
    <row r="4" spans="1:22" x14ac:dyDescent="0.3">
      <c r="A4" s="43"/>
      <c r="B4" t="s">
        <v>3</v>
      </c>
      <c r="C4">
        <v>277.29214937779301</v>
      </c>
      <c r="D4">
        <v>277.20489354240601</v>
      </c>
      <c r="E4">
        <v>277.29674102961599</v>
      </c>
      <c r="F4">
        <v>277.27837396610698</v>
      </c>
      <c r="G4">
        <v>277.21407966053101</v>
      </c>
      <c r="H4">
        <v>277.26689393356099</v>
      </c>
      <c r="I4">
        <v>277.44363376460598</v>
      </c>
      <c r="J4">
        <v>277.31740252199899</v>
      </c>
      <c r="K4">
        <v>277.31740252199899</v>
      </c>
      <c r="L4">
        <v>277.31281121228301</v>
      </c>
      <c r="N4" s="2">
        <v>187.05245972540001</v>
      </c>
      <c r="O4" s="2">
        <v>277.20489354240601</v>
      </c>
      <c r="P4" s="2">
        <v>328.83493551586503</v>
      </c>
      <c r="Q4" s="2">
        <v>441.67937475746203</v>
      </c>
      <c r="R4" s="2">
        <v>538.31728623841195</v>
      </c>
      <c r="S4" s="16">
        <v>568.59114681902497</v>
      </c>
      <c r="T4" s="2">
        <v>814.97805383318905</v>
      </c>
      <c r="U4" s="2">
        <v>1221.8621911228699</v>
      </c>
      <c r="V4" s="2">
        <v>1254.9047609571701</v>
      </c>
    </row>
    <row r="5" spans="1:22" x14ac:dyDescent="0.3">
      <c r="A5" s="43"/>
      <c r="B5" t="s">
        <v>4</v>
      </c>
      <c r="C5">
        <v>328.74780461047999</v>
      </c>
      <c r="D5">
        <v>328.83493551586503</v>
      </c>
      <c r="E5">
        <v>328.81944726455202</v>
      </c>
      <c r="F5">
        <v>328.87171718935201</v>
      </c>
      <c r="G5">
        <v>328.84461530249598</v>
      </c>
      <c r="H5">
        <v>328.84267936796499</v>
      </c>
      <c r="I5">
        <v>328.90268803977398</v>
      </c>
      <c r="J5">
        <v>328.86397402101397</v>
      </c>
      <c r="K5">
        <v>328.73618541155702</v>
      </c>
      <c r="L5">
        <v>328.73618541155702</v>
      </c>
      <c r="N5" s="2">
        <v>187.19194830616101</v>
      </c>
      <c r="O5" s="2">
        <v>277.29674102961599</v>
      </c>
      <c r="P5" s="2">
        <v>328.81944726455202</v>
      </c>
      <c r="Q5" s="2">
        <v>441.77305333909902</v>
      </c>
      <c r="R5" s="2">
        <v>538.33265995773502</v>
      </c>
      <c r="S5" s="16">
        <v>568.61913723475004</v>
      </c>
      <c r="T5" s="2">
        <v>815.04210558252805</v>
      </c>
      <c r="U5" s="2">
        <v>1221.79445609921</v>
      </c>
      <c r="V5" s="2">
        <v>1254.9143997198901</v>
      </c>
    </row>
    <row r="6" spans="1:22" x14ac:dyDescent="0.3">
      <c r="A6" s="43"/>
      <c r="B6" t="s">
        <v>5</v>
      </c>
      <c r="C6">
        <v>441.81196014170803</v>
      </c>
      <c r="D6">
        <v>441.67937475746203</v>
      </c>
      <c r="E6">
        <v>441.77305333909902</v>
      </c>
      <c r="F6">
        <v>441.83789610677798</v>
      </c>
      <c r="G6">
        <v>441.82781007905203</v>
      </c>
      <c r="H6">
        <v>441.76296583092801</v>
      </c>
      <c r="I6">
        <v>441.85086351841198</v>
      </c>
      <c r="J6">
        <v>441.76584799962399</v>
      </c>
      <c r="K6">
        <v>441.78746366550303</v>
      </c>
      <c r="L6">
        <v>441.92865999772198</v>
      </c>
      <c r="N6" s="2">
        <v>187.00140132135701</v>
      </c>
      <c r="O6" s="2">
        <v>277.27837396610698</v>
      </c>
      <c r="P6" s="2">
        <v>328.87171718935201</v>
      </c>
      <c r="Q6" s="2">
        <v>441.83789610677798</v>
      </c>
      <c r="R6" s="2">
        <v>538.42134592066998</v>
      </c>
      <c r="S6" s="16">
        <v>568.57995026691401</v>
      </c>
      <c r="T6" s="2">
        <v>815.09131265381495</v>
      </c>
      <c r="U6" s="2">
        <v>1221.7225486572599</v>
      </c>
      <c r="V6" s="2">
        <v>1254.9280967816601</v>
      </c>
    </row>
    <row r="7" spans="1:22" x14ac:dyDescent="0.3">
      <c r="A7" s="43"/>
      <c r="B7" t="s">
        <v>6</v>
      </c>
      <c r="C7">
        <v>538.38823820341099</v>
      </c>
      <c r="D7">
        <v>538.31728623841195</v>
      </c>
      <c r="E7">
        <v>538.33265995773502</v>
      </c>
      <c r="F7">
        <v>538.42134592066998</v>
      </c>
      <c r="G7">
        <v>538.29718148140796</v>
      </c>
      <c r="H7">
        <v>538.233314330702</v>
      </c>
      <c r="I7">
        <v>538.40124504942003</v>
      </c>
      <c r="J7">
        <v>538.23686270456005</v>
      </c>
      <c r="K7">
        <v>538.42371067971703</v>
      </c>
      <c r="L7">
        <v>538.39178555621299</v>
      </c>
      <c r="N7" s="2">
        <v>187.134124195444</v>
      </c>
      <c r="O7" s="2">
        <v>277.21407966053101</v>
      </c>
      <c r="P7" s="2">
        <v>328.84461530249598</v>
      </c>
      <c r="Q7" s="2">
        <v>441.82781007905203</v>
      </c>
      <c r="R7" s="2">
        <v>538.29718148140796</v>
      </c>
      <c r="S7" s="16">
        <v>568.43661492184003</v>
      </c>
      <c r="T7" s="2">
        <v>815.06944321110802</v>
      </c>
      <c r="U7" s="2">
        <v>1221.85020750747</v>
      </c>
      <c r="V7" s="2">
        <v>1254.9494030250401</v>
      </c>
    </row>
    <row r="8" spans="1:22" x14ac:dyDescent="0.3">
      <c r="A8" s="43"/>
      <c r="B8" t="s">
        <v>9</v>
      </c>
      <c r="C8">
        <v>568.65944101298703</v>
      </c>
      <c r="D8">
        <v>568.59114681902497</v>
      </c>
      <c r="E8">
        <v>568.61913723475004</v>
      </c>
      <c r="F8">
        <v>568.57995026691401</v>
      </c>
      <c r="G8">
        <v>568.43661492184003</v>
      </c>
      <c r="H8">
        <v>568.70757789361801</v>
      </c>
      <c r="I8">
        <v>568.82286594926404</v>
      </c>
      <c r="J8">
        <v>568.67399445313504</v>
      </c>
      <c r="K8">
        <v>568.53740135792896</v>
      </c>
      <c r="L8">
        <v>568.49372942943</v>
      </c>
      <c r="N8" s="2">
        <v>187.02863420479</v>
      </c>
      <c r="O8" s="2">
        <v>277.26689393356099</v>
      </c>
      <c r="P8" s="2">
        <v>328.84267936796499</v>
      </c>
      <c r="Q8" s="2">
        <v>441.76296583092801</v>
      </c>
      <c r="R8" s="2">
        <v>538.233314330702</v>
      </c>
      <c r="S8" s="16">
        <v>568.70757789361801</v>
      </c>
      <c r="T8" s="2">
        <v>815.03976231455499</v>
      </c>
      <c r="U8" s="2">
        <v>1221.67981904217</v>
      </c>
      <c r="V8" s="2">
        <v>1254.9823762600499</v>
      </c>
    </row>
    <row r="9" spans="1:22" x14ac:dyDescent="0.3">
      <c r="A9" s="43"/>
      <c r="B9" t="s">
        <v>10</v>
      </c>
      <c r="C9">
        <v>815.06553789173404</v>
      </c>
      <c r="D9">
        <v>814.97805383318905</v>
      </c>
      <c r="E9">
        <v>815.04210558252805</v>
      </c>
      <c r="F9">
        <v>815.09131265381495</v>
      </c>
      <c r="G9">
        <v>815.06944321110802</v>
      </c>
      <c r="H9">
        <v>815.03976231455499</v>
      </c>
      <c r="I9">
        <v>815.08194010736202</v>
      </c>
      <c r="J9">
        <v>814.88899791421397</v>
      </c>
      <c r="K9">
        <v>815.06631895710598</v>
      </c>
      <c r="L9">
        <v>815.04913534602497</v>
      </c>
      <c r="N9" s="2">
        <v>187.096699071373</v>
      </c>
      <c r="O9" s="2">
        <v>277.44363376460598</v>
      </c>
      <c r="P9" s="2">
        <v>328.90268803977398</v>
      </c>
      <c r="Q9" s="2">
        <v>441.85086351841198</v>
      </c>
      <c r="R9" s="2">
        <v>538.40124504942003</v>
      </c>
      <c r="S9" s="16">
        <v>568.82286594926404</v>
      </c>
      <c r="T9" s="2">
        <v>815.08194010736202</v>
      </c>
      <c r="U9" s="2">
        <v>1221.7715295482999</v>
      </c>
      <c r="V9" s="2">
        <v>1254.92048732135</v>
      </c>
    </row>
    <row r="10" spans="1:22" x14ac:dyDescent="0.3">
      <c r="A10" s="43"/>
      <c r="B10" t="s">
        <v>7</v>
      </c>
      <c r="C10">
        <v>1221.79289293895</v>
      </c>
      <c r="D10">
        <v>1221.8621911228699</v>
      </c>
      <c r="E10">
        <v>1221.79445609921</v>
      </c>
      <c r="F10">
        <v>1221.7225486572599</v>
      </c>
      <c r="G10">
        <v>1221.85020750747</v>
      </c>
      <c r="H10">
        <v>1221.67981904217</v>
      </c>
      <c r="I10">
        <v>1221.7715295482999</v>
      </c>
      <c r="J10">
        <v>1221.8548967622701</v>
      </c>
      <c r="K10">
        <v>1221.77309273589</v>
      </c>
      <c r="L10">
        <v>1221.83666067027</v>
      </c>
      <c r="N10" s="2">
        <v>187.14432974854</v>
      </c>
      <c r="O10" s="2">
        <v>277.31740252199899</v>
      </c>
      <c r="P10" s="2">
        <v>328.86397402101397</v>
      </c>
      <c r="Q10" s="2">
        <v>441.76584799962399</v>
      </c>
      <c r="R10" s="2">
        <v>538.23686270456005</v>
      </c>
      <c r="S10" s="16">
        <v>568.67399445313504</v>
      </c>
      <c r="T10" s="2">
        <v>814.88899791421397</v>
      </c>
      <c r="U10" s="2">
        <v>1221.8548967622701</v>
      </c>
      <c r="V10" s="2">
        <v>1254.9514321722099</v>
      </c>
    </row>
    <row r="11" spans="1:22" x14ac:dyDescent="0.3">
      <c r="A11" s="43"/>
      <c r="B11" t="s">
        <v>11</v>
      </c>
      <c r="C11">
        <v>1254.9433155638401</v>
      </c>
      <c r="D11">
        <v>1254.9047609571701</v>
      </c>
      <c r="E11">
        <v>1254.9143997198901</v>
      </c>
      <c r="F11">
        <v>1254.9280967816601</v>
      </c>
      <c r="G11">
        <v>1254.9494030250401</v>
      </c>
      <c r="H11">
        <v>1254.9823762600499</v>
      </c>
      <c r="I11">
        <v>1254.92048732135</v>
      </c>
      <c r="J11">
        <v>1254.9514321722099</v>
      </c>
      <c r="K11">
        <v>1254.9559977413501</v>
      </c>
      <c r="L11">
        <v>1254.87178568273</v>
      </c>
      <c r="N11" s="2">
        <v>187.12391808574799</v>
      </c>
      <c r="O11" s="2">
        <v>277.31740252199899</v>
      </c>
      <c r="P11" s="2">
        <v>328.73618541155702</v>
      </c>
      <c r="Q11" s="2">
        <v>441.78746366550303</v>
      </c>
      <c r="R11" s="2">
        <v>538.42371067971703</v>
      </c>
      <c r="S11" s="16">
        <v>568.53740135792896</v>
      </c>
      <c r="T11" s="2">
        <v>815.06631895710598</v>
      </c>
      <c r="U11" s="2">
        <v>1221.77309273589</v>
      </c>
      <c r="V11" s="2">
        <v>1254.9559977413501</v>
      </c>
    </row>
    <row r="12" spans="1:22" x14ac:dyDescent="0.3">
      <c r="N12" s="2">
        <v>187.15793628700101</v>
      </c>
      <c r="O12" s="2">
        <v>277.31281121228301</v>
      </c>
      <c r="P12" s="2">
        <v>328.73618541155702</v>
      </c>
      <c r="Q12" s="2">
        <v>441.92865999772198</v>
      </c>
      <c r="R12" s="2">
        <v>538.39178555621299</v>
      </c>
      <c r="S12" s="16">
        <v>568.49372942943</v>
      </c>
      <c r="T12" s="2">
        <v>815.04913534602497</v>
      </c>
      <c r="U12" s="2">
        <v>1221.83666067027</v>
      </c>
      <c r="V12" s="2">
        <v>1254.87178568273</v>
      </c>
    </row>
    <row r="13" spans="1:22" x14ac:dyDescent="0.3"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43" t="s">
        <v>14</v>
      </c>
      <c r="B15" t="s">
        <v>2</v>
      </c>
      <c r="C15">
        <v>187.54969723815401</v>
      </c>
      <c r="D15">
        <v>187.441717591866</v>
      </c>
      <c r="E15">
        <v>187.465624792791</v>
      </c>
      <c r="F15">
        <v>187.39291454194799</v>
      </c>
      <c r="G15">
        <v>187.48727045909999</v>
      </c>
      <c r="H15">
        <v>187.42005425639999</v>
      </c>
      <c r="I15">
        <v>187.464657659549</v>
      </c>
      <c r="J15">
        <v>187.475162202202</v>
      </c>
      <c r="K15">
        <v>187.467260657694</v>
      </c>
      <c r="L15">
        <v>187.465087656159</v>
      </c>
      <c r="N15" s="2">
        <v>187.54969723815401</v>
      </c>
      <c r="O15" s="2">
        <v>277.560673868077</v>
      </c>
      <c r="P15" s="2">
        <v>328.872340795306</v>
      </c>
      <c r="Q15" s="2">
        <v>441.88292400550898</v>
      </c>
      <c r="R15" s="2">
        <v>538.36812379786295</v>
      </c>
      <c r="S15" s="16">
        <v>568.61363354408797</v>
      </c>
      <c r="T15" s="2">
        <v>814.90938155783704</v>
      </c>
      <c r="U15" s="2">
        <v>1221.5858771943799</v>
      </c>
      <c r="V15" s="2">
        <v>1254.7626378835</v>
      </c>
    </row>
    <row r="16" spans="1:22" x14ac:dyDescent="0.3">
      <c r="A16" s="43"/>
      <c r="B16" t="s">
        <v>3</v>
      </c>
      <c r="C16">
        <v>277.560673868077</v>
      </c>
      <c r="D16">
        <v>277.48666617365802</v>
      </c>
      <c r="E16">
        <v>277.53935283278599</v>
      </c>
      <c r="F16">
        <v>277.51724698008502</v>
      </c>
      <c r="G16">
        <v>277.48879206870902</v>
      </c>
      <c r="H16">
        <v>277.52128049893003</v>
      </c>
      <c r="I16">
        <v>277.66180218679602</v>
      </c>
      <c r="J16">
        <v>277.54921963304298</v>
      </c>
      <c r="K16">
        <v>277.55156952781499</v>
      </c>
      <c r="L16">
        <v>277.52664691413202</v>
      </c>
      <c r="N16" s="2">
        <v>187.441717591866</v>
      </c>
      <c r="O16" s="2">
        <v>277.48666617365802</v>
      </c>
      <c r="P16" s="2">
        <v>328.95158776070099</v>
      </c>
      <c r="Q16" s="2">
        <v>441.78226589589798</v>
      </c>
      <c r="R16" s="2">
        <v>538.31016130032799</v>
      </c>
      <c r="S16" s="16">
        <v>568.55906069832804</v>
      </c>
      <c r="T16" s="2">
        <v>814.86525210498803</v>
      </c>
      <c r="U16" s="2">
        <v>1221.6317337600599</v>
      </c>
      <c r="V16" s="2">
        <v>1254.71995414456</v>
      </c>
    </row>
    <row r="17" spans="1:22" x14ac:dyDescent="0.3">
      <c r="A17" s="43"/>
      <c r="B17" t="s">
        <v>4</v>
      </c>
      <c r="C17">
        <v>328.872340795306</v>
      </c>
      <c r="D17">
        <v>328.95158776070099</v>
      </c>
      <c r="E17">
        <v>328.93778957211902</v>
      </c>
      <c r="F17">
        <v>328.96193120322101</v>
      </c>
      <c r="G17">
        <v>328.928688850323</v>
      </c>
      <c r="H17">
        <v>328.937042918126</v>
      </c>
      <c r="I17">
        <v>329.02164659611498</v>
      </c>
      <c r="J17">
        <v>328.95670956442598</v>
      </c>
      <c r="K17">
        <v>328.85720307155998</v>
      </c>
      <c r="L17">
        <v>328.85720307155998</v>
      </c>
      <c r="N17" s="2">
        <v>187.465624792791</v>
      </c>
      <c r="O17" s="2">
        <v>277.53935283278599</v>
      </c>
      <c r="P17" s="2">
        <v>328.93778957211902</v>
      </c>
      <c r="Q17" s="2">
        <v>441.85560403677698</v>
      </c>
      <c r="R17" s="2">
        <v>538.32468734633699</v>
      </c>
      <c r="S17" s="16">
        <v>568.58395652076297</v>
      </c>
      <c r="T17" s="2">
        <v>814.89668231857297</v>
      </c>
      <c r="U17" s="2">
        <v>1221.5648055501899</v>
      </c>
      <c r="V17" s="2">
        <v>1254.7427048705099</v>
      </c>
    </row>
    <row r="18" spans="1:22" x14ac:dyDescent="0.3">
      <c r="A18" s="43"/>
      <c r="B18" t="s">
        <v>5</v>
      </c>
      <c r="C18">
        <v>441.88292400550898</v>
      </c>
      <c r="D18">
        <v>441.78226589589798</v>
      </c>
      <c r="E18">
        <v>441.85560403677698</v>
      </c>
      <c r="F18">
        <v>441.89134878468099</v>
      </c>
      <c r="G18">
        <v>441.90093996838999</v>
      </c>
      <c r="H18">
        <v>441.81250499325199</v>
      </c>
      <c r="I18">
        <v>441.89707972385298</v>
      </c>
      <c r="J18">
        <v>441.82209531144503</v>
      </c>
      <c r="K18">
        <v>441.83420974996</v>
      </c>
      <c r="L18">
        <v>441.955635421735</v>
      </c>
      <c r="N18" s="2">
        <v>187.39291454194799</v>
      </c>
      <c r="O18" s="2">
        <v>277.51724698008502</v>
      </c>
      <c r="P18" s="2">
        <v>328.96193120322101</v>
      </c>
      <c r="Q18" s="2">
        <v>441.89134878468099</v>
      </c>
      <c r="R18" s="2">
        <v>538.38718850668795</v>
      </c>
      <c r="S18" s="16">
        <v>568.55877549663705</v>
      </c>
      <c r="T18" s="2">
        <v>814.941952377181</v>
      </c>
      <c r="U18" s="2">
        <v>1221.5348014085801</v>
      </c>
      <c r="V18" s="2">
        <v>1254.72260992519</v>
      </c>
    </row>
    <row r="19" spans="1:22" x14ac:dyDescent="0.3">
      <c r="A19" s="43"/>
      <c r="B19" t="s">
        <v>6</v>
      </c>
      <c r="C19">
        <v>538.36812379786295</v>
      </c>
      <c r="D19">
        <v>538.31016130032799</v>
      </c>
      <c r="E19">
        <v>538.32468734633699</v>
      </c>
      <c r="F19">
        <v>538.38718850668795</v>
      </c>
      <c r="G19">
        <v>538.28462196130999</v>
      </c>
      <c r="H19">
        <v>538.23722158015903</v>
      </c>
      <c r="I19">
        <v>538.387923727155</v>
      </c>
      <c r="J19">
        <v>538.24372590334895</v>
      </c>
      <c r="K19">
        <v>538.36965676515501</v>
      </c>
      <c r="L19">
        <v>538.37567939031101</v>
      </c>
      <c r="N19" s="2">
        <v>187.48727045909999</v>
      </c>
      <c r="O19" s="2">
        <v>277.48879206870902</v>
      </c>
      <c r="P19" s="2">
        <v>328.928688850323</v>
      </c>
      <c r="Q19" s="2">
        <v>441.90093996838999</v>
      </c>
      <c r="R19" s="2">
        <v>538.28462196130999</v>
      </c>
      <c r="S19" s="16">
        <v>568.43662170469304</v>
      </c>
      <c r="T19" s="2">
        <v>814.89746789570904</v>
      </c>
      <c r="U19" s="2">
        <v>1221.62774147965</v>
      </c>
      <c r="V19" s="2">
        <v>1254.75079212281</v>
      </c>
    </row>
    <row r="20" spans="1:22" x14ac:dyDescent="0.3">
      <c r="A20" s="43"/>
      <c r="B20" t="s">
        <v>9</v>
      </c>
      <c r="C20">
        <v>568.61363354408797</v>
      </c>
      <c r="D20">
        <v>568.55906069832804</v>
      </c>
      <c r="E20">
        <v>568.58395652076297</v>
      </c>
      <c r="F20">
        <v>568.55877549663705</v>
      </c>
      <c r="G20">
        <v>568.43662170469304</v>
      </c>
      <c r="H20">
        <v>568.64243498007704</v>
      </c>
      <c r="I20">
        <v>568.71696729592202</v>
      </c>
      <c r="J20">
        <v>568.61254244991301</v>
      </c>
      <c r="K20">
        <v>568.52635842728705</v>
      </c>
      <c r="L20">
        <v>568.462952306288</v>
      </c>
      <c r="N20" s="2">
        <v>187.42005425639999</v>
      </c>
      <c r="O20" s="2">
        <v>277.52128049893003</v>
      </c>
      <c r="P20" s="2">
        <v>328.937042918126</v>
      </c>
      <c r="Q20" s="2">
        <v>441.81250499325199</v>
      </c>
      <c r="R20" s="2">
        <v>538.23722158015903</v>
      </c>
      <c r="S20" s="16">
        <v>568.64243498007704</v>
      </c>
      <c r="T20" s="2">
        <v>814.91148170605402</v>
      </c>
      <c r="U20" s="2">
        <v>1221.4816030294301</v>
      </c>
      <c r="V20" s="2">
        <v>1254.7694102287401</v>
      </c>
    </row>
    <row r="21" spans="1:22" x14ac:dyDescent="0.3">
      <c r="A21" s="43"/>
      <c r="B21" t="s">
        <v>10</v>
      </c>
      <c r="C21">
        <v>814.90938155783704</v>
      </c>
      <c r="D21">
        <v>814.86525210498803</v>
      </c>
      <c r="E21">
        <v>814.89668231857297</v>
      </c>
      <c r="F21">
        <v>814.941952377181</v>
      </c>
      <c r="G21">
        <v>814.89746789570904</v>
      </c>
      <c r="H21">
        <v>814.91148170605402</v>
      </c>
      <c r="I21">
        <v>814.91878988856001</v>
      </c>
      <c r="J21">
        <v>814.78341321743596</v>
      </c>
      <c r="K21">
        <v>814.89896151242203</v>
      </c>
      <c r="L21">
        <v>814.88711418924299</v>
      </c>
      <c r="N21" s="2">
        <v>187.464657659549</v>
      </c>
      <c r="O21" s="2">
        <v>277.66180218679602</v>
      </c>
      <c r="P21" s="2">
        <v>329.02164659611498</v>
      </c>
      <c r="Q21" s="2">
        <v>441.89707972385298</v>
      </c>
      <c r="R21" s="2">
        <v>538.387923727155</v>
      </c>
      <c r="S21" s="16">
        <v>568.71696729592202</v>
      </c>
      <c r="T21" s="2">
        <v>814.91878988856001</v>
      </c>
      <c r="U21" s="2">
        <v>1221.5451234275699</v>
      </c>
      <c r="V21" s="2">
        <v>1254.71548369894</v>
      </c>
    </row>
    <row r="22" spans="1:22" x14ac:dyDescent="0.3">
      <c r="A22" s="43"/>
      <c r="B22" t="s">
        <v>7</v>
      </c>
      <c r="C22">
        <v>1221.5858771943799</v>
      </c>
      <c r="D22">
        <v>1221.6317337600599</v>
      </c>
      <c r="E22">
        <v>1221.5648055501899</v>
      </c>
      <c r="F22">
        <v>1221.5348014085801</v>
      </c>
      <c r="G22">
        <v>1221.62774147965</v>
      </c>
      <c r="H22">
        <v>1221.4816030294301</v>
      </c>
      <c r="I22">
        <v>1221.5451234275699</v>
      </c>
      <c r="J22">
        <v>1221.62093872845</v>
      </c>
      <c r="K22">
        <v>1221.5588869794699</v>
      </c>
      <c r="L22">
        <v>1221.6116022587601</v>
      </c>
      <c r="N22" s="2">
        <v>187.475162202202</v>
      </c>
      <c r="O22" s="2">
        <v>277.54921963304298</v>
      </c>
      <c r="P22" s="2">
        <v>328.95670956442598</v>
      </c>
      <c r="Q22" s="2">
        <v>441.82209531144503</v>
      </c>
      <c r="R22" s="2">
        <v>538.24372590334895</v>
      </c>
      <c r="S22" s="16">
        <v>568.61254244991301</v>
      </c>
      <c r="T22" s="2">
        <v>814.78341321743596</v>
      </c>
      <c r="U22" s="2">
        <v>1221.62093872845</v>
      </c>
      <c r="V22" s="2">
        <v>1254.7512847861799</v>
      </c>
    </row>
    <row r="23" spans="1:22" x14ac:dyDescent="0.3">
      <c r="A23" s="43"/>
      <c r="B23" t="s">
        <v>11</v>
      </c>
      <c r="C23">
        <v>1254.7626378835</v>
      </c>
      <c r="D23">
        <v>1254.71995414456</v>
      </c>
      <c r="E23">
        <v>1254.7427048705099</v>
      </c>
      <c r="F23">
        <v>1254.72260992519</v>
      </c>
      <c r="G23">
        <v>1254.75079212281</v>
      </c>
      <c r="H23">
        <v>1254.7694102287401</v>
      </c>
      <c r="I23">
        <v>1254.71548369894</v>
      </c>
      <c r="J23">
        <v>1254.7512847861799</v>
      </c>
      <c r="K23">
        <v>1254.74893209322</v>
      </c>
      <c r="L23">
        <v>1254.6824613379899</v>
      </c>
      <c r="N23" s="2">
        <v>187.467260657694</v>
      </c>
      <c r="O23" s="2">
        <v>277.55156952781499</v>
      </c>
      <c r="P23" s="2">
        <v>328.85720307155998</v>
      </c>
      <c r="Q23" s="2">
        <v>441.83420974996</v>
      </c>
      <c r="R23" s="2">
        <v>538.36965676515501</v>
      </c>
      <c r="S23" s="16">
        <v>568.52635842728705</v>
      </c>
      <c r="T23" s="2">
        <v>814.89896151242203</v>
      </c>
      <c r="U23" s="2">
        <v>1221.5588869794699</v>
      </c>
      <c r="V23" s="2">
        <v>1254.74893209322</v>
      </c>
    </row>
    <row r="24" spans="1:22" x14ac:dyDescent="0.3">
      <c r="N24" s="2">
        <v>187.465087656159</v>
      </c>
      <c r="O24" s="2">
        <v>277.52664691413202</v>
      </c>
      <c r="P24" s="2">
        <v>328.85720307155998</v>
      </c>
      <c r="Q24" s="2">
        <v>441.955635421735</v>
      </c>
      <c r="R24" s="2">
        <v>538.37567939031101</v>
      </c>
      <c r="S24" s="16">
        <v>568.462952306288</v>
      </c>
      <c r="T24" s="2">
        <v>814.88711418924299</v>
      </c>
      <c r="U24" s="2">
        <v>1221.6116022587601</v>
      </c>
      <c r="V24" s="2">
        <v>1254.6824613379899</v>
      </c>
    </row>
    <row r="25" spans="1:22" x14ac:dyDescent="0.3"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43" t="s">
        <v>15</v>
      </c>
      <c r="B27" t="s">
        <v>2</v>
      </c>
      <c r="C27">
        <v>187.09973004436699</v>
      </c>
      <c r="D27">
        <v>186.973207382726</v>
      </c>
      <c r="E27">
        <v>187.01509450811099</v>
      </c>
      <c r="F27">
        <v>186.931258687542</v>
      </c>
      <c r="G27">
        <v>187.03775574597299</v>
      </c>
      <c r="H27">
        <v>186.96148073766901</v>
      </c>
      <c r="I27">
        <v>187.009880426004</v>
      </c>
      <c r="J27">
        <v>186.99690902063401</v>
      </c>
      <c r="K27">
        <v>187.011915247117</v>
      </c>
      <c r="L27">
        <v>187.01065974645601</v>
      </c>
      <c r="N27" s="2">
        <v>187.09973004436699</v>
      </c>
      <c r="O27" s="2">
        <v>277.10799256787698</v>
      </c>
      <c r="P27" s="2">
        <v>328.417392484831</v>
      </c>
      <c r="Q27" s="2">
        <v>441.43892951055</v>
      </c>
      <c r="R27" s="2">
        <v>537.91684098982205</v>
      </c>
      <c r="S27" s="16">
        <v>568.181834946398</v>
      </c>
      <c r="T27" s="2">
        <v>814.48234043947798</v>
      </c>
      <c r="U27" s="2">
        <v>1221.1710536215901</v>
      </c>
      <c r="V27" s="2">
        <v>1254.34096218787</v>
      </c>
    </row>
    <row r="28" spans="1:22" x14ac:dyDescent="0.3">
      <c r="A28" s="43"/>
      <c r="B28" t="s">
        <v>3</v>
      </c>
      <c r="C28">
        <v>277.10799256787698</v>
      </c>
      <c r="D28">
        <v>277.03366368859798</v>
      </c>
      <c r="E28">
        <v>277.09842145661298</v>
      </c>
      <c r="F28">
        <v>277.07393771386899</v>
      </c>
      <c r="G28">
        <v>277.04383294462502</v>
      </c>
      <c r="H28">
        <v>277.07775652857703</v>
      </c>
      <c r="I28">
        <v>277.21864456067402</v>
      </c>
      <c r="J28">
        <v>277.11454101575998</v>
      </c>
      <c r="K28">
        <v>277.10484973518902</v>
      </c>
      <c r="L28">
        <v>277.08355722522498</v>
      </c>
      <c r="N28" s="2">
        <v>186.973207382726</v>
      </c>
      <c r="O28" s="2">
        <v>277.03366368859798</v>
      </c>
      <c r="P28" s="2">
        <v>328.49702981658601</v>
      </c>
      <c r="Q28" s="2">
        <v>441.33110527148398</v>
      </c>
      <c r="R28" s="2">
        <v>537.86267683010999</v>
      </c>
      <c r="S28" s="16">
        <v>568.13015743631399</v>
      </c>
      <c r="T28" s="2">
        <v>814.43341786699796</v>
      </c>
      <c r="U28" s="2">
        <v>1221.2180600300701</v>
      </c>
      <c r="V28" s="2">
        <v>1254.3029206065301</v>
      </c>
    </row>
    <row r="29" spans="1:22" x14ac:dyDescent="0.3">
      <c r="A29" s="43"/>
      <c r="B29" t="s">
        <v>4</v>
      </c>
      <c r="C29">
        <v>328.417392484831</v>
      </c>
      <c r="D29">
        <v>328.49702981658601</v>
      </c>
      <c r="E29">
        <v>328.48194432853199</v>
      </c>
      <c r="F29">
        <v>328.50243345190802</v>
      </c>
      <c r="G29">
        <v>328.468544077589</v>
      </c>
      <c r="H29">
        <v>328.48197473184302</v>
      </c>
      <c r="I29">
        <v>328.56643853864398</v>
      </c>
      <c r="J29">
        <v>328.49895753451898</v>
      </c>
      <c r="K29">
        <v>328.399990450058</v>
      </c>
      <c r="L29">
        <v>328.399990450058</v>
      </c>
      <c r="N29" s="2">
        <v>187.01509450811099</v>
      </c>
      <c r="O29" s="2">
        <v>277.09842145661298</v>
      </c>
      <c r="P29" s="2">
        <v>328.48194432853199</v>
      </c>
      <c r="Q29" s="2">
        <v>441.41554237946201</v>
      </c>
      <c r="R29" s="2">
        <v>537.87515130098097</v>
      </c>
      <c r="S29" s="16">
        <v>568.157146379447</v>
      </c>
      <c r="T29" s="2">
        <v>814.47451308410405</v>
      </c>
      <c r="U29" s="2">
        <v>1221.1485039577601</v>
      </c>
      <c r="V29" s="2">
        <v>1254.3226225149499</v>
      </c>
    </row>
    <row r="30" spans="1:22" x14ac:dyDescent="0.3">
      <c r="A30" s="43"/>
      <c r="B30" t="s">
        <v>5</v>
      </c>
      <c r="C30">
        <v>441.43892951055</v>
      </c>
      <c r="D30">
        <v>441.33110527148398</v>
      </c>
      <c r="E30">
        <v>441.41554237946201</v>
      </c>
      <c r="F30">
        <v>441.453568211809</v>
      </c>
      <c r="G30">
        <v>441.45445504107801</v>
      </c>
      <c r="H30">
        <v>441.36717600468899</v>
      </c>
      <c r="I30">
        <v>441.45777288502501</v>
      </c>
      <c r="J30">
        <v>441.37740644088501</v>
      </c>
      <c r="K30">
        <v>441.39001469804799</v>
      </c>
      <c r="L30">
        <v>441.51901344961402</v>
      </c>
      <c r="N30" s="2">
        <v>186.931258687542</v>
      </c>
      <c r="O30" s="2">
        <v>277.07393771386899</v>
      </c>
      <c r="P30" s="2">
        <v>328.50243345190802</v>
      </c>
      <c r="Q30" s="2">
        <v>441.453568211809</v>
      </c>
      <c r="R30" s="2">
        <v>537.94449330426596</v>
      </c>
      <c r="S30" s="16">
        <v>568.12488909830404</v>
      </c>
      <c r="T30" s="2">
        <v>814.499568953074</v>
      </c>
      <c r="U30" s="2">
        <v>1221.11244010424</v>
      </c>
      <c r="V30" s="2">
        <v>1254.3659767419001</v>
      </c>
    </row>
    <row r="31" spans="1:22" x14ac:dyDescent="0.3">
      <c r="A31" s="43"/>
      <c r="B31" t="s">
        <v>6</v>
      </c>
      <c r="C31">
        <v>537.91684098982205</v>
      </c>
      <c r="D31">
        <v>537.86267683010999</v>
      </c>
      <c r="E31">
        <v>537.87515130098097</v>
      </c>
      <c r="F31">
        <v>537.94449330426596</v>
      </c>
      <c r="G31">
        <v>537.83546442603995</v>
      </c>
      <c r="H31">
        <v>537.79571744801399</v>
      </c>
      <c r="I31">
        <v>537.94563823947499</v>
      </c>
      <c r="J31">
        <v>537.79142527363297</v>
      </c>
      <c r="K31">
        <v>537.92599691948703</v>
      </c>
      <c r="L31">
        <v>537.928672331229</v>
      </c>
      <c r="N31" s="2">
        <v>187.03775574597299</v>
      </c>
      <c r="O31" s="2">
        <v>277.04383294462502</v>
      </c>
      <c r="P31" s="2">
        <v>328.468544077589</v>
      </c>
      <c r="Q31" s="2">
        <v>441.45445504107801</v>
      </c>
      <c r="R31" s="2">
        <v>537.83546442603995</v>
      </c>
      <c r="S31" s="16">
        <v>568.00499208935105</v>
      </c>
      <c r="T31" s="2">
        <v>814.47129973996505</v>
      </c>
      <c r="U31" s="2">
        <v>1221.21073238708</v>
      </c>
      <c r="V31" s="2">
        <v>1254.3366855535801</v>
      </c>
    </row>
    <row r="32" spans="1:22" x14ac:dyDescent="0.3">
      <c r="A32" s="43"/>
      <c r="B32" t="s">
        <v>9</v>
      </c>
      <c r="C32">
        <v>568.181834946398</v>
      </c>
      <c r="D32">
        <v>568.13015743631399</v>
      </c>
      <c r="E32">
        <v>568.157146379447</v>
      </c>
      <c r="F32">
        <v>568.12488909830404</v>
      </c>
      <c r="G32">
        <v>568.00499208935105</v>
      </c>
      <c r="H32">
        <v>568.21114542319697</v>
      </c>
      <c r="I32">
        <v>568.28718819001097</v>
      </c>
      <c r="J32">
        <v>568.18316412680997</v>
      </c>
      <c r="K32">
        <v>568.09029611060805</v>
      </c>
      <c r="L32">
        <v>568.03376164598797</v>
      </c>
      <c r="N32" s="2">
        <v>186.96148073766901</v>
      </c>
      <c r="O32" s="2">
        <v>277.07775652857703</v>
      </c>
      <c r="P32" s="2">
        <v>328.48197473184302</v>
      </c>
      <c r="Q32" s="2">
        <v>441.36717600468899</v>
      </c>
      <c r="R32" s="2">
        <v>537.79571744801399</v>
      </c>
      <c r="S32" s="16">
        <v>568.21114542319697</v>
      </c>
      <c r="T32" s="2">
        <v>814.47076842968397</v>
      </c>
      <c r="U32" s="2">
        <v>1221.0630201199399</v>
      </c>
      <c r="V32" s="2">
        <v>1254.35409635009</v>
      </c>
    </row>
    <row r="33" spans="1:22" x14ac:dyDescent="0.3">
      <c r="A33" s="43"/>
      <c r="B33" t="s">
        <v>10</v>
      </c>
      <c r="C33">
        <v>814.48234043947798</v>
      </c>
      <c r="D33">
        <v>814.43341786699796</v>
      </c>
      <c r="E33">
        <v>814.47451308410405</v>
      </c>
      <c r="F33">
        <v>814.499568953074</v>
      </c>
      <c r="G33">
        <v>814.47129973996505</v>
      </c>
      <c r="H33">
        <v>814.47076842968397</v>
      </c>
      <c r="I33">
        <v>814.48626470010697</v>
      </c>
      <c r="J33">
        <v>814.34792326982597</v>
      </c>
      <c r="K33">
        <v>814.46778174966596</v>
      </c>
      <c r="L33">
        <v>814.44619746332796</v>
      </c>
      <c r="N33" s="2">
        <v>187.009880426004</v>
      </c>
      <c r="O33" s="2">
        <v>277.21864456067402</v>
      </c>
      <c r="P33" s="2">
        <v>328.56643853864398</v>
      </c>
      <c r="Q33" s="2">
        <v>441.45777288502501</v>
      </c>
      <c r="R33" s="2">
        <v>537.94563823947499</v>
      </c>
      <c r="S33" s="16">
        <v>568.28718819001097</v>
      </c>
      <c r="T33" s="2">
        <v>814.48626470010697</v>
      </c>
      <c r="U33" s="2">
        <v>1221.1288083759</v>
      </c>
      <c r="V33" s="2">
        <v>1254.2953109151899</v>
      </c>
    </row>
    <row r="34" spans="1:22" x14ac:dyDescent="0.3">
      <c r="A34" s="43"/>
      <c r="B34" t="s">
        <v>7</v>
      </c>
      <c r="C34">
        <v>1221.1710536215901</v>
      </c>
      <c r="D34">
        <v>1221.2180600300701</v>
      </c>
      <c r="E34">
        <v>1221.1485039577601</v>
      </c>
      <c r="F34">
        <v>1221.11244010424</v>
      </c>
      <c r="G34">
        <v>1221.21073238708</v>
      </c>
      <c r="H34">
        <v>1221.0630201199399</v>
      </c>
      <c r="I34">
        <v>1221.1288083759</v>
      </c>
      <c r="J34">
        <v>1221.2056814636301</v>
      </c>
      <c r="K34">
        <v>1221.13550425874</v>
      </c>
      <c r="L34">
        <v>1221.1865159388201</v>
      </c>
      <c r="N34" s="2">
        <v>186.99690902063401</v>
      </c>
      <c r="O34" s="2">
        <v>277.11454101575998</v>
      </c>
      <c r="P34" s="2">
        <v>328.49895753451898</v>
      </c>
      <c r="Q34" s="2">
        <v>441.37740644088501</v>
      </c>
      <c r="R34" s="2">
        <v>537.79142527363297</v>
      </c>
      <c r="S34" s="16">
        <v>568.18316412680997</v>
      </c>
      <c r="T34" s="2">
        <v>814.34792326982597</v>
      </c>
      <c r="U34" s="2">
        <v>1221.2056814636301</v>
      </c>
      <c r="V34" s="2">
        <v>1254.3319485723</v>
      </c>
    </row>
    <row r="35" spans="1:22" x14ac:dyDescent="0.3">
      <c r="A35" s="43"/>
      <c r="B35" t="s">
        <v>11</v>
      </c>
      <c r="C35">
        <v>1254.34096218787</v>
      </c>
      <c r="D35">
        <v>1254.3029206065301</v>
      </c>
      <c r="E35">
        <v>1254.3226225149499</v>
      </c>
      <c r="F35">
        <v>1254.3659767419001</v>
      </c>
      <c r="G35">
        <v>1254.3366855535801</v>
      </c>
      <c r="H35">
        <v>1254.35409635009</v>
      </c>
      <c r="I35">
        <v>1254.2953109151899</v>
      </c>
      <c r="J35">
        <v>1254.3319485723</v>
      </c>
      <c r="K35">
        <v>1254.32776287807</v>
      </c>
      <c r="L35">
        <v>1254.2662849754499</v>
      </c>
      <c r="N35" s="2">
        <v>187.011915247117</v>
      </c>
      <c r="O35" s="2">
        <v>277.10484973518902</v>
      </c>
      <c r="P35" s="2">
        <v>328.399990450058</v>
      </c>
      <c r="Q35" s="2">
        <v>441.39001469804799</v>
      </c>
      <c r="R35" s="2">
        <v>537.92599691948703</v>
      </c>
      <c r="S35" s="16">
        <v>568.09029611060805</v>
      </c>
      <c r="T35" s="2">
        <v>814.46778174966596</v>
      </c>
      <c r="U35" s="2">
        <v>1221.13550425874</v>
      </c>
      <c r="V35" s="2">
        <v>1254.32776287807</v>
      </c>
    </row>
    <row r="36" spans="1:22" x14ac:dyDescent="0.3">
      <c r="N36" s="2">
        <v>187.01065974645601</v>
      </c>
      <c r="O36" s="2">
        <v>277.08355722522498</v>
      </c>
      <c r="P36" s="2">
        <v>328.399990450058</v>
      </c>
      <c r="Q36" s="2">
        <v>441.51901344961402</v>
      </c>
      <c r="R36" s="2">
        <v>537.928672331229</v>
      </c>
      <c r="S36" s="16">
        <v>568.03376164598797</v>
      </c>
      <c r="T36" s="2">
        <v>814.44619746332796</v>
      </c>
      <c r="U36" s="2">
        <v>1221.1865159388201</v>
      </c>
      <c r="V36" s="2">
        <v>1254.2662849754499</v>
      </c>
    </row>
    <row r="37" spans="1:22" x14ac:dyDescent="0.3"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43" t="s">
        <v>16</v>
      </c>
      <c r="B39" t="s">
        <v>2</v>
      </c>
      <c r="C39">
        <v>188.21253999999999</v>
      </c>
      <c r="D39">
        <v>188.1189</v>
      </c>
      <c r="E39">
        <v>188.11359999999999</v>
      </c>
      <c r="F39">
        <v>187.98026999999999</v>
      </c>
      <c r="G39">
        <v>188.1362</v>
      </c>
      <c r="H39">
        <v>188.00998000000001</v>
      </c>
      <c r="I39">
        <v>188.0497</v>
      </c>
      <c r="J39">
        <v>188.03014999999999</v>
      </c>
      <c r="K39">
        <v>188.06985</v>
      </c>
      <c r="L39">
        <v>188.04741999999999</v>
      </c>
      <c r="N39" s="2">
        <v>188.21253999999999</v>
      </c>
      <c r="O39" s="2">
        <v>278.13326999999998</v>
      </c>
      <c r="P39" s="2">
        <v>329.41091999999998</v>
      </c>
      <c r="Q39" s="2">
        <v>442.45461999999998</v>
      </c>
      <c r="R39" s="2">
        <v>538.81035999999995</v>
      </c>
      <c r="S39" s="16">
        <v>569.07165999999995</v>
      </c>
      <c r="T39" s="2">
        <v>815.21631000000002</v>
      </c>
      <c r="U39" s="2">
        <v>1221.8822</v>
      </c>
      <c r="V39" s="2">
        <v>1254.9940999999999</v>
      </c>
    </row>
    <row r="40" spans="1:22" x14ac:dyDescent="0.3">
      <c r="A40" s="43"/>
      <c r="B40" t="s">
        <v>3</v>
      </c>
      <c r="C40">
        <v>278.13326999999998</v>
      </c>
      <c r="D40">
        <v>278.03937000000002</v>
      </c>
      <c r="E40">
        <v>278.17093</v>
      </c>
      <c r="F40">
        <v>278.14886000000001</v>
      </c>
      <c r="G40">
        <v>278.05844000000002</v>
      </c>
      <c r="H40">
        <v>278.13992000000002</v>
      </c>
      <c r="I40">
        <v>278.28753999999998</v>
      </c>
      <c r="J40">
        <v>278.17061999999999</v>
      </c>
      <c r="K40">
        <v>278.08233999999999</v>
      </c>
      <c r="L40">
        <v>278.14233000000002</v>
      </c>
      <c r="N40" s="2">
        <v>188.1189</v>
      </c>
      <c r="O40" s="2">
        <v>278.03937000000002</v>
      </c>
      <c r="P40" s="2">
        <v>329.46731999999997</v>
      </c>
      <c r="Q40" s="2">
        <v>442.28262000000001</v>
      </c>
      <c r="R40" s="2">
        <v>538.80047999999999</v>
      </c>
      <c r="S40" s="16">
        <v>568.91485999999998</v>
      </c>
      <c r="T40" s="2">
        <v>815.17340000000002</v>
      </c>
      <c r="U40" s="2">
        <v>1221.9221</v>
      </c>
      <c r="V40" s="2">
        <v>1254.9974</v>
      </c>
    </row>
    <row r="41" spans="1:22" x14ac:dyDescent="0.3">
      <c r="A41" s="43"/>
      <c r="B41" t="s">
        <v>4</v>
      </c>
      <c r="C41">
        <v>329.41091999999998</v>
      </c>
      <c r="D41">
        <v>329.46731999999997</v>
      </c>
      <c r="E41">
        <v>329.40332000000001</v>
      </c>
      <c r="F41">
        <v>329.43230999999997</v>
      </c>
      <c r="G41">
        <v>329.46215999999998</v>
      </c>
      <c r="H41">
        <v>329.46967000000001</v>
      </c>
      <c r="I41">
        <v>329.63470000000001</v>
      </c>
      <c r="J41">
        <v>329.56981999999999</v>
      </c>
      <c r="K41">
        <v>329.43389999999999</v>
      </c>
      <c r="L41">
        <v>329.43389999999999</v>
      </c>
      <c r="N41" s="2">
        <v>188.11359999999999</v>
      </c>
      <c r="O41" s="2">
        <v>278.17093</v>
      </c>
      <c r="P41" s="2">
        <v>329.40332000000001</v>
      </c>
      <c r="Q41" s="2">
        <v>442.43018000000001</v>
      </c>
      <c r="R41" s="2">
        <v>538.79540999999995</v>
      </c>
      <c r="S41" s="16">
        <v>568.96740999999997</v>
      </c>
      <c r="T41" s="2">
        <v>815.19195999999999</v>
      </c>
      <c r="U41" s="2">
        <v>1221.8729000000001</v>
      </c>
      <c r="V41" s="2">
        <v>1254.98</v>
      </c>
    </row>
    <row r="42" spans="1:22" x14ac:dyDescent="0.3">
      <c r="A42" s="43"/>
      <c r="B42" t="s">
        <v>5</v>
      </c>
      <c r="C42">
        <v>442.45461999999998</v>
      </c>
      <c r="D42">
        <v>442.28262000000001</v>
      </c>
      <c r="E42">
        <v>442.43018000000001</v>
      </c>
      <c r="F42">
        <v>442.41793999999999</v>
      </c>
      <c r="G42">
        <v>442.47357</v>
      </c>
      <c r="H42">
        <v>442.22098</v>
      </c>
      <c r="I42">
        <v>442.44247000000001</v>
      </c>
      <c r="J42">
        <v>442.36957000000001</v>
      </c>
      <c r="K42">
        <v>442.28082000000001</v>
      </c>
      <c r="L42">
        <v>442.47430000000003</v>
      </c>
      <c r="N42" s="2">
        <v>187.98026999999999</v>
      </c>
      <c r="O42" s="2">
        <v>278.14886000000001</v>
      </c>
      <c r="P42" s="2">
        <v>329.43230999999997</v>
      </c>
      <c r="Q42" s="2">
        <v>442.41793999999999</v>
      </c>
      <c r="R42" s="2">
        <v>538.87816999999995</v>
      </c>
      <c r="S42" s="16">
        <v>568.95470999999998</v>
      </c>
      <c r="T42" s="2">
        <v>815.27551000000005</v>
      </c>
      <c r="U42" s="2">
        <v>1221.8586</v>
      </c>
      <c r="V42" s="2">
        <v>1254.9816000000001</v>
      </c>
    </row>
    <row r="43" spans="1:22" x14ac:dyDescent="0.3">
      <c r="A43" s="43"/>
      <c r="B43" t="s">
        <v>6</v>
      </c>
      <c r="C43">
        <v>538.81035999999995</v>
      </c>
      <c r="D43">
        <v>538.80047999999999</v>
      </c>
      <c r="E43">
        <v>538.79540999999995</v>
      </c>
      <c r="F43">
        <v>538.87816999999995</v>
      </c>
      <c r="G43">
        <v>538.74365</v>
      </c>
      <c r="H43">
        <v>538.58623999999998</v>
      </c>
      <c r="I43">
        <v>538.80913999999996</v>
      </c>
      <c r="J43">
        <v>538.68317000000002</v>
      </c>
      <c r="K43">
        <v>538.85137999999995</v>
      </c>
      <c r="L43">
        <v>538.84540000000004</v>
      </c>
      <c r="N43" s="2">
        <v>188.1362</v>
      </c>
      <c r="O43" s="2">
        <v>278.05844000000002</v>
      </c>
      <c r="P43" s="2">
        <v>329.46215999999998</v>
      </c>
      <c r="Q43" s="2">
        <v>442.47357</v>
      </c>
      <c r="R43" s="2">
        <v>538.74365</v>
      </c>
      <c r="S43" s="16">
        <v>568.75049000000001</v>
      </c>
      <c r="T43" s="2">
        <v>815.20532000000003</v>
      </c>
      <c r="U43" s="2">
        <v>1221.9015999999999</v>
      </c>
      <c r="V43" s="2">
        <v>1254.9908</v>
      </c>
    </row>
    <row r="44" spans="1:22" x14ac:dyDescent="0.3">
      <c r="A44" s="43"/>
      <c r="B44" t="s">
        <v>9</v>
      </c>
      <c r="C44">
        <v>569.07165999999995</v>
      </c>
      <c r="D44">
        <v>568.91485999999998</v>
      </c>
      <c r="E44">
        <v>568.96740999999997</v>
      </c>
      <c r="F44">
        <v>568.95470999999998</v>
      </c>
      <c r="G44">
        <v>568.75049000000001</v>
      </c>
      <c r="H44">
        <v>569.09851000000003</v>
      </c>
      <c r="I44">
        <v>569.15448000000004</v>
      </c>
      <c r="J44">
        <v>569.03270999999995</v>
      </c>
      <c r="K44">
        <v>568.95574999999997</v>
      </c>
      <c r="L44">
        <v>568.78899999999999</v>
      </c>
      <c r="N44" s="2">
        <v>188.00998000000001</v>
      </c>
      <c r="O44" s="2">
        <v>278.13992000000002</v>
      </c>
      <c r="P44" s="2">
        <v>329.46967000000001</v>
      </c>
      <c r="Q44" s="2">
        <v>442.22098</v>
      </c>
      <c r="R44" s="2">
        <v>538.58623999999998</v>
      </c>
      <c r="S44" s="16">
        <v>569.09851000000003</v>
      </c>
      <c r="T44" s="2">
        <v>815.25005999999996</v>
      </c>
      <c r="U44" s="2">
        <v>1221.8200999999999</v>
      </c>
      <c r="V44" s="2">
        <v>1255.0649000000001</v>
      </c>
    </row>
    <row r="45" spans="1:22" x14ac:dyDescent="0.3">
      <c r="A45" s="43"/>
      <c r="B45" t="s">
        <v>10</v>
      </c>
      <c r="C45">
        <v>815.21631000000002</v>
      </c>
      <c r="D45">
        <v>815.17340000000002</v>
      </c>
      <c r="E45">
        <v>815.19195999999999</v>
      </c>
      <c r="F45">
        <v>815.27551000000005</v>
      </c>
      <c r="G45">
        <v>815.20532000000003</v>
      </c>
      <c r="H45">
        <v>815.25005999999996</v>
      </c>
      <c r="I45">
        <v>815.21204</v>
      </c>
      <c r="J45">
        <v>815.07006999999999</v>
      </c>
      <c r="K45">
        <v>815.15997000000004</v>
      </c>
      <c r="L45">
        <v>815.17511000000002</v>
      </c>
      <c r="N45" s="2">
        <v>188.0497</v>
      </c>
      <c r="O45" s="2">
        <v>278.28753999999998</v>
      </c>
      <c r="P45" s="2">
        <v>329.63470000000001</v>
      </c>
      <c r="Q45" s="2">
        <v>442.44247000000001</v>
      </c>
      <c r="R45" s="2">
        <v>538.80913999999996</v>
      </c>
      <c r="S45" s="16">
        <v>569.15448000000004</v>
      </c>
      <c r="T45" s="2">
        <v>815.21204</v>
      </c>
      <c r="U45" s="2">
        <v>1221.8774000000001</v>
      </c>
      <c r="V45" s="2">
        <v>1255.0246999999999</v>
      </c>
    </row>
    <row r="46" spans="1:22" x14ac:dyDescent="0.3">
      <c r="A46" s="43"/>
      <c r="B46" t="s">
        <v>7</v>
      </c>
      <c r="C46">
        <v>1221.8822</v>
      </c>
      <c r="D46">
        <v>1221.9221</v>
      </c>
      <c r="E46">
        <v>1221.8729000000001</v>
      </c>
      <c r="F46">
        <v>1221.8586</v>
      </c>
      <c r="G46">
        <v>1221.9015999999999</v>
      </c>
      <c r="H46">
        <v>1221.8200999999999</v>
      </c>
      <c r="I46">
        <v>1221.8774000000001</v>
      </c>
      <c r="J46">
        <v>1221.9104</v>
      </c>
      <c r="K46">
        <v>1221.8825999999999</v>
      </c>
      <c r="L46">
        <v>1221.9177</v>
      </c>
      <c r="N46" s="2">
        <v>188.03014999999999</v>
      </c>
      <c r="O46" s="2">
        <v>278.17061999999999</v>
      </c>
      <c r="P46" s="2">
        <v>329.56981999999999</v>
      </c>
      <c r="Q46" s="2">
        <v>442.36957000000001</v>
      </c>
      <c r="R46" s="2">
        <v>538.68317000000002</v>
      </c>
      <c r="S46" s="16">
        <v>569.03270999999995</v>
      </c>
      <c r="T46" s="2">
        <v>815.07006999999999</v>
      </c>
      <c r="U46" s="2">
        <v>1221.9104</v>
      </c>
      <c r="V46" s="2">
        <v>1255.0387000000001</v>
      </c>
    </row>
    <row r="47" spans="1:22" x14ac:dyDescent="0.3">
      <c r="A47" s="43"/>
      <c r="B47" t="s">
        <v>11</v>
      </c>
      <c r="C47">
        <v>1254.9940999999999</v>
      </c>
      <c r="D47">
        <v>1254.9974</v>
      </c>
      <c r="E47">
        <v>1254.98</v>
      </c>
      <c r="F47">
        <v>1254.9816000000001</v>
      </c>
      <c r="G47">
        <v>1254.9908</v>
      </c>
      <c r="H47">
        <v>1255.0649000000001</v>
      </c>
      <c r="I47">
        <v>1255.0246999999999</v>
      </c>
      <c r="J47">
        <v>1255.0387000000001</v>
      </c>
      <c r="K47">
        <v>1255.0463999999999</v>
      </c>
      <c r="L47">
        <v>1254.9104</v>
      </c>
      <c r="N47" s="2">
        <v>188.06985</v>
      </c>
      <c r="O47" s="2">
        <v>278.08233999999999</v>
      </c>
      <c r="P47" s="2">
        <v>329.43389999999999</v>
      </c>
      <c r="Q47" s="2">
        <v>442.28082000000001</v>
      </c>
      <c r="R47" s="2">
        <v>538.85137999999995</v>
      </c>
      <c r="S47" s="16">
        <v>568.95574999999997</v>
      </c>
      <c r="T47" s="2">
        <v>815.15997000000004</v>
      </c>
      <c r="U47" s="2">
        <v>1221.8825999999999</v>
      </c>
      <c r="V47" s="2">
        <v>1255.0463999999999</v>
      </c>
    </row>
    <row r="48" spans="1:22" x14ac:dyDescent="0.3">
      <c r="N48" s="2">
        <v>188.04741999999999</v>
      </c>
      <c r="O48" s="2">
        <v>278.14233000000002</v>
      </c>
      <c r="P48" s="2">
        <v>329.43389999999999</v>
      </c>
      <c r="Q48" s="2">
        <v>442.47430000000003</v>
      </c>
      <c r="R48" s="2">
        <v>538.84540000000004</v>
      </c>
      <c r="S48" s="16">
        <v>568.78899999999999</v>
      </c>
      <c r="T48" s="2">
        <v>815.17511000000002</v>
      </c>
      <c r="U48" s="2">
        <v>1221.9177</v>
      </c>
      <c r="V48" s="2">
        <v>1254.9104</v>
      </c>
    </row>
  </sheetData>
  <mergeCells count="6">
    <mergeCell ref="A39:A47"/>
    <mergeCell ref="C1:L1"/>
    <mergeCell ref="N2:V2"/>
    <mergeCell ref="A3:A11"/>
    <mergeCell ref="A15:A23"/>
    <mergeCell ref="A27:A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EE30-DC58-4940-BE39-F61EC546918C}">
  <sheetPr codeName="Sayfa4"/>
  <dimension ref="B1:X93"/>
  <sheetViews>
    <sheetView topLeftCell="A60" workbookViewId="0">
      <selection activeCell="E86" sqref="E86:K86"/>
    </sheetView>
  </sheetViews>
  <sheetFormatPr defaultRowHeight="14.4" x14ac:dyDescent="0.3"/>
  <cols>
    <col min="1" max="2" width="8.88671875" style="3"/>
    <col min="3" max="3" width="16.5546875" style="3" bestFit="1" customWidth="1"/>
    <col min="4" max="16384" width="8.88671875" style="3"/>
  </cols>
  <sheetData>
    <row r="1" spans="2:12" x14ac:dyDescent="0.3">
      <c r="C1" s="4" t="s">
        <v>18</v>
      </c>
      <c r="D1" s="44" t="s">
        <v>19</v>
      </c>
      <c r="E1" s="44"/>
      <c r="F1" s="44"/>
      <c r="G1" s="44"/>
      <c r="H1" s="44"/>
      <c r="I1" s="44"/>
      <c r="J1" s="44"/>
      <c r="K1" s="44"/>
      <c r="L1" s="44"/>
    </row>
    <row r="2" spans="2:12" x14ac:dyDescent="0.3">
      <c r="D2">
        <v>3.665</v>
      </c>
      <c r="E2">
        <v>5.3979999999999997</v>
      </c>
      <c r="F2">
        <v>6.431</v>
      </c>
      <c r="G2">
        <v>8.5939999999999994</v>
      </c>
      <c r="H2">
        <v>10.458</v>
      </c>
      <c r="I2">
        <v>11.045999999999999</v>
      </c>
      <c r="J2">
        <v>15.8</v>
      </c>
      <c r="K2">
        <v>23.667999999999999</v>
      </c>
      <c r="L2">
        <v>24.32</v>
      </c>
    </row>
    <row r="3" spans="2:12" x14ac:dyDescent="0.3">
      <c r="B3" s="43" t="s">
        <v>20</v>
      </c>
      <c r="C3" s="3">
        <v>1</v>
      </c>
      <c r="D3" s="2">
        <v>186.49004843272701</v>
      </c>
      <c r="E3" s="2">
        <v>275.93427618757801</v>
      </c>
      <c r="F3" s="2">
        <v>329.34177320292002</v>
      </c>
      <c r="G3" s="2">
        <v>441.761524739528</v>
      </c>
      <c r="H3" s="2">
        <v>538.269979732568</v>
      </c>
      <c r="I3" s="2">
        <v>568.65944101298703</v>
      </c>
      <c r="J3" s="2">
        <v>814.43341057882196</v>
      </c>
      <c r="K3" s="2">
        <v>1221.7626714475</v>
      </c>
      <c r="L3" s="2">
        <v>1256.0497338740099</v>
      </c>
    </row>
    <row r="4" spans="2:12" x14ac:dyDescent="0.3">
      <c r="B4" s="43"/>
      <c r="C4" s="3">
        <v>2</v>
      </c>
      <c r="D4" s="2">
        <v>186.483220921753</v>
      </c>
      <c r="E4" s="2">
        <v>275.87659158860203</v>
      </c>
      <c r="F4" s="2">
        <v>329.29537778014799</v>
      </c>
      <c r="G4" s="2">
        <v>441.64622219216801</v>
      </c>
      <c r="H4" s="2">
        <v>538.20256077730596</v>
      </c>
      <c r="I4" s="2">
        <v>568.59114681902497</v>
      </c>
      <c r="J4" s="2">
        <v>814.44200892515596</v>
      </c>
      <c r="K4" s="2">
        <v>1221.6964941917199</v>
      </c>
      <c r="L4" s="2">
        <v>1256.02793944425</v>
      </c>
    </row>
    <row r="5" spans="2:12" x14ac:dyDescent="0.3">
      <c r="B5" s="43"/>
      <c r="C5" s="3">
        <v>3</v>
      </c>
      <c r="D5" s="2">
        <v>186.45932266459201</v>
      </c>
      <c r="E5" s="2">
        <v>276.081893839538</v>
      </c>
      <c r="F5" s="2">
        <v>329.22770606876998</v>
      </c>
      <c r="G5" s="2">
        <v>441.67072650207899</v>
      </c>
      <c r="H5" s="2">
        <v>538.25815245647004</v>
      </c>
      <c r="I5" s="2">
        <v>568.61913723475004</v>
      </c>
      <c r="J5" s="2">
        <v>814.40136139726405</v>
      </c>
      <c r="K5" s="2">
        <v>1221.76475571229</v>
      </c>
      <c r="L5" s="2">
        <v>1255.98333571135</v>
      </c>
    </row>
    <row r="6" spans="2:12" x14ac:dyDescent="0.3">
      <c r="B6" s="43"/>
      <c r="C6" s="3">
        <v>4</v>
      </c>
      <c r="D6" s="2">
        <v>186.39785593384099</v>
      </c>
      <c r="E6" s="2">
        <v>276.02193368981102</v>
      </c>
      <c r="F6" s="2">
        <v>329.16969067179099</v>
      </c>
      <c r="G6" s="2">
        <v>441.602975975334</v>
      </c>
      <c r="H6" s="2">
        <v>538.12566920454697</v>
      </c>
      <c r="I6" s="2">
        <v>568.57995026691401</v>
      </c>
      <c r="J6" s="2">
        <v>814.31693312547895</v>
      </c>
      <c r="K6" s="2">
        <v>1221.7564186318</v>
      </c>
      <c r="L6" s="2">
        <v>1256.0264188885201</v>
      </c>
    </row>
    <row r="7" spans="2:12" x14ac:dyDescent="0.3">
      <c r="B7" s="43"/>
      <c r="C7" s="3">
        <v>5</v>
      </c>
      <c r="D7" s="2">
        <v>186.48663470848601</v>
      </c>
      <c r="E7" s="2">
        <v>276.25478289412598</v>
      </c>
      <c r="F7" s="2">
        <v>329.22383869369901</v>
      </c>
      <c r="G7" s="2">
        <v>441.60874238227098</v>
      </c>
      <c r="H7" s="2">
        <v>538.11265569753095</v>
      </c>
      <c r="I7" s="2">
        <v>568.43661492184003</v>
      </c>
      <c r="J7" s="2">
        <v>814.47327487391101</v>
      </c>
      <c r="K7" s="2">
        <v>1221.7444339789199</v>
      </c>
      <c r="L7" s="2">
        <v>1256.0350353466199</v>
      </c>
    </row>
    <row r="8" spans="2:12" x14ac:dyDescent="0.3">
      <c r="B8" s="43"/>
      <c r="C8" s="3">
        <v>6</v>
      </c>
      <c r="D8" s="2">
        <v>186.432006619519</v>
      </c>
      <c r="E8" s="2">
        <v>275.91351112125699</v>
      </c>
      <c r="F8" s="2">
        <v>329.16969067179099</v>
      </c>
      <c r="G8" s="2">
        <v>441.72981953928399</v>
      </c>
      <c r="H8" s="2">
        <v>538.21675494338399</v>
      </c>
      <c r="I8" s="2">
        <v>568.70757789361801</v>
      </c>
      <c r="J8" s="2">
        <v>814.27393388215796</v>
      </c>
      <c r="K8" s="2">
        <v>1221.76527677793</v>
      </c>
      <c r="L8" s="2">
        <v>1256.0152680903</v>
      </c>
    </row>
    <row r="9" spans="2:12" x14ac:dyDescent="0.3">
      <c r="B9" s="43"/>
      <c r="C9" s="3">
        <v>7</v>
      </c>
      <c r="D9" s="2">
        <v>186.53100825057999</v>
      </c>
      <c r="E9" s="2">
        <v>276.06113987688201</v>
      </c>
      <c r="F9" s="2">
        <v>329.20643494365697</v>
      </c>
      <c r="G9" s="2">
        <v>441.62892421361698</v>
      </c>
      <c r="H9" s="2">
        <v>538.32438185573301</v>
      </c>
      <c r="I9" s="2">
        <v>568.82286594926404</v>
      </c>
      <c r="J9" s="2">
        <v>814.42559382156196</v>
      </c>
      <c r="K9" s="2">
        <v>1221.7407864525301</v>
      </c>
      <c r="L9" s="2">
        <v>1256.0228709180101</v>
      </c>
    </row>
    <row r="10" spans="2:12" x14ac:dyDescent="0.3">
      <c r="B10" s="43"/>
      <c r="C10" s="3">
        <v>8</v>
      </c>
      <c r="D10" s="2">
        <v>186.48663470848601</v>
      </c>
      <c r="E10" s="2">
        <v>275.83274322530002</v>
      </c>
      <c r="F10" s="2">
        <v>329.24510869442997</v>
      </c>
      <c r="G10" s="2">
        <v>441.71252483450297</v>
      </c>
      <c r="H10" s="2">
        <v>538.33265995773502</v>
      </c>
      <c r="I10" s="2">
        <v>568.67399445313504</v>
      </c>
      <c r="J10" s="2">
        <v>814.31615134132096</v>
      </c>
      <c r="K10" s="2">
        <v>1221.7491236397</v>
      </c>
      <c r="L10" s="2">
        <v>1256.0375695877501</v>
      </c>
    </row>
    <row r="11" spans="2:12" x14ac:dyDescent="0.3">
      <c r="B11" s="43"/>
      <c r="C11" s="3">
        <v>9</v>
      </c>
      <c r="D11" s="2">
        <v>186.39102504585301</v>
      </c>
      <c r="E11" s="2">
        <v>275.90658908519401</v>
      </c>
      <c r="F11" s="2">
        <v>329.21610380726497</v>
      </c>
      <c r="G11" s="2">
        <v>441.61162555750298</v>
      </c>
      <c r="H11" s="2">
        <v>538.22503470072797</v>
      </c>
      <c r="I11" s="2">
        <v>568.53740135792896</v>
      </c>
      <c r="J11" s="2">
        <v>814.37790997753302</v>
      </c>
      <c r="K11" s="2">
        <v>1221.70066294355</v>
      </c>
      <c r="L11" s="2">
        <v>1256.0056377758001</v>
      </c>
    </row>
    <row r="12" spans="2:12" x14ac:dyDescent="0.3">
      <c r="B12" s="43"/>
      <c r="C12" s="6">
        <v>10</v>
      </c>
      <c r="D12" s="2">
        <v>186.46956514984601</v>
      </c>
      <c r="E12" s="2">
        <v>276.03346549935998</v>
      </c>
      <c r="F12" s="2">
        <v>329.16775664912501</v>
      </c>
      <c r="G12" s="2">
        <v>441.57270110348998</v>
      </c>
      <c r="H12" s="2">
        <v>538.31846884779395</v>
      </c>
      <c r="I12" s="2">
        <v>568.49372942943</v>
      </c>
      <c r="J12" s="2">
        <v>814.46389521531</v>
      </c>
      <c r="K12" s="2">
        <v>1221.7512079276</v>
      </c>
      <c r="L12" s="2">
        <v>1256.05632281322</v>
      </c>
    </row>
    <row r="13" spans="2:12" x14ac:dyDescent="0.3">
      <c r="C13" s="3" t="s">
        <v>21</v>
      </c>
      <c r="D13" s="5">
        <f>AVERAGE(D3:D12)</f>
        <v>186.4627322435683</v>
      </c>
      <c r="E13" s="5">
        <f t="shared" ref="E13:L13" si="0">AVERAGE(E3:E12)</f>
        <v>275.99169270076476</v>
      </c>
      <c r="F13" s="5">
        <f t="shared" si="0"/>
        <v>329.22634811835962</v>
      </c>
      <c r="G13" s="5">
        <f t="shared" si="0"/>
        <v>441.65457870397768</v>
      </c>
      <c r="H13" s="5">
        <f t="shared" si="0"/>
        <v>538.23863181737966</v>
      </c>
      <c r="I13" s="5">
        <f t="shared" si="0"/>
        <v>568.61218593388935</v>
      </c>
      <c r="J13" s="5">
        <f t="shared" si="0"/>
        <v>814.39244731385156</v>
      </c>
      <c r="K13" s="5">
        <f t="shared" si="0"/>
        <v>1221.7431831703541</v>
      </c>
      <c r="L13" s="5">
        <f t="shared" si="0"/>
        <v>1256.0260132449832</v>
      </c>
    </row>
    <row r="14" spans="2:12" ht="27.6" customHeight="1" x14ac:dyDescent="0.3">
      <c r="C14" s="1" t="s">
        <v>22</v>
      </c>
      <c r="D14" s="3">
        <f>(D2/D13)*1000</f>
        <v>19.655402213095147</v>
      </c>
      <c r="E14" s="3">
        <f t="shared" ref="E14:L14" si="1">(E2/E13)*1000</f>
        <v>19.558559705826401</v>
      </c>
      <c r="F14" s="3">
        <f t="shared" si="1"/>
        <v>19.533673525084943</v>
      </c>
      <c r="G14" s="3">
        <f t="shared" si="1"/>
        <v>19.458645770680878</v>
      </c>
      <c r="H14" s="3">
        <f t="shared" si="1"/>
        <v>19.430043445020353</v>
      </c>
      <c r="I14" s="3">
        <f t="shared" si="1"/>
        <v>19.426245643782739</v>
      </c>
      <c r="J14" s="3">
        <f t="shared" si="1"/>
        <v>19.400965777757239</v>
      </c>
      <c r="K14" s="3">
        <f t="shared" si="1"/>
        <v>19.372320080053882</v>
      </c>
      <c r="L14" s="3">
        <f t="shared" si="1"/>
        <v>19.362656301336074</v>
      </c>
    </row>
    <row r="15" spans="2:12" x14ac:dyDescent="0.3">
      <c r="D15" s="3" t="s">
        <v>23</v>
      </c>
      <c r="E15" s="3" t="s">
        <v>24</v>
      </c>
      <c r="F15" s="3" t="s">
        <v>25</v>
      </c>
      <c r="G15" s="3" t="s">
        <v>26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</row>
    <row r="18" spans="2:17" x14ac:dyDescent="0.3">
      <c r="B18" s="43" t="s">
        <v>32</v>
      </c>
      <c r="D18" s="7">
        <v>3.665</v>
      </c>
      <c r="E18" s="8">
        <v>5.3979999999999997</v>
      </c>
      <c r="F18" s="8">
        <v>6.431</v>
      </c>
      <c r="G18" s="7">
        <v>8.5939999999999994</v>
      </c>
      <c r="H18" s="8">
        <v>10.458</v>
      </c>
      <c r="I18" s="8">
        <v>11.045999999999999</v>
      </c>
      <c r="J18" s="7">
        <v>15.8</v>
      </c>
      <c r="K18" s="8">
        <v>23.667999999999999</v>
      </c>
      <c r="L18" s="7">
        <v>24.32</v>
      </c>
      <c r="N18" s="8" t="s">
        <v>33</v>
      </c>
      <c r="O18" s="7" t="s">
        <v>34</v>
      </c>
      <c r="Q18" s="3" t="s">
        <v>35</v>
      </c>
    </row>
    <row r="19" spans="2:17" x14ac:dyDescent="0.3">
      <c r="B19" s="43"/>
      <c r="C19" s="1" t="s">
        <v>22</v>
      </c>
      <c r="D19" s="7">
        <f>D14</f>
        <v>19.655402213095147</v>
      </c>
      <c r="E19" s="8"/>
      <c r="F19" s="8"/>
      <c r="G19" s="7">
        <f>G14</f>
        <v>19.458645770680878</v>
      </c>
      <c r="H19" s="8"/>
      <c r="I19" s="8"/>
      <c r="J19" s="7">
        <f>J14</f>
        <v>19.400965777757239</v>
      </c>
      <c r="K19" s="8"/>
      <c r="L19" s="7">
        <f>L14</f>
        <v>19.362656301336074</v>
      </c>
      <c r="Q19" s="3">
        <f>G14</f>
        <v>19.458645770680878</v>
      </c>
    </row>
    <row r="20" spans="2:17" x14ac:dyDescent="0.3">
      <c r="B20" s="43"/>
      <c r="C20" s="3" t="s">
        <v>36</v>
      </c>
      <c r="D20" s="9">
        <f>D13</f>
        <v>186.4627322435683</v>
      </c>
      <c r="E20" s="10">
        <f>E13</f>
        <v>275.99169270076476</v>
      </c>
      <c r="F20" s="10">
        <f t="shared" ref="F20:L20" si="2">F13</f>
        <v>329.22634811835962</v>
      </c>
      <c r="G20" s="9">
        <f t="shared" si="2"/>
        <v>441.65457870397768</v>
      </c>
      <c r="H20" s="10">
        <f t="shared" si="2"/>
        <v>538.23863181737966</v>
      </c>
      <c r="I20" s="10">
        <f t="shared" si="2"/>
        <v>568.61218593388935</v>
      </c>
      <c r="J20" s="9">
        <f t="shared" si="2"/>
        <v>814.39244731385156</v>
      </c>
      <c r="K20" s="10">
        <f t="shared" si="2"/>
        <v>1221.7431831703541</v>
      </c>
      <c r="L20" s="9">
        <f t="shared" si="2"/>
        <v>1256.0260132449832</v>
      </c>
    </row>
    <row r="21" spans="2:17" x14ac:dyDescent="0.3">
      <c r="B21" s="43"/>
      <c r="C21" s="6" t="s">
        <v>37</v>
      </c>
      <c r="D21" s="11"/>
      <c r="E21" s="12">
        <f>E20*$Q$19/1000</f>
        <v>5.3704245839147928</v>
      </c>
      <c r="F21" s="12">
        <f>F20*$Q$19/1000</f>
        <v>6.4062988864100285</v>
      </c>
      <c r="G21" s="11"/>
      <c r="H21" s="12">
        <f>H20*$Q$19/1000</f>
        <v>10.473394876630316</v>
      </c>
      <c r="I21" s="12">
        <f>I20*$Q$19/1000</f>
        <v>11.064423106980085</v>
      </c>
      <c r="J21" s="11"/>
      <c r="K21" s="12">
        <f>K20*$Q$19/1000</f>
        <v>23.773467824056002</v>
      </c>
      <c r="L21" s="11"/>
    </row>
    <row r="22" spans="2:17" x14ac:dyDescent="0.3">
      <c r="B22" s="43"/>
      <c r="C22" s="3" t="s">
        <v>38</v>
      </c>
      <c r="D22" s="7"/>
      <c r="E22" s="8">
        <f>ABS(E21-E18)*1000</f>
        <v>27.575416085206861</v>
      </c>
      <c r="F22" s="8">
        <f>ABS(F21-F18)*1000</f>
        <v>24.701113589971513</v>
      </c>
      <c r="G22" s="7"/>
      <c r="H22" s="8">
        <f>ABS(H21-H18)*1000</f>
        <v>15.394876630315579</v>
      </c>
      <c r="I22" s="8">
        <f>ABS(I21-I18)*1000</f>
        <v>18.423106980085535</v>
      </c>
      <c r="J22" s="7"/>
      <c r="K22" s="8">
        <f>ABS(K21-K18)*1000</f>
        <v>105.46782405600297</v>
      </c>
      <c r="L22" s="7"/>
    </row>
    <row r="23" spans="2:17" x14ac:dyDescent="0.3">
      <c r="C23" s="3" t="s">
        <v>39</v>
      </c>
      <c r="D23" s="7"/>
      <c r="E23" s="8">
        <f>E22/E18/10</f>
        <v>0.5108450553020909</v>
      </c>
      <c r="F23" s="8">
        <f>F22/F18/10</f>
        <v>0.38409444238798807</v>
      </c>
      <c r="G23" s="7"/>
      <c r="H23" s="8">
        <f>H22/H18/10</f>
        <v>0.14720669946754233</v>
      </c>
      <c r="I23" s="8">
        <f>I22/I18/10</f>
        <v>0.16678532482423986</v>
      </c>
      <c r="J23" s="7"/>
      <c r="K23" s="8">
        <f>K22/K18/10</f>
        <v>0.44561358820349406</v>
      </c>
      <c r="L23" s="7"/>
    </row>
    <row r="26" spans="2:17" x14ac:dyDescent="0.3">
      <c r="B26" s="43" t="s">
        <v>40</v>
      </c>
      <c r="D26" s="7">
        <v>3.665</v>
      </c>
      <c r="E26" s="8">
        <v>5.3979999999999997</v>
      </c>
      <c r="F26" s="8">
        <v>6.431</v>
      </c>
      <c r="G26" s="7">
        <v>8.5939999999999994</v>
      </c>
      <c r="H26" s="8">
        <v>10.458</v>
      </c>
      <c r="I26" s="8">
        <v>11.045999999999999</v>
      </c>
      <c r="J26" s="7">
        <v>15.8</v>
      </c>
      <c r="K26" s="8">
        <v>23.667999999999999</v>
      </c>
      <c r="L26" s="7">
        <v>24.32</v>
      </c>
      <c r="N26" s="8" t="s">
        <v>33</v>
      </c>
      <c r="O26" s="7" t="s">
        <v>34</v>
      </c>
    </row>
    <row r="27" spans="2:17" x14ac:dyDescent="0.3">
      <c r="B27" s="43"/>
      <c r="C27" s="1" t="s">
        <v>22</v>
      </c>
      <c r="D27" s="7">
        <f>D14</f>
        <v>19.655402213095147</v>
      </c>
      <c r="E27" s="8"/>
      <c r="F27" s="8"/>
      <c r="G27" s="7">
        <f>G14</f>
        <v>19.458645770680878</v>
      </c>
      <c r="H27" s="8"/>
      <c r="I27" s="8"/>
      <c r="J27" s="7">
        <f>J14</f>
        <v>19.400965777757239</v>
      </c>
      <c r="K27" s="8"/>
      <c r="L27" s="7">
        <f>L14</f>
        <v>19.362656301336074</v>
      </c>
    </row>
    <row r="28" spans="2:17" x14ac:dyDescent="0.3">
      <c r="B28" s="43"/>
      <c r="C28" s="3" t="s">
        <v>36</v>
      </c>
      <c r="D28" s="9">
        <f t="shared" ref="D28:L28" si="3">D13</f>
        <v>186.4627322435683</v>
      </c>
      <c r="E28" s="10">
        <f t="shared" si="3"/>
        <v>275.99169270076476</v>
      </c>
      <c r="F28" s="10">
        <f t="shared" si="3"/>
        <v>329.22634811835962</v>
      </c>
      <c r="G28" s="9">
        <f t="shared" si="3"/>
        <v>441.65457870397768</v>
      </c>
      <c r="H28" s="10">
        <f t="shared" si="3"/>
        <v>538.23863181737966</v>
      </c>
      <c r="I28" s="10">
        <f t="shared" si="3"/>
        <v>568.61218593388935</v>
      </c>
      <c r="J28" s="9">
        <f t="shared" si="3"/>
        <v>814.39244731385156</v>
      </c>
      <c r="K28" s="10">
        <f t="shared" si="3"/>
        <v>1221.7431831703541</v>
      </c>
      <c r="L28" s="9">
        <f t="shared" si="3"/>
        <v>1256.0260132449832</v>
      </c>
    </row>
    <row r="29" spans="2:17" x14ac:dyDescent="0.3">
      <c r="B29" s="43"/>
      <c r="C29" s="6" t="s">
        <v>37</v>
      </c>
      <c r="D29" s="11"/>
      <c r="E29" s="12">
        <f>(E28*D27)/1000</f>
        <v>5.4247277275064869</v>
      </c>
      <c r="F29" s="12">
        <f>(F28*G27)/1000</f>
        <v>6.4062988864100285</v>
      </c>
      <c r="G29" s="11"/>
      <c r="H29" s="12">
        <f>(H28*G27)/1000</f>
        <v>10.473394876630316</v>
      </c>
      <c r="I29" s="12">
        <f>(I28*J27)/1000</f>
        <v>11.031625560119124</v>
      </c>
      <c r="J29" s="11"/>
      <c r="K29" s="12">
        <f>(K28*J27)/1000</f>
        <v>23.702997685896232</v>
      </c>
      <c r="L29" s="11"/>
    </row>
    <row r="30" spans="2:17" x14ac:dyDescent="0.3">
      <c r="B30" s="43"/>
      <c r="C30" s="3" t="s">
        <v>38</v>
      </c>
      <c r="D30" s="7"/>
      <c r="E30" s="8">
        <f>ABS(E29-E26)*1000</f>
        <v>26.72772750648722</v>
      </c>
      <c r="F30" s="8">
        <f>ABS(F29-F26)*1000</f>
        <v>24.701113589971513</v>
      </c>
      <c r="G30" s="7"/>
      <c r="H30" s="8">
        <f>ABS(H29-H26)*1000</f>
        <v>15.394876630315579</v>
      </c>
      <c r="I30" s="8">
        <f>ABS(I29-I26)*1000</f>
        <v>14.374439880874945</v>
      </c>
      <c r="J30" s="7"/>
      <c r="K30" s="8">
        <f>ABS(K29-K26)*1000</f>
        <v>34.997685896232866</v>
      </c>
      <c r="L30" s="7"/>
    </row>
    <row r="31" spans="2:17" x14ac:dyDescent="0.3">
      <c r="C31" s="3" t="s">
        <v>39</v>
      </c>
      <c r="D31" s="7"/>
      <c r="E31" s="8">
        <f>E30/E26/10</f>
        <v>0.49514130245437615</v>
      </c>
      <c r="F31" s="8">
        <f>F30/F26/10</f>
        <v>0.38409444238798807</v>
      </c>
      <c r="G31" s="7"/>
      <c r="H31" s="8">
        <f>H30/H26/10</f>
        <v>0.14720669946754233</v>
      </c>
      <c r="I31" s="8">
        <f>I30/I26/10</f>
        <v>0.13013253558641089</v>
      </c>
      <c r="J31" s="7"/>
      <c r="K31" s="8">
        <f>K30/K26/10</f>
        <v>0.14786921538039915</v>
      </c>
      <c r="L31" s="7"/>
    </row>
    <row r="34" spans="2:16" x14ac:dyDescent="0.3">
      <c r="B34" s="43" t="s">
        <v>41</v>
      </c>
      <c r="D34" s="7">
        <v>3.665</v>
      </c>
      <c r="E34" s="8">
        <v>5.3979999999999997</v>
      </c>
      <c r="F34" s="8">
        <v>6.431</v>
      </c>
      <c r="G34" s="7">
        <v>8.5939999999999994</v>
      </c>
      <c r="H34" s="8">
        <v>10.458</v>
      </c>
      <c r="I34" s="8">
        <v>11.045999999999999</v>
      </c>
      <c r="J34" s="7">
        <v>15.8</v>
      </c>
      <c r="K34" s="8">
        <v>23.667999999999999</v>
      </c>
      <c r="L34" s="7">
        <v>24.32</v>
      </c>
      <c r="N34" s="8" t="s">
        <v>33</v>
      </c>
      <c r="O34" s="7" t="s">
        <v>34</v>
      </c>
    </row>
    <row r="35" spans="2:16" x14ac:dyDescent="0.3">
      <c r="B35" s="43"/>
      <c r="C35" s="1" t="s">
        <v>22</v>
      </c>
      <c r="D35" s="7">
        <f>D14</f>
        <v>19.655402213095147</v>
      </c>
      <c r="E35" s="8"/>
      <c r="F35" s="8"/>
      <c r="G35" s="7">
        <f>G14</f>
        <v>19.458645770680878</v>
      </c>
      <c r="H35" s="8"/>
      <c r="I35" s="8"/>
      <c r="J35" s="7">
        <f>J14</f>
        <v>19.400965777757239</v>
      </c>
      <c r="K35" s="8"/>
      <c r="L35" s="7">
        <f>L14</f>
        <v>19.362656301336074</v>
      </c>
      <c r="N35" s="7">
        <v>1</v>
      </c>
      <c r="O35" s="5">
        <f>D14</f>
        <v>19.655402213095147</v>
      </c>
      <c r="P35" s="5">
        <f>D36</f>
        <v>186.4627322435683</v>
      </c>
    </row>
    <row r="36" spans="2:16" x14ac:dyDescent="0.3">
      <c r="B36" s="43"/>
      <c r="C36" s="3" t="s">
        <v>36</v>
      </c>
      <c r="D36" s="9">
        <f t="shared" ref="D36:L36" si="4">D13</f>
        <v>186.4627322435683</v>
      </c>
      <c r="E36" s="10">
        <f t="shared" si="4"/>
        <v>275.99169270076476</v>
      </c>
      <c r="F36" s="10">
        <f t="shared" si="4"/>
        <v>329.22634811835962</v>
      </c>
      <c r="G36" s="9">
        <f t="shared" si="4"/>
        <v>441.65457870397768</v>
      </c>
      <c r="H36" s="10">
        <f t="shared" si="4"/>
        <v>538.23863181737966</v>
      </c>
      <c r="I36" s="10">
        <f t="shared" si="4"/>
        <v>568.61218593388935</v>
      </c>
      <c r="J36" s="9">
        <f t="shared" si="4"/>
        <v>814.39244731385156</v>
      </c>
      <c r="K36" s="10">
        <f t="shared" si="4"/>
        <v>1221.7431831703541</v>
      </c>
      <c r="L36" s="9">
        <f t="shared" si="4"/>
        <v>1256.0260132449832</v>
      </c>
      <c r="N36" s="7">
        <v>3</v>
      </c>
      <c r="O36" s="5">
        <f>G14</f>
        <v>19.458645770680878</v>
      </c>
      <c r="P36" s="5">
        <f>G36</f>
        <v>441.65457870397768</v>
      </c>
    </row>
    <row r="37" spans="2:16" x14ac:dyDescent="0.3">
      <c r="B37" s="43"/>
      <c r="C37" s="6" t="s">
        <v>37</v>
      </c>
      <c r="D37" s="11"/>
      <c r="E37" s="12">
        <f>(E36*-0.00077101+19.79916756)*E36/1000</f>
        <v>5.4056768467032148</v>
      </c>
      <c r="F37" s="12">
        <f>(F36*-0.00077101+19.79916756)*F36/1000</f>
        <v>6.4348378666866948</v>
      </c>
      <c r="G37" s="11"/>
      <c r="H37" s="12">
        <f>(H36*-0.00015475 + 19.5269904)*H36/1000</f>
        <v>10.465349393772302</v>
      </c>
      <c r="I37" s="12">
        <f>(I36*-0.00015475 + 19.5269904)*I36/1000</f>
        <v>11.053250954219729</v>
      </c>
      <c r="J37" s="11"/>
      <c r="K37" s="12">
        <f>(K36*-0.00008674 + 19.4716102)*K36/1000</f>
        <v>23.659834010576574</v>
      </c>
      <c r="L37" s="11"/>
      <c r="N37" s="7">
        <v>6</v>
      </c>
      <c r="O37" s="5">
        <f>J14</f>
        <v>19.400965777757239</v>
      </c>
      <c r="P37" s="5">
        <f>J36</f>
        <v>814.39244731385156</v>
      </c>
    </row>
    <row r="38" spans="2:16" x14ac:dyDescent="0.3">
      <c r="B38" s="43"/>
      <c r="C38" s="3" t="s">
        <v>38</v>
      </c>
      <c r="D38" s="7"/>
      <c r="E38" s="8">
        <f>ABS(E37-E34)*1000</f>
        <v>7.6768467032151122</v>
      </c>
      <c r="F38" s="8">
        <f>ABS(F37-F34)*1000</f>
        <v>3.8378666866947242</v>
      </c>
      <c r="G38" s="7"/>
      <c r="H38" s="8">
        <f>ABS(H37-H34)*1000</f>
        <v>7.3493937723014824</v>
      </c>
      <c r="I38" s="8">
        <f>ABS(I37-I34)*1000</f>
        <v>7.2509542197298771</v>
      </c>
      <c r="J38" s="7"/>
      <c r="K38" s="8">
        <f>ABS(K37-K34)*1000</f>
        <v>8.1659894234249464</v>
      </c>
      <c r="L38" s="7"/>
      <c r="N38" s="7">
        <v>12</v>
      </c>
      <c r="O38" s="5">
        <f>L14</f>
        <v>19.362656301336074</v>
      </c>
      <c r="P38" s="5">
        <f>L36</f>
        <v>1256.0260132449832</v>
      </c>
    </row>
    <row r="39" spans="2:16" x14ac:dyDescent="0.3">
      <c r="C39" s="3" t="s">
        <v>39</v>
      </c>
      <c r="D39" s="7"/>
      <c r="E39" s="8">
        <f>E38/E34/10</f>
        <v>0.14221650061532259</v>
      </c>
      <c r="F39" s="8">
        <f>F38/F34/10</f>
        <v>5.9677603587229421E-2</v>
      </c>
      <c r="G39" s="7"/>
      <c r="H39" s="8">
        <f>H38/H34/10</f>
        <v>7.027532771372616E-2</v>
      </c>
      <c r="I39" s="8">
        <f>I38/I34/10</f>
        <v>6.5643257466321533E-2</v>
      </c>
      <c r="J39" s="7"/>
      <c r="K39" s="8">
        <f>K38/K34/10</f>
        <v>3.4502236874366009E-2</v>
      </c>
      <c r="L39" s="7"/>
    </row>
    <row r="42" spans="2:16" x14ac:dyDescent="0.3">
      <c r="B42" s="43" t="s">
        <v>42</v>
      </c>
      <c r="D42" s="7">
        <v>3.665</v>
      </c>
      <c r="E42" s="8">
        <v>5.3979999999999997</v>
      </c>
      <c r="F42" s="8">
        <v>6.431</v>
      </c>
      <c r="G42" s="7">
        <v>8.5939999999999994</v>
      </c>
      <c r="H42" s="8">
        <v>10.458</v>
      </c>
      <c r="I42" s="8">
        <v>11.045999999999999</v>
      </c>
      <c r="J42" s="7">
        <v>15.8</v>
      </c>
      <c r="K42" s="8">
        <v>23.667999999999999</v>
      </c>
      <c r="L42" s="7">
        <v>24.32</v>
      </c>
      <c r="N42" s="8" t="s">
        <v>33</v>
      </c>
      <c r="O42" s="7" t="s">
        <v>34</v>
      </c>
    </row>
    <row r="43" spans="2:16" x14ac:dyDescent="0.3">
      <c r="B43" s="43"/>
      <c r="C43" s="1" t="s">
        <v>22</v>
      </c>
      <c r="D43" s="7">
        <f>D14</f>
        <v>19.655402213095147</v>
      </c>
      <c r="E43" s="8"/>
      <c r="F43" s="8"/>
      <c r="G43" s="7">
        <f>G14</f>
        <v>19.458645770680878</v>
      </c>
      <c r="H43" s="8"/>
      <c r="I43" s="8"/>
      <c r="J43" s="7">
        <f>J14</f>
        <v>19.400965777757239</v>
      </c>
      <c r="K43" s="8"/>
      <c r="L43" s="7">
        <f>L14</f>
        <v>19.362656301336074</v>
      </c>
      <c r="N43" s="7">
        <v>1</v>
      </c>
      <c r="O43" s="5">
        <f>D14</f>
        <v>19.655402213095147</v>
      </c>
      <c r="P43" s="5">
        <f>D44</f>
        <v>186.4627322435683</v>
      </c>
    </row>
    <row r="44" spans="2:16" ht="14.4" customHeight="1" x14ac:dyDescent="0.3">
      <c r="B44" s="43"/>
      <c r="C44" s="3" t="s">
        <v>36</v>
      </c>
      <c r="D44" s="9">
        <f t="shared" ref="D44:L44" si="5">D13</f>
        <v>186.4627322435683</v>
      </c>
      <c r="E44" s="10">
        <f t="shared" si="5"/>
        <v>275.99169270076476</v>
      </c>
      <c r="F44" s="10">
        <f t="shared" si="5"/>
        <v>329.22634811835962</v>
      </c>
      <c r="G44" s="9">
        <f t="shared" si="5"/>
        <v>441.65457870397768</v>
      </c>
      <c r="H44" s="10">
        <f t="shared" si="5"/>
        <v>538.23863181737966</v>
      </c>
      <c r="I44" s="10">
        <f t="shared" si="5"/>
        <v>568.61218593388935</v>
      </c>
      <c r="J44" s="9">
        <f t="shared" si="5"/>
        <v>814.39244731385156</v>
      </c>
      <c r="K44" s="10">
        <f t="shared" si="5"/>
        <v>1221.7431831703541</v>
      </c>
      <c r="L44" s="9">
        <f t="shared" si="5"/>
        <v>1256.0260132449832</v>
      </c>
      <c r="N44" s="7">
        <v>3</v>
      </c>
      <c r="O44" s="5">
        <f>G14</f>
        <v>19.458645770680878</v>
      </c>
      <c r="P44" s="5">
        <f>G44</f>
        <v>441.65457870397768</v>
      </c>
    </row>
    <row r="45" spans="2:16" x14ac:dyDescent="0.3">
      <c r="B45" s="43"/>
      <c r="C45" s="6" t="s">
        <v>37</v>
      </c>
      <c r="D45" s="11"/>
      <c r="E45" s="12">
        <f>(E44*E44*0.00000039-E44*0.00080873+19.77650348)*E44/1000</f>
        <v>5.4047474074144359</v>
      </c>
      <c r="F45" s="12">
        <f>(F44*F44*0.00000039-F44*0.00080873+19.77650348)*F44/1000</f>
        <v>6.4372048716437682</v>
      </c>
      <c r="G45" s="11"/>
      <c r="H45" s="12">
        <f>(H44*H44*0.00000039-H44*0.00080873+19.77650348)*H44/1000</f>
        <v>10.471000415652854</v>
      </c>
      <c r="I45" s="12">
        <f>(I44*I44*0.00000039-I44*0.00080873+19.77650348)*I44/1000</f>
        <v>11.055381436988025</v>
      </c>
      <c r="J45" s="11"/>
      <c r="K45" s="12">
        <f>(K44*K44*0.00000039-K44*0.00080873+19.77650348)*K44/1000</f>
        <v>23.665872986185551</v>
      </c>
      <c r="L45" s="11"/>
      <c r="N45" s="7">
        <v>6</v>
      </c>
      <c r="O45" s="5">
        <f>J14</f>
        <v>19.400965777757239</v>
      </c>
      <c r="P45" s="5">
        <f>J44</f>
        <v>814.39244731385156</v>
      </c>
    </row>
    <row r="46" spans="2:16" x14ac:dyDescent="0.3">
      <c r="B46" s="43"/>
      <c r="C46" s="3" t="s">
        <v>38</v>
      </c>
      <c r="D46" s="7"/>
      <c r="E46" s="8">
        <f>ABS(E45-E42)*1000</f>
        <v>6.7474074144362461</v>
      </c>
      <c r="F46" s="8">
        <f>ABS(F45-F42)*1000</f>
        <v>6.2048716437681506</v>
      </c>
      <c r="G46" s="7"/>
      <c r="H46" s="8">
        <f>ABS(H45-H42)*1000</f>
        <v>13.000415652854258</v>
      </c>
      <c r="I46" s="8">
        <f>ABS(I45-I42)*1000</f>
        <v>9.3814369880256265</v>
      </c>
      <c r="J46" s="7"/>
      <c r="K46" s="8">
        <f>ABS(K45-K42)*1000</f>
        <v>2.12701381444802</v>
      </c>
      <c r="L46" s="7"/>
      <c r="N46" s="7">
        <v>12</v>
      </c>
      <c r="O46" s="5">
        <f>L14</f>
        <v>19.362656301336074</v>
      </c>
      <c r="P46" s="5">
        <f>L44</f>
        <v>1256.0260132449832</v>
      </c>
    </row>
    <row r="47" spans="2:16" x14ac:dyDescent="0.3">
      <c r="C47" s="3" t="s">
        <v>39</v>
      </c>
      <c r="D47" s="7"/>
      <c r="E47" s="8">
        <f>E46/E42/10</f>
        <v>0.12499828481727022</v>
      </c>
      <c r="F47" s="8">
        <f>F46/F42/10</f>
        <v>9.6483776143183805E-2</v>
      </c>
      <c r="G47" s="7"/>
      <c r="H47" s="8">
        <f>H46/H42/10</f>
        <v>0.12431072530937329</v>
      </c>
      <c r="I47" s="8">
        <f>I46/I42/10</f>
        <v>8.4930626362716158E-2</v>
      </c>
      <c r="J47" s="7"/>
      <c r="K47" s="8">
        <f>K46/K42/10</f>
        <v>8.9868760116952016E-3</v>
      </c>
      <c r="L47" s="7"/>
    </row>
    <row r="49" spans="2:24" x14ac:dyDescent="0.3">
      <c r="N49" s="13"/>
      <c r="O49" s="13"/>
      <c r="P49" s="13"/>
      <c r="Q49" s="13"/>
      <c r="R49" s="13"/>
      <c r="S49" s="13"/>
      <c r="V49" s="13"/>
      <c r="W49" s="13"/>
    </row>
    <row r="50" spans="2:24" x14ac:dyDescent="0.3">
      <c r="B50" s="43" t="s">
        <v>43</v>
      </c>
      <c r="D50" s="7">
        <v>3.665</v>
      </c>
      <c r="E50" s="8">
        <v>5.3979999999999997</v>
      </c>
      <c r="F50" s="8">
        <v>6.431</v>
      </c>
      <c r="G50" s="7">
        <v>8.5939999999999994</v>
      </c>
      <c r="H50" s="8">
        <v>10.458</v>
      </c>
      <c r="I50" s="8">
        <v>11.045999999999999</v>
      </c>
      <c r="J50" s="7">
        <v>15.8</v>
      </c>
      <c r="K50" s="8">
        <v>23.667999999999999</v>
      </c>
      <c r="L50" s="7">
        <v>24.32</v>
      </c>
      <c r="N50" s="13"/>
      <c r="O50" s="43" t="s">
        <v>44</v>
      </c>
      <c r="P50" s="43"/>
      <c r="Q50" s="13"/>
      <c r="R50" s="13"/>
      <c r="S50" s="43" t="s">
        <v>45</v>
      </c>
      <c r="T50" s="43"/>
      <c r="V50" s="13"/>
      <c r="W50" s="44" t="s">
        <v>46</v>
      </c>
      <c r="X50" s="44"/>
    </row>
    <row r="51" spans="2:24" x14ac:dyDescent="0.3">
      <c r="B51" s="43"/>
      <c r="C51" s="1" t="s">
        <v>22</v>
      </c>
      <c r="D51" s="7">
        <f>D14</f>
        <v>19.655402213095147</v>
      </c>
      <c r="E51" s="8"/>
      <c r="F51" s="8"/>
      <c r="G51" s="7">
        <f>G14</f>
        <v>19.458645770680878</v>
      </c>
      <c r="H51" s="8"/>
      <c r="I51" s="8"/>
      <c r="J51" s="7">
        <f>J14</f>
        <v>19.400965777757239</v>
      </c>
      <c r="K51" s="8"/>
      <c r="L51" s="7">
        <f>L14</f>
        <v>19.362656301336074</v>
      </c>
      <c r="N51" s="7">
        <v>1</v>
      </c>
      <c r="O51" s="14">
        <f>D13</f>
        <v>186.4627322435683</v>
      </c>
      <c r="P51" s="5">
        <v>3.665</v>
      </c>
      <c r="R51" s="7">
        <v>3</v>
      </c>
      <c r="S51" s="14">
        <f>G13</f>
        <v>441.65457870397768</v>
      </c>
      <c r="T51" s="5">
        <v>8.5939999999999994</v>
      </c>
      <c r="V51" s="7">
        <v>6</v>
      </c>
      <c r="W51" s="14">
        <f>J13</f>
        <v>814.39244731385156</v>
      </c>
      <c r="X51" s="5">
        <v>15.8</v>
      </c>
    </row>
    <row r="52" spans="2:24" x14ac:dyDescent="0.3">
      <c r="B52" s="43"/>
      <c r="C52" s="3" t="s">
        <v>36</v>
      </c>
      <c r="D52" s="9">
        <f t="shared" ref="D52:L52" si="6">D13</f>
        <v>186.4627322435683</v>
      </c>
      <c r="E52" s="10">
        <f t="shared" si="6"/>
        <v>275.99169270076476</v>
      </c>
      <c r="F52" s="10">
        <f t="shared" si="6"/>
        <v>329.22634811835962</v>
      </c>
      <c r="G52" s="9">
        <f t="shared" si="6"/>
        <v>441.65457870397768</v>
      </c>
      <c r="H52" s="10">
        <f t="shared" si="6"/>
        <v>538.23863181737966</v>
      </c>
      <c r="I52" s="10">
        <f t="shared" si="6"/>
        <v>568.61218593388935</v>
      </c>
      <c r="J52" s="9">
        <f t="shared" si="6"/>
        <v>814.39244731385156</v>
      </c>
      <c r="K52" s="10">
        <f t="shared" si="6"/>
        <v>1221.7431831703541</v>
      </c>
      <c r="L52" s="9">
        <f t="shared" si="6"/>
        <v>1256.0260132449832</v>
      </c>
      <c r="N52" s="7">
        <v>3</v>
      </c>
      <c r="O52" s="14">
        <f>G13</f>
        <v>441.65457870397768</v>
      </c>
      <c r="P52" s="5">
        <v>8.5939999999999994</v>
      </c>
      <c r="R52" s="7">
        <v>6</v>
      </c>
      <c r="S52" s="14">
        <f>J13</f>
        <v>814.39244731385156</v>
      </c>
      <c r="T52" s="5">
        <v>15.8</v>
      </c>
      <c r="V52" s="7">
        <v>12</v>
      </c>
      <c r="W52" s="14">
        <f>L13</f>
        <v>1256.0260132449832</v>
      </c>
      <c r="X52" s="5">
        <v>24.32</v>
      </c>
    </row>
    <row r="53" spans="2:24" x14ac:dyDescent="0.3">
      <c r="B53" s="43"/>
      <c r="C53" s="6" t="s">
        <v>37</v>
      </c>
      <c r="D53" s="11"/>
      <c r="E53" s="12">
        <f>E52*0.019315 + 0.063495</f>
        <v>5.3942745445152704</v>
      </c>
      <c r="F53" s="12">
        <f>F52*0.019315 + 0.063495</f>
        <v>6.4225019139061157</v>
      </c>
      <c r="G53" s="11"/>
      <c r="H53" s="12">
        <f>H52*0.019333 + 0.055659</f>
        <v>10.461426468925401</v>
      </c>
      <c r="I53" s="12">
        <f>I52*0.019333 + 0.055659</f>
        <v>11.048638390659884</v>
      </c>
      <c r="J53" s="11"/>
      <c r="K53" s="12">
        <f>K52*0.019292 + 0.088731</f>
        <v>23.65860048972247</v>
      </c>
      <c r="L53" s="11"/>
    </row>
    <row r="54" spans="2:24" x14ac:dyDescent="0.3">
      <c r="B54" s="43"/>
      <c r="C54" s="3" t="s">
        <v>38</v>
      </c>
      <c r="D54" s="7"/>
      <c r="E54" s="8">
        <f>ABS(E50-E53)*1000</f>
        <v>3.7254554847292454</v>
      </c>
      <c r="F54" s="8">
        <f>ABS(F50-F53)*1000</f>
        <v>8.4980860938843605</v>
      </c>
      <c r="G54" s="7"/>
      <c r="H54" s="8">
        <f>ABS(H50-H53)*1000</f>
        <v>3.4264689254008829</v>
      </c>
      <c r="I54" s="8">
        <f>ABS(I50-I53)*1000</f>
        <v>2.6383906598841378</v>
      </c>
      <c r="J54" s="7"/>
      <c r="K54" s="8">
        <f>ABS(K50-K53)*1000</f>
        <v>9.3995102775288331</v>
      </c>
      <c r="L54" s="7"/>
    </row>
    <row r="55" spans="2:24" x14ac:dyDescent="0.3">
      <c r="C55" s="3" t="s">
        <v>39</v>
      </c>
      <c r="D55" s="7"/>
      <c r="E55" s="8">
        <f>E54/E50/10</f>
        <v>6.9015477671901554E-2</v>
      </c>
      <c r="F55" s="8">
        <f>F54/F50/10</f>
        <v>0.13214252983804015</v>
      </c>
      <c r="G55" s="7"/>
      <c r="H55" s="8">
        <f>H54/H50/10</f>
        <v>3.276409375980955E-2</v>
      </c>
      <c r="I55" s="8">
        <f>I54/I50/10</f>
        <v>2.3885484880356127E-2</v>
      </c>
      <c r="J55" s="7"/>
      <c r="K55" s="8">
        <f>K54/K50/10</f>
        <v>3.9714003200645734E-2</v>
      </c>
      <c r="L55" s="7"/>
    </row>
    <row r="57" spans="2:24" x14ac:dyDescent="0.3">
      <c r="G57" s="3" t="s">
        <v>47</v>
      </c>
      <c r="H57" s="3">
        <f>(E55+F55+H55+I55+K55)/5</f>
        <v>5.9504317870150612E-2</v>
      </c>
    </row>
    <row r="63" spans="2:24" x14ac:dyDescent="0.3">
      <c r="B63" s="43" t="s">
        <v>48</v>
      </c>
      <c r="D63" s="7">
        <v>3.665</v>
      </c>
      <c r="E63" s="8">
        <v>5.3979999999999997</v>
      </c>
      <c r="F63" s="8">
        <v>6.431</v>
      </c>
      <c r="G63" s="7">
        <v>8.5939999999999994</v>
      </c>
      <c r="H63" s="8">
        <v>10.458</v>
      </c>
      <c r="I63" s="8">
        <v>11.045999999999999</v>
      </c>
      <c r="J63" s="7">
        <v>15.8</v>
      </c>
      <c r="K63" s="8">
        <v>23.667999999999999</v>
      </c>
      <c r="L63" s="7">
        <v>24.32</v>
      </c>
      <c r="O63" s="44" t="s">
        <v>49</v>
      </c>
      <c r="P63" s="44"/>
    </row>
    <row r="64" spans="2:24" x14ac:dyDescent="0.3">
      <c r="B64" s="43"/>
      <c r="C64" s="1" t="s">
        <v>22</v>
      </c>
      <c r="D64" s="7">
        <f>D14</f>
        <v>19.655402213095147</v>
      </c>
      <c r="E64" s="8"/>
      <c r="F64" s="8"/>
      <c r="G64" s="7">
        <f>G14</f>
        <v>19.458645770680878</v>
      </c>
      <c r="H64" s="8"/>
      <c r="I64" s="8"/>
      <c r="J64" s="7">
        <f>J14</f>
        <v>19.400965777757239</v>
      </c>
      <c r="K64" s="8"/>
      <c r="L64" s="7">
        <f>L14</f>
        <v>19.362656301336074</v>
      </c>
      <c r="N64" s="7">
        <v>1</v>
      </c>
      <c r="O64" s="5">
        <f>D13</f>
        <v>186.4627322435683</v>
      </c>
      <c r="P64" s="3">
        <v>3.665</v>
      </c>
    </row>
    <row r="65" spans="2:16" x14ac:dyDescent="0.3">
      <c r="B65" s="43"/>
      <c r="C65" s="3" t="s">
        <v>36</v>
      </c>
      <c r="D65" s="9">
        <f t="shared" ref="D65:L65" si="7">D13</f>
        <v>186.4627322435683</v>
      </c>
      <c r="E65" s="10">
        <f t="shared" si="7"/>
        <v>275.99169270076476</v>
      </c>
      <c r="F65" s="10">
        <f t="shared" si="7"/>
        <v>329.22634811835962</v>
      </c>
      <c r="G65" s="9">
        <f t="shared" si="7"/>
        <v>441.65457870397768</v>
      </c>
      <c r="H65" s="10">
        <f t="shared" si="7"/>
        <v>538.23863181737966</v>
      </c>
      <c r="I65" s="10">
        <f t="shared" si="7"/>
        <v>568.61218593388935</v>
      </c>
      <c r="J65" s="9">
        <f t="shared" si="7"/>
        <v>814.39244731385156</v>
      </c>
      <c r="K65" s="10">
        <f t="shared" si="7"/>
        <v>1221.7431831703541</v>
      </c>
      <c r="L65" s="9">
        <f t="shared" si="7"/>
        <v>1256.0260132449832</v>
      </c>
      <c r="N65" s="7">
        <v>3</v>
      </c>
      <c r="O65" s="5">
        <f>G13</f>
        <v>441.65457870397768</v>
      </c>
      <c r="P65" s="3">
        <v>8.5939999999999994</v>
      </c>
    </row>
    <row r="66" spans="2:16" x14ac:dyDescent="0.3">
      <c r="B66" s="43"/>
      <c r="C66" s="6" t="s">
        <v>37</v>
      </c>
      <c r="D66" s="11"/>
      <c r="E66" s="12">
        <f>E65*0.019313 + 0.065421</f>
        <v>5.3956485611298692</v>
      </c>
      <c r="F66" s="12">
        <f>F65*0.019313 + 0.065421</f>
        <v>6.4237694612098792</v>
      </c>
      <c r="G66" s="11"/>
      <c r="H66" s="12">
        <f>H65*0.019313 + 0.065421</f>
        <v>10.460423696289054</v>
      </c>
      <c r="I66" s="12">
        <f>I65*0.019313 + 0.065421</f>
        <v>11.047028146941205</v>
      </c>
      <c r="J66" s="11"/>
      <c r="K66" s="12">
        <f>K65*0.019313 + 0.065421</f>
        <v>23.66094709656905</v>
      </c>
      <c r="L66" s="11"/>
      <c r="N66" s="7">
        <v>6</v>
      </c>
      <c r="O66" s="5">
        <f>J13</f>
        <v>814.39244731385156</v>
      </c>
      <c r="P66" s="3">
        <v>15.8</v>
      </c>
    </row>
    <row r="67" spans="2:16" x14ac:dyDescent="0.3">
      <c r="B67" s="43"/>
      <c r="C67" s="3" t="s">
        <v>38</v>
      </c>
      <c r="D67" s="7"/>
      <c r="E67" s="8">
        <f>ABS(E63-E66)*1000</f>
        <v>2.3514388701304512</v>
      </c>
      <c r="F67" s="8">
        <f>ABS(F63-F66)*1000</f>
        <v>7.2305387901208107</v>
      </c>
      <c r="G67" s="7"/>
      <c r="H67" s="8">
        <f>ABS(H63-H66)*1000</f>
        <v>2.4236962890533675</v>
      </c>
      <c r="I67" s="8">
        <f>ABS(I63-I66)*1000</f>
        <v>1.0281469412056765</v>
      </c>
      <c r="J67" s="7"/>
      <c r="K67" s="8">
        <f>ABS(K63-K66)*1000</f>
        <v>7.0529034309494421</v>
      </c>
      <c r="L67" s="7"/>
      <c r="N67" s="7">
        <v>12</v>
      </c>
      <c r="O67" s="5">
        <f>L13</f>
        <v>1256.0260132449832</v>
      </c>
      <c r="P67" s="3">
        <v>24.32</v>
      </c>
    </row>
    <row r="68" spans="2:16" x14ac:dyDescent="0.3">
      <c r="C68" s="3" t="s">
        <v>39</v>
      </c>
      <c r="D68" s="7"/>
      <c r="E68" s="8">
        <f>E67/E63/10</f>
        <v>4.3561298075777168E-2</v>
      </c>
      <c r="F68" s="8">
        <f>F67/F63/10</f>
        <v>0.11243257331862558</v>
      </c>
      <c r="G68" s="7"/>
      <c r="H68" s="8">
        <f>H67/H63/10</f>
        <v>2.3175523896092631E-2</v>
      </c>
      <c r="I68" s="8">
        <f>I67/I63/10</f>
        <v>9.3078665689451077E-3</v>
      </c>
      <c r="J68" s="7"/>
      <c r="K68" s="8">
        <f>K67/K63/10</f>
        <v>2.9799321577443982E-2</v>
      </c>
      <c r="L68" s="7"/>
    </row>
    <row r="70" spans="2:16" x14ac:dyDescent="0.3">
      <c r="G70" s="3" t="s">
        <v>47</v>
      </c>
      <c r="H70" s="3">
        <f>(E68+F68+H68+I68+K68)/5</f>
        <v>4.3655316687376891E-2</v>
      </c>
    </row>
    <row r="72" spans="2:16" x14ac:dyDescent="0.3">
      <c r="B72" s="43" t="s">
        <v>50</v>
      </c>
      <c r="D72" s="7">
        <v>3.665</v>
      </c>
      <c r="E72" s="8">
        <v>5.3979999999999997</v>
      </c>
      <c r="F72" s="8">
        <v>6.431</v>
      </c>
      <c r="G72" s="7">
        <v>8.5939999999999994</v>
      </c>
      <c r="H72" s="8">
        <v>10.458</v>
      </c>
      <c r="I72" s="8">
        <v>11.045999999999999</v>
      </c>
      <c r="J72" s="7">
        <v>15.8</v>
      </c>
      <c r="K72" s="8">
        <v>23.667999999999999</v>
      </c>
      <c r="L72" s="7">
        <v>24.32</v>
      </c>
      <c r="O72" s="44" t="s">
        <v>49</v>
      </c>
      <c r="P72" s="44"/>
    </row>
    <row r="73" spans="2:16" x14ac:dyDescent="0.3">
      <c r="B73" s="43"/>
      <c r="C73" s="1" t="s">
        <v>22</v>
      </c>
      <c r="D73" s="7">
        <f>D14</f>
        <v>19.655402213095147</v>
      </c>
      <c r="E73" s="8"/>
      <c r="F73" s="8"/>
      <c r="G73" s="7">
        <f>G14</f>
        <v>19.458645770680878</v>
      </c>
      <c r="H73" s="8"/>
      <c r="I73" s="8"/>
      <c r="J73" s="7">
        <f>J14</f>
        <v>19.400965777757239</v>
      </c>
      <c r="K73" s="8"/>
      <c r="L73" s="7">
        <f>L14</f>
        <v>19.362656301336074</v>
      </c>
      <c r="N73" s="7">
        <v>1</v>
      </c>
      <c r="O73" s="5">
        <f>D13</f>
        <v>186.4627322435683</v>
      </c>
      <c r="P73" s="3">
        <v>3.665</v>
      </c>
    </row>
    <row r="74" spans="2:16" ht="14.4" customHeight="1" x14ac:dyDescent="0.3">
      <c r="B74" s="43"/>
      <c r="C74" s="3" t="s">
        <v>36</v>
      </c>
      <c r="D74" s="9">
        <f>D13</f>
        <v>186.4627322435683</v>
      </c>
      <c r="E74" s="10">
        <f t="shared" ref="E74:L74" si="8">E13</f>
        <v>275.99169270076476</v>
      </c>
      <c r="F74" s="10">
        <f t="shared" si="8"/>
        <v>329.22634811835962</v>
      </c>
      <c r="G74" s="9">
        <f t="shared" si="8"/>
        <v>441.65457870397768</v>
      </c>
      <c r="H74" s="10">
        <f t="shared" si="8"/>
        <v>538.23863181737966</v>
      </c>
      <c r="I74" s="10">
        <f t="shared" si="8"/>
        <v>568.61218593388935</v>
      </c>
      <c r="J74" s="9">
        <f t="shared" si="8"/>
        <v>814.39244731385156</v>
      </c>
      <c r="K74" s="10">
        <f t="shared" si="8"/>
        <v>1221.7431831703541</v>
      </c>
      <c r="L74" s="9">
        <f t="shared" si="8"/>
        <v>1256.0260132449832</v>
      </c>
      <c r="N74" s="7">
        <v>3</v>
      </c>
      <c r="O74" s="5">
        <f>G13</f>
        <v>441.65457870397768</v>
      </c>
      <c r="P74" s="3">
        <v>8.5939999999999994</v>
      </c>
    </row>
    <row r="75" spans="2:16" x14ac:dyDescent="0.3">
      <c r="B75" s="43"/>
      <c r="C75" s="6" t="s">
        <v>37</v>
      </c>
      <c r="D75" s="11"/>
      <c r="E75" s="12">
        <f>E74*E74*-0.00000002353591+E74*0.01934748377576+0.05681806314131</f>
        <v>5.3947700963590677</v>
      </c>
      <c r="F75" s="12">
        <f>F74*F74*-0.00000002353591+F74*0.01934748377576+0.05681806314131</f>
        <v>6.423968434904566</v>
      </c>
      <c r="G75" s="11"/>
      <c r="H75" s="12">
        <f>H74*H74*-0.00000002353591+H74*0.01934748377576+0.05681806314131</f>
        <v>10.463562887176362</v>
      </c>
      <c r="I75" s="12">
        <f>I74*I74*-0.00000002353591+I74*0.01934748377576+0.05681806314131</f>
        <v>11.050423479059175</v>
      </c>
      <c r="J75" s="11"/>
      <c r="K75" s="12">
        <f>K74*K74*-0.00000002353591+K74*0.01934748377576+0.05681806314131</f>
        <v>23.659343450851445</v>
      </c>
      <c r="L75" s="11"/>
      <c r="N75" s="7">
        <v>6</v>
      </c>
      <c r="O75" s="5">
        <f>J13</f>
        <v>814.39244731385156</v>
      </c>
      <c r="P75" s="3">
        <v>15.8</v>
      </c>
    </row>
    <row r="76" spans="2:16" x14ac:dyDescent="0.3">
      <c r="B76" s="43"/>
      <c r="C76" s="3" t="s">
        <v>38</v>
      </c>
      <c r="D76" s="7"/>
      <c r="E76" s="8">
        <f>ABS(E72-E75)*1000</f>
        <v>3.2299036409320081</v>
      </c>
      <c r="F76" s="8">
        <f>ABS(F72-F75)*1000</f>
        <v>7.0315650954340114</v>
      </c>
      <c r="G76" s="7"/>
      <c r="H76" s="8">
        <f>ABS(H72-H75)*1000</f>
        <v>5.5628871763619969</v>
      </c>
      <c r="I76" s="8">
        <f>ABS(I72-I75)*1000</f>
        <v>4.4234790591755058</v>
      </c>
      <c r="J76" s="7"/>
      <c r="K76" s="8">
        <f>ABS(K72-K75)*1000</f>
        <v>8.6565491485544044</v>
      </c>
      <c r="L76" s="7"/>
      <c r="N76" s="7">
        <v>12</v>
      </c>
      <c r="O76" s="5">
        <f>L13</f>
        <v>1256.0260132449832</v>
      </c>
      <c r="P76" s="3">
        <v>24.32</v>
      </c>
    </row>
    <row r="77" spans="2:16" x14ac:dyDescent="0.3">
      <c r="C77" s="3" t="s">
        <v>39</v>
      </c>
      <c r="D77" s="7"/>
      <c r="E77" s="8">
        <f>E76/E72/10</f>
        <v>5.9835191569692636E-2</v>
      </c>
      <c r="F77" s="8">
        <f>F76/F72/10</f>
        <v>0.10933859579278513</v>
      </c>
      <c r="G77" s="7"/>
      <c r="H77" s="8">
        <f>H76/H72/10</f>
        <v>5.3192648463970135E-2</v>
      </c>
      <c r="I77" s="8">
        <f>I76/I72/10</f>
        <v>4.0045980981128972E-2</v>
      </c>
      <c r="J77" s="7"/>
      <c r="K77" s="8">
        <f>K76/K72/10</f>
        <v>3.6574907675149586E-2</v>
      </c>
      <c r="L77" s="7"/>
    </row>
    <row r="79" spans="2:16" x14ac:dyDescent="0.3">
      <c r="G79" s="3" t="s">
        <v>47</v>
      </c>
      <c r="H79" s="3">
        <f>(E77+F77+H77+I77+K77)/5</f>
        <v>5.9797464896545291E-2</v>
      </c>
    </row>
    <row r="80" spans="2:16" x14ac:dyDescent="0.3">
      <c r="N80" s="44" t="s">
        <v>51</v>
      </c>
      <c r="O80" s="44"/>
    </row>
    <row r="81" spans="2:15" x14ac:dyDescent="0.3">
      <c r="B81" s="43" t="s">
        <v>52</v>
      </c>
      <c r="D81" s="7">
        <v>3.665</v>
      </c>
      <c r="E81" s="8">
        <v>5.3979999999999997</v>
      </c>
      <c r="F81" s="8">
        <v>6.431</v>
      </c>
      <c r="G81" s="7">
        <v>8.5939999999999994</v>
      </c>
      <c r="H81" s="8">
        <v>10.458</v>
      </c>
      <c r="I81" s="8">
        <v>11.045999999999999</v>
      </c>
      <c r="J81" s="7">
        <v>15.8</v>
      </c>
      <c r="K81" s="8">
        <v>23.667999999999999</v>
      </c>
      <c r="L81" s="7">
        <v>24.32</v>
      </c>
      <c r="N81" s="7">
        <v>3.665</v>
      </c>
      <c r="O81" s="3">
        <f>D85</f>
        <v>54.586202559731234</v>
      </c>
    </row>
    <row r="82" spans="2:15" x14ac:dyDescent="0.3">
      <c r="B82" s="43"/>
      <c r="C82" s="1" t="s">
        <v>22</v>
      </c>
      <c r="D82" s="7"/>
      <c r="E82" s="8"/>
      <c r="F82" s="8"/>
      <c r="G82" s="7"/>
      <c r="H82" s="8"/>
      <c r="I82" s="8"/>
      <c r="J82" s="7"/>
      <c r="K82" s="8"/>
      <c r="L82" s="7">
        <f>L14</f>
        <v>19.362656301336074</v>
      </c>
      <c r="N82" s="7">
        <v>8.5939999999999994</v>
      </c>
      <c r="O82" s="3">
        <f>G85</f>
        <v>42.394188643497088</v>
      </c>
    </row>
    <row r="83" spans="2:15" x14ac:dyDescent="0.3">
      <c r="B83" s="43"/>
      <c r="C83" s="3" t="s">
        <v>36</v>
      </c>
      <c r="D83" s="9">
        <f t="shared" ref="D83:L83" si="9">D13</f>
        <v>186.4627322435683</v>
      </c>
      <c r="E83" s="10">
        <f t="shared" si="9"/>
        <v>275.99169270076476</v>
      </c>
      <c r="F83" s="10">
        <f t="shared" si="9"/>
        <v>329.22634811835962</v>
      </c>
      <c r="G83" s="9">
        <f t="shared" si="9"/>
        <v>441.65457870397768</v>
      </c>
      <c r="H83" s="10">
        <f t="shared" si="9"/>
        <v>538.23863181737966</v>
      </c>
      <c r="I83" s="10">
        <f t="shared" si="9"/>
        <v>568.61218593388935</v>
      </c>
      <c r="J83" s="9">
        <f t="shared" si="9"/>
        <v>814.39244731385156</v>
      </c>
      <c r="K83" s="10">
        <f t="shared" si="9"/>
        <v>1221.7431831703541</v>
      </c>
      <c r="L83" s="9">
        <f t="shared" si="9"/>
        <v>1256.0260132449832</v>
      </c>
      <c r="N83" s="7">
        <v>15.8</v>
      </c>
      <c r="O83" s="3">
        <f>J85</f>
        <v>31.198948257944892</v>
      </c>
    </row>
    <row r="84" spans="2:15" x14ac:dyDescent="0.3">
      <c r="B84" s="43"/>
      <c r="C84" s="6" t="s">
        <v>37</v>
      </c>
      <c r="D84" s="11">
        <f>$L$82*D83/1000</f>
        <v>3.6104137974402688</v>
      </c>
      <c r="E84" s="12">
        <f>( -2.561381*$L$82*E83/1000+ 65.585482)/1000+$L$82*E83/1000</f>
        <v>5.3958299231616422</v>
      </c>
      <c r="F84" s="12">
        <f>( -2.561381*$L$82*F83/1000+ 65.585482)/1000+$L$82*F83/1000</f>
        <v>6.4239540791464451</v>
      </c>
      <c r="G84" s="11">
        <f t="shared" ref="G84:L84" si="10">$L$82*G83/1000</f>
        <v>8.5516058113565023</v>
      </c>
      <c r="H84" s="12">
        <f>( -2.561381*$L$82*H83/1000+ 65.585482)/1000+$L$82*H83/1000</f>
        <v>10.460621097704554</v>
      </c>
      <c r="I84" s="12">
        <f>( -2.561381*$L$82*I83/1000+ 65.585482)/1000+$L$82*I83/1000</f>
        <v>11.047227406045078</v>
      </c>
      <c r="J84" s="11">
        <f t="shared" si="10"/>
        <v>15.768801051742056</v>
      </c>
      <c r="K84" s="12">
        <f>( -2.561381*$L$82*K83/1000+ 65.585482)/1000+$L$82*K83/1000</f>
        <v>23.661186302063616</v>
      </c>
      <c r="L84" s="11">
        <f t="shared" si="10"/>
        <v>24.32</v>
      </c>
      <c r="N84" s="7">
        <v>24.32</v>
      </c>
      <c r="O84" s="3">
        <f>L85</f>
        <v>0</v>
      </c>
    </row>
    <row r="85" spans="2:15" x14ac:dyDescent="0.3">
      <c r="B85" s="43"/>
      <c r="C85" s="3" t="s">
        <v>38</v>
      </c>
      <c r="D85" s="7">
        <f t="shared" ref="D85:L85" si="11">ABS(D81-D84)*1000</f>
        <v>54.586202559731234</v>
      </c>
      <c r="E85" s="8">
        <f t="shared" si="11"/>
        <v>2.1700768383574598</v>
      </c>
      <c r="F85" s="8">
        <f t="shared" si="11"/>
        <v>7.0459208535549323</v>
      </c>
      <c r="G85" s="7">
        <f t="shared" si="11"/>
        <v>42.394188643497088</v>
      </c>
      <c r="H85" s="8">
        <f t="shared" si="11"/>
        <v>2.6210977045533213</v>
      </c>
      <c r="I85" s="8">
        <f t="shared" si="11"/>
        <v>1.2274060450785385</v>
      </c>
      <c r="J85" s="7">
        <f t="shared" si="11"/>
        <v>31.198948257944892</v>
      </c>
      <c r="K85" s="8">
        <f t="shared" si="11"/>
        <v>6.8136979363835337</v>
      </c>
      <c r="L85" s="7">
        <f t="shared" si="11"/>
        <v>0</v>
      </c>
    </row>
    <row r="86" spans="2:15" x14ac:dyDescent="0.3">
      <c r="C86" s="3" t="s">
        <v>39</v>
      </c>
      <c r="D86" s="7"/>
      <c r="E86" s="8">
        <f>E85/E81/10</f>
        <v>4.0201497561271948E-2</v>
      </c>
      <c r="F86" s="8">
        <f>F85/F81/10</f>
        <v>0.10956182325540247</v>
      </c>
      <c r="G86" s="7"/>
      <c r="H86" s="8">
        <f>H85/H81/10</f>
        <v>2.5063087631988158E-2</v>
      </c>
      <c r="I86" s="8">
        <f>I85/I81/10</f>
        <v>1.1111769374239893E-2</v>
      </c>
      <c r="J86" s="7"/>
      <c r="K86" s="8">
        <f>K85/K81/10</f>
        <v>2.878865107479945E-2</v>
      </c>
      <c r="L86" s="7"/>
    </row>
    <row r="88" spans="2:15" x14ac:dyDescent="0.3">
      <c r="G88" s="3" t="s">
        <v>47</v>
      </c>
      <c r="H88" s="3">
        <f>(E86+F86+H86+I86+K86)/5</f>
        <v>4.2945365779540383E-2</v>
      </c>
    </row>
    <row r="92" spans="2:15" x14ac:dyDescent="0.3">
      <c r="D92" s="3">
        <f>D83*$L$82/1000</f>
        <v>3.6104137974402688</v>
      </c>
      <c r="E92" s="3">
        <f t="shared" ref="E92:L92" si="12">E83*$L$82/1000</f>
        <v>5.3439322877888715</v>
      </c>
      <c r="F92" s="3">
        <f t="shared" si="12"/>
        <v>6.37469662395982</v>
      </c>
      <c r="G92" s="3">
        <f t="shared" si="12"/>
        <v>8.5516058113565023</v>
      </c>
      <c r="H92" s="3">
        <f t="shared" si="12"/>
        <v>10.421729635981293</v>
      </c>
      <c r="I92" s="3">
        <f t="shared" si="12"/>
        <v>11.009842324989302</v>
      </c>
      <c r="J92" s="3">
        <f t="shared" si="12"/>
        <v>15.768801051742056</v>
      </c>
      <c r="K92" s="3">
        <f t="shared" si="12"/>
        <v>23.656193344227848</v>
      </c>
      <c r="L92" s="3">
        <f t="shared" si="12"/>
        <v>24.32</v>
      </c>
    </row>
    <row r="93" spans="2:15" x14ac:dyDescent="0.3">
      <c r="D93" s="7">
        <v>3.665</v>
      </c>
      <c r="E93" s="8">
        <v>5.3979999999999997</v>
      </c>
      <c r="F93" s="8">
        <v>6.431</v>
      </c>
      <c r="G93" s="7">
        <v>8.5939999999999994</v>
      </c>
      <c r="H93" s="8">
        <v>10.458</v>
      </c>
      <c r="I93" s="8">
        <v>11.045999999999999</v>
      </c>
      <c r="J93" s="7">
        <v>15.8</v>
      </c>
      <c r="K93" s="8">
        <v>23.667999999999999</v>
      </c>
      <c r="L93" s="7">
        <v>24.32</v>
      </c>
    </row>
  </sheetData>
  <mergeCells count="16">
    <mergeCell ref="S50:T50"/>
    <mergeCell ref="W50:X50"/>
    <mergeCell ref="B63:B67"/>
    <mergeCell ref="O63:P63"/>
    <mergeCell ref="D1:L1"/>
    <mergeCell ref="B3:B12"/>
    <mergeCell ref="B18:B22"/>
    <mergeCell ref="B26:B30"/>
    <mergeCell ref="B34:B38"/>
    <mergeCell ref="B42:B46"/>
    <mergeCell ref="B72:B76"/>
    <mergeCell ref="O72:P72"/>
    <mergeCell ref="N80:O80"/>
    <mergeCell ref="B81:B85"/>
    <mergeCell ref="B50:B54"/>
    <mergeCell ref="O50:P50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2A33-F1EC-4FE0-85D9-4F48CE179E80}">
  <sheetPr codeName="Sayfa5"/>
  <dimension ref="B1:X93"/>
  <sheetViews>
    <sheetView topLeftCell="A33" workbookViewId="0">
      <selection activeCell="K67" activeCellId="2" sqref="E67:F67 H67:I67 K67"/>
    </sheetView>
  </sheetViews>
  <sheetFormatPr defaultRowHeight="14.4" x14ac:dyDescent="0.3"/>
  <cols>
    <col min="1" max="2" width="8.88671875" style="3"/>
    <col min="3" max="3" width="16.5546875" style="3" bestFit="1" customWidth="1"/>
    <col min="4" max="16384" width="8.88671875" style="3"/>
  </cols>
  <sheetData>
    <row r="1" spans="2:12" x14ac:dyDescent="0.3">
      <c r="C1" s="4" t="s">
        <v>18</v>
      </c>
      <c r="D1" s="44" t="s">
        <v>19</v>
      </c>
      <c r="E1" s="44"/>
      <c r="F1" s="44"/>
      <c r="G1" s="44"/>
      <c r="H1" s="44"/>
      <c r="I1" s="44"/>
      <c r="J1" s="44"/>
      <c r="K1" s="44"/>
      <c r="L1" s="44"/>
    </row>
    <row r="2" spans="2:12" x14ac:dyDescent="0.3">
      <c r="D2">
        <v>3.665</v>
      </c>
      <c r="E2">
        <v>5.3979999999999997</v>
      </c>
      <c r="F2">
        <v>6.431</v>
      </c>
      <c r="G2">
        <v>8.5939999999999994</v>
      </c>
      <c r="H2">
        <v>10.458</v>
      </c>
      <c r="I2">
        <v>11.045999999999999</v>
      </c>
      <c r="J2">
        <v>15.8</v>
      </c>
      <c r="K2">
        <v>23.667999999999999</v>
      </c>
      <c r="L2">
        <v>24.32</v>
      </c>
    </row>
    <row r="3" spans="2:12" x14ac:dyDescent="0.3">
      <c r="B3" s="43" t="s">
        <v>20</v>
      </c>
      <c r="C3" s="3">
        <v>1</v>
      </c>
      <c r="D3" s="2">
        <v>186.79873256656199</v>
      </c>
      <c r="E3" s="2">
        <v>276.190986106747</v>
      </c>
      <c r="F3" s="2">
        <v>329.45741189279897</v>
      </c>
      <c r="G3" s="2">
        <v>441.78455352349101</v>
      </c>
      <c r="H3" s="2">
        <v>538.22749641300095</v>
      </c>
      <c r="I3" s="2">
        <v>568.61363354408797</v>
      </c>
      <c r="J3" s="2">
        <v>814.25047296385799</v>
      </c>
      <c r="K3" s="2">
        <v>1221.5430820736201</v>
      </c>
      <c r="L3" s="2">
        <v>1255.87496538342</v>
      </c>
    </row>
    <row r="4" spans="2:12" x14ac:dyDescent="0.3">
      <c r="B4" s="43"/>
      <c r="C4" s="3">
        <v>2</v>
      </c>
      <c r="D4" s="2">
        <v>186.818305815239</v>
      </c>
      <c r="E4" s="2">
        <v>276.13616213282597</v>
      </c>
      <c r="F4" s="2">
        <v>329.39889422644302</v>
      </c>
      <c r="G4" s="2">
        <v>441.70689863594703</v>
      </c>
      <c r="H4" s="2">
        <v>538.16645700563697</v>
      </c>
      <c r="I4" s="2">
        <v>568.55906069832804</v>
      </c>
      <c r="J4" s="2">
        <v>814.24274798289503</v>
      </c>
      <c r="K4" s="2">
        <v>1221.4887145385201</v>
      </c>
      <c r="L4" s="2">
        <v>1255.8395503960501</v>
      </c>
    </row>
    <row r="5" spans="2:12" x14ac:dyDescent="0.3">
      <c r="B5" s="43"/>
      <c r="C5" s="3">
        <v>3</v>
      </c>
      <c r="D5" s="2">
        <v>186.791400221092</v>
      </c>
      <c r="E5" s="2">
        <v>276.27426234336502</v>
      </c>
      <c r="F5" s="2">
        <v>329.353524562149</v>
      </c>
      <c r="G5" s="2">
        <v>441.72464679754597</v>
      </c>
      <c r="H5" s="2">
        <v>538.21751232625297</v>
      </c>
      <c r="I5" s="2">
        <v>568.58395652076297</v>
      </c>
      <c r="J5" s="2">
        <v>814.234076811862</v>
      </c>
      <c r="K5" s="2">
        <v>1221.53400931894</v>
      </c>
      <c r="L5" s="2">
        <v>1255.81849165996</v>
      </c>
    </row>
    <row r="6" spans="2:12" x14ac:dyDescent="0.3">
      <c r="B6" s="43"/>
      <c r="C6" s="3">
        <v>4</v>
      </c>
      <c r="D6" s="2">
        <v>186.76336815273601</v>
      </c>
      <c r="E6" s="2">
        <v>276.230848565889</v>
      </c>
      <c r="F6" s="2">
        <v>329.330876917956</v>
      </c>
      <c r="G6" s="2">
        <v>441.71337326866899</v>
      </c>
      <c r="H6" s="2">
        <v>538.10852002768695</v>
      </c>
      <c r="I6" s="2">
        <v>568.55877549663705</v>
      </c>
      <c r="J6" s="2">
        <v>814.17158016644305</v>
      </c>
      <c r="K6" s="2">
        <v>1221.5242363242601</v>
      </c>
      <c r="L6" s="2">
        <v>1255.8510494453801</v>
      </c>
    </row>
    <row r="7" spans="2:12" x14ac:dyDescent="0.3">
      <c r="B7" s="43"/>
      <c r="C7" s="3">
        <v>5</v>
      </c>
      <c r="D7" s="2">
        <v>186.829197418723</v>
      </c>
      <c r="E7" s="2">
        <v>276.41834486266202</v>
      </c>
      <c r="F7" s="2">
        <v>329.38066804584503</v>
      </c>
      <c r="G7" s="2">
        <v>441.66500734721899</v>
      </c>
      <c r="H7" s="2">
        <v>538.12824361804905</v>
      </c>
      <c r="I7" s="2">
        <v>568.43662170469304</v>
      </c>
      <c r="J7" s="2">
        <v>814.25682266498904</v>
      </c>
      <c r="K7" s="2">
        <v>1221.52423089794</v>
      </c>
      <c r="L7" s="2">
        <v>1255.8771494630901</v>
      </c>
    </row>
    <row r="8" spans="2:12" x14ac:dyDescent="0.3">
      <c r="B8" s="43"/>
      <c r="C8" s="3">
        <v>6</v>
      </c>
      <c r="D8" s="2">
        <v>186.75779330997599</v>
      </c>
      <c r="E8" s="2">
        <v>276.175539644845</v>
      </c>
      <c r="F8" s="2">
        <v>329.33638296332498</v>
      </c>
      <c r="G8" s="2">
        <v>441.76191480261502</v>
      </c>
      <c r="H8" s="2">
        <v>538.17597125867405</v>
      </c>
      <c r="I8" s="2">
        <v>568.64243498007704</v>
      </c>
      <c r="J8" s="2">
        <v>814.15044104763103</v>
      </c>
      <c r="K8" s="2">
        <v>1221.53202928889</v>
      </c>
      <c r="L8" s="2">
        <v>1255.8534993043399</v>
      </c>
    </row>
    <row r="9" spans="2:12" x14ac:dyDescent="0.3">
      <c r="B9" s="43"/>
      <c r="C9" s="3">
        <v>7</v>
      </c>
      <c r="D9" s="2">
        <v>186.83582987483899</v>
      </c>
      <c r="E9" s="2">
        <v>276.24623980896598</v>
      </c>
      <c r="F9" s="2">
        <v>329.37121881289698</v>
      </c>
      <c r="G9" s="2">
        <v>441.69087542797303</v>
      </c>
      <c r="H9" s="2">
        <v>538.30101623071096</v>
      </c>
      <c r="I9" s="2">
        <v>568.71696729592202</v>
      </c>
      <c r="J9" s="2">
        <v>814.23831200956795</v>
      </c>
      <c r="K9" s="2">
        <v>1221.5191237968199</v>
      </c>
      <c r="L9" s="2">
        <v>1255.8570206634599</v>
      </c>
    </row>
    <row r="10" spans="2:12" x14ac:dyDescent="0.3">
      <c r="B10" s="43"/>
      <c r="C10" s="3">
        <v>8</v>
      </c>
      <c r="D10" s="2">
        <v>186.80121423412001</v>
      </c>
      <c r="E10" s="2">
        <v>276.13188099982102</v>
      </c>
      <c r="F10" s="2">
        <v>329.37550429651498</v>
      </c>
      <c r="G10" s="2">
        <v>441.759395052944</v>
      </c>
      <c r="H10" s="2">
        <v>538.32943844283295</v>
      </c>
      <c r="I10" s="2">
        <v>568.61254244991301</v>
      </c>
      <c r="J10" s="2">
        <v>814.16639933546401</v>
      </c>
      <c r="K10" s="2">
        <v>1221.5221018212201</v>
      </c>
      <c r="L10" s="2">
        <v>1255.86036305365</v>
      </c>
    </row>
    <row r="11" spans="2:12" x14ac:dyDescent="0.3">
      <c r="B11" s="43"/>
      <c r="C11" s="3">
        <v>9</v>
      </c>
      <c r="D11" s="2">
        <v>186.754235686068</v>
      </c>
      <c r="E11" s="2">
        <v>276.19705093409698</v>
      </c>
      <c r="F11" s="2">
        <v>329.35575445875099</v>
      </c>
      <c r="G11" s="2">
        <v>441.66808496159899</v>
      </c>
      <c r="H11" s="2">
        <v>538.25063763075605</v>
      </c>
      <c r="I11" s="2">
        <v>568.52635842728705</v>
      </c>
      <c r="J11" s="2">
        <v>814.20937596056001</v>
      </c>
      <c r="K11" s="2">
        <v>1221.4692303715301</v>
      </c>
      <c r="L11" s="2">
        <v>1255.83414537303</v>
      </c>
    </row>
    <row r="12" spans="2:12" x14ac:dyDescent="0.3">
      <c r="B12" s="43"/>
      <c r="C12" s="6">
        <v>10</v>
      </c>
      <c r="D12" s="2">
        <v>186.831288796482</v>
      </c>
      <c r="E12" s="2">
        <v>276.24814003049499</v>
      </c>
      <c r="F12" s="2">
        <v>329.34036864370302</v>
      </c>
      <c r="G12" s="2">
        <v>441.616560853583</v>
      </c>
      <c r="H12" s="2">
        <v>538.30667358296</v>
      </c>
      <c r="I12" s="2">
        <v>568.462952306288</v>
      </c>
      <c r="J12" s="2">
        <v>814.25862856511503</v>
      </c>
      <c r="K12" s="2">
        <v>1221.52769159114</v>
      </c>
      <c r="L12" s="2">
        <v>1255.8803461954601</v>
      </c>
    </row>
    <row r="13" spans="2:12" x14ac:dyDescent="0.3">
      <c r="C13" s="3" t="s">
        <v>21</v>
      </c>
      <c r="D13" s="5">
        <f>AVERAGE(D3:D12)</f>
        <v>186.79813660758367</v>
      </c>
      <c r="E13" s="5">
        <f t="shared" ref="E13:L13" si="0">AVERAGE(E3:E12)</f>
        <v>276.22494554297134</v>
      </c>
      <c r="F13" s="5">
        <f t="shared" si="0"/>
        <v>329.3700604820383</v>
      </c>
      <c r="G13" s="5">
        <f t="shared" si="0"/>
        <v>441.70913106715864</v>
      </c>
      <c r="H13" s="5">
        <f t="shared" si="0"/>
        <v>538.22119665365608</v>
      </c>
      <c r="I13" s="5">
        <f t="shared" si="0"/>
        <v>568.57133034239962</v>
      </c>
      <c r="J13" s="5">
        <f t="shared" si="0"/>
        <v>814.2178857508386</v>
      </c>
      <c r="K13" s="5">
        <f t="shared" si="0"/>
        <v>1221.5184450022878</v>
      </c>
      <c r="L13" s="5">
        <f t="shared" si="0"/>
        <v>1255.8546580937839</v>
      </c>
    </row>
    <row r="14" spans="2:12" ht="27.6" customHeight="1" x14ac:dyDescent="0.3">
      <c r="C14" s="1" t="s">
        <v>22</v>
      </c>
      <c r="D14" s="41">
        <f>(D2/D13)*1000</f>
        <v>19.62011006404872</v>
      </c>
      <c r="E14" s="41">
        <f t="shared" ref="E14:L14" si="1">(E2/E13)*1000</f>
        <v>19.542043856282529</v>
      </c>
      <c r="F14" s="41">
        <f t="shared" si="1"/>
        <v>19.525150496642379</v>
      </c>
      <c r="G14" s="41">
        <f t="shared" si="1"/>
        <v>19.456242571298226</v>
      </c>
      <c r="H14" s="41">
        <f t="shared" si="1"/>
        <v>19.430672862796399</v>
      </c>
      <c r="I14" s="41">
        <f t="shared" si="1"/>
        <v>19.427641547363955</v>
      </c>
      <c r="J14" s="41">
        <f t="shared" si="1"/>
        <v>19.405125183942481</v>
      </c>
      <c r="K14" s="41">
        <f t="shared" si="1"/>
        <v>19.375884250323924</v>
      </c>
      <c r="L14" s="41">
        <f t="shared" si="1"/>
        <v>19.365298239936813</v>
      </c>
    </row>
    <row r="15" spans="2:12" x14ac:dyDescent="0.3">
      <c r="D15" s="3" t="s">
        <v>23</v>
      </c>
      <c r="E15" s="3" t="s">
        <v>24</v>
      </c>
      <c r="F15" s="3" t="s">
        <v>25</v>
      </c>
      <c r="G15" s="3" t="s">
        <v>26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</row>
    <row r="18" spans="2:17" x14ac:dyDescent="0.3">
      <c r="B18" s="43" t="s">
        <v>32</v>
      </c>
      <c r="D18" s="7">
        <v>3.665</v>
      </c>
      <c r="E18" s="8">
        <v>5.3979999999999997</v>
      </c>
      <c r="F18" s="8">
        <v>6.431</v>
      </c>
      <c r="G18" s="7">
        <v>8.5939999999999994</v>
      </c>
      <c r="H18" s="8">
        <v>10.458</v>
      </c>
      <c r="I18" s="8">
        <v>11.045999999999999</v>
      </c>
      <c r="J18" s="7">
        <v>15.8</v>
      </c>
      <c r="K18" s="8">
        <v>23.667999999999999</v>
      </c>
      <c r="L18" s="7">
        <v>24.32</v>
      </c>
      <c r="N18" s="8" t="s">
        <v>33</v>
      </c>
      <c r="O18" s="7" t="s">
        <v>34</v>
      </c>
      <c r="Q18" s="3" t="s">
        <v>35</v>
      </c>
    </row>
    <row r="19" spans="2:17" x14ac:dyDescent="0.3">
      <c r="B19" s="43"/>
      <c r="C19" s="1" t="s">
        <v>22</v>
      </c>
      <c r="D19" s="7">
        <f>D14</f>
        <v>19.62011006404872</v>
      </c>
      <c r="E19" s="8"/>
      <c r="F19" s="8"/>
      <c r="G19" s="7">
        <f>G14</f>
        <v>19.456242571298226</v>
      </c>
      <c r="H19" s="8"/>
      <c r="I19" s="8"/>
      <c r="J19" s="7">
        <f>J14</f>
        <v>19.405125183942481</v>
      </c>
      <c r="K19" s="8"/>
      <c r="L19" s="7">
        <f>L14</f>
        <v>19.365298239936813</v>
      </c>
      <c r="Q19" s="3">
        <f>G14</f>
        <v>19.456242571298226</v>
      </c>
    </row>
    <row r="20" spans="2:17" x14ac:dyDescent="0.3">
      <c r="B20" s="43"/>
      <c r="C20" s="3" t="s">
        <v>36</v>
      </c>
      <c r="D20" s="9">
        <f>D13</f>
        <v>186.79813660758367</v>
      </c>
      <c r="E20" s="10">
        <f>E13</f>
        <v>276.22494554297134</v>
      </c>
      <c r="F20" s="10">
        <f t="shared" ref="F20:L20" si="2">F13</f>
        <v>329.3700604820383</v>
      </c>
      <c r="G20" s="9">
        <f t="shared" si="2"/>
        <v>441.70913106715864</v>
      </c>
      <c r="H20" s="10">
        <f t="shared" si="2"/>
        <v>538.22119665365608</v>
      </c>
      <c r="I20" s="10">
        <f t="shared" si="2"/>
        <v>568.57133034239962</v>
      </c>
      <c r="J20" s="9">
        <f t="shared" si="2"/>
        <v>814.2178857508386</v>
      </c>
      <c r="K20" s="10">
        <f t="shared" si="2"/>
        <v>1221.5184450022878</v>
      </c>
      <c r="L20" s="9">
        <f t="shared" si="2"/>
        <v>1255.8546580937839</v>
      </c>
    </row>
    <row r="21" spans="2:17" x14ac:dyDescent="0.3">
      <c r="B21" s="43"/>
      <c r="C21" s="6" t="s">
        <v>37</v>
      </c>
      <c r="D21" s="11"/>
      <c r="E21" s="12">
        <f>E20*$Q$19/1000</f>
        <v>5.3742995447276938</v>
      </c>
      <c r="F21" s="12">
        <f>F20*$Q$19/1000</f>
        <v>6.4083037924617043</v>
      </c>
      <c r="G21" s="11"/>
      <c r="H21" s="12">
        <f>H20*$Q$19/1000</f>
        <v>10.471762159107938</v>
      </c>
      <c r="I21" s="12">
        <f>I20*$Q$19/1000</f>
        <v>11.062261722227461</v>
      </c>
      <c r="J21" s="11"/>
      <c r="K21" s="12">
        <f>K20*$Q$19/1000</f>
        <v>23.766159171279522</v>
      </c>
      <c r="L21" s="11"/>
    </row>
    <row r="22" spans="2:17" x14ac:dyDescent="0.3">
      <c r="B22" s="43"/>
      <c r="C22" s="3" t="s">
        <v>38</v>
      </c>
      <c r="D22" s="7"/>
      <c r="E22" s="8">
        <f>ABS(E21-E18)*1000</f>
        <v>23.700455272305909</v>
      </c>
      <c r="F22" s="8">
        <f>ABS(F21-F18)*1000</f>
        <v>22.69620753829571</v>
      </c>
      <c r="G22" s="7"/>
      <c r="H22" s="8">
        <f>ABS(H21-H18)*1000</f>
        <v>13.762159107937322</v>
      </c>
      <c r="I22" s="8">
        <f>ABS(I21-I18)*1000</f>
        <v>16.261722227461917</v>
      </c>
      <c r="J22" s="7"/>
      <c r="K22" s="8">
        <f>ABS(K21-K18)*1000</f>
        <v>98.159171279522894</v>
      </c>
      <c r="L22" s="7"/>
    </row>
    <row r="23" spans="2:17" x14ac:dyDescent="0.3">
      <c r="C23" s="3" t="s">
        <v>39</v>
      </c>
      <c r="D23" s="7"/>
      <c r="E23" s="8">
        <f>E22/E18/10</f>
        <v>0.43905993464812731</v>
      </c>
      <c r="F23" s="8">
        <f>F22/F18/10</f>
        <v>0.35291879238525437</v>
      </c>
      <c r="G23" s="7"/>
      <c r="H23" s="8">
        <f>H22/H18/10</f>
        <v>0.13159456022124041</v>
      </c>
      <c r="I23" s="8">
        <f>I22/I18/10</f>
        <v>0.14721819869148939</v>
      </c>
      <c r="J23" s="7"/>
      <c r="K23" s="8">
        <f>K22/K18/10</f>
        <v>0.41473369646578878</v>
      </c>
      <c r="L23" s="7"/>
    </row>
    <row r="26" spans="2:17" x14ac:dyDescent="0.3">
      <c r="B26" s="43" t="s">
        <v>40</v>
      </c>
      <c r="D26" s="7">
        <v>3.665</v>
      </c>
      <c r="E26" s="8">
        <v>5.3979999999999997</v>
      </c>
      <c r="F26" s="8">
        <v>6.431</v>
      </c>
      <c r="G26" s="7">
        <v>8.5939999999999994</v>
      </c>
      <c r="H26" s="8">
        <v>10.458</v>
      </c>
      <c r="I26" s="8">
        <v>11.045999999999999</v>
      </c>
      <c r="J26" s="7">
        <v>15.8</v>
      </c>
      <c r="K26" s="8">
        <v>23.667999999999999</v>
      </c>
      <c r="L26" s="7">
        <v>24.32</v>
      </c>
      <c r="N26" s="8" t="s">
        <v>33</v>
      </c>
      <c r="O26" s="7" t="s">
        <v>34</v>
      </c>
    </row>
    <row r="27" spans="2:17" x14ac:dyDescent="0.3">
      <c r="B27" s="43"/>
      <c r="C27" s="1" t="s">
        <v>22</v>
      </c>
      <c r="D27" s="7">
        <f>D14</f>
        <v>19.62011006404872</v>
      </c>
      <c r="E27" s="8"/>
      <c r="F27" s="8"/>
      <c r="G27" s="7">
        <f>G14</f>
        <v>19.456242571298226</v>
      </c>
      <c r="H27" s="8"/>
      <c r="I27" s="8"/>
      <c r="J27" s="7">
        <f>J14</f>
        <v>19.405125183942481</v>
      </c>
      <c r="K27" s="8"/>
      <c r="L27" s="7">
        <f>L14</f>
        <v>19.365298239936813</v>
      </c>
    </row>
    <row r="28" spans="2:17" x14ac:dyDescent="0.3">
      <c r="B28" s="43"/>
      <c r="C28" s="3" t="s">
        <v>36</v>
      </c>
      <c r="D28" s="9">
        <f t="shared" ref="D28:L28" si="3">D13</f>
        <v>186.79813660758367</v>
      </c>
      <c r="E28" s="10">
        <f t="shared" si="3"/>
        <v>276.22494554297134</v>
      </c>
      <c r="F28" s="10">
        <f t="shared" si="3"/>
        <v>329.3700604820383</v>
      </c>
      <c r="G28" s="9">
        <f t="shared" si="3"/>
        <v>441.70913106715864</v>
      </c>
      <c r="H28" s="10">
        <f t="shared" si="3"/>
        <v>538.22119665365608</v>
      </c>
      <c r="I28" s="10">
        <f t="shared" si="3"/>
        <v>568.57133034239962</v>
      </c>
      <c r="J28" s="9">
        <f t="shared" si="3"/>
        <v>814.2178857508386</v>
      </c>
      <c r="K28" s="10">
        <f t="shared" si="3"/>
        <v>1221.5184450022878</v>
      </c>
      <c r="L28" s="9">
        <f t="shared" si="3"/>
        <v>1255.8546580937839</v>
      </c>
    </row>
    <row r="29" spans="2:17" x14ac:dyDescent="0.3">
      <c r="B29" s="43"/>
      <c r="C29" s="6" t="s">
        <v>37</v>
      </c>
      <c r="D29" s="11"/>
      <c r="E29" s="12">
        <f>(E28*D27)/1000</f>
        <v>5.4195638339889616</v>
      </c>
      <c r="F29" s="12">
        <f>(F28*G27)/1000</f>
        <v>6.4083037924617043</v>
      </c>
      <c r="G29" s="11"/>
      <c r="H29" s="12">
        <f>(H28*G27)/1000</f>
        <v>10.471762159107938</v>
      </c>
      <c r="I29" s="12">
        <f>(I28*J27)/1000</f>
        <v>11.03319784129498</v>
      </c>
      <c r="J29" s="11"/>
      <c r="K29" s="12">
        <f>(K28*J27)/1000</f>
        <v>23.703718339764151</v>
      </c>
      <c r="L29" s="11"/>
    </row>
    <row r="30" spans="2:17" x14ac:dyDescent="0.3">
      <c r="B30" s="43"/>
      <c r="C30" s="3" t="s">
        <v>38</v>
      </c>
      <c r="D30" s="7"/>
      <c r="E30" s="8">
        <f>ABS(E29-E26)*1000</f>
        <v>21.563833988961889</v>
      </c>
      <c r="F30" s="8">
        <f>ABS(F29-F26)*1000</f>
        <v>22.69620753829571</v>
      </c>
      <c r="G30" s="7"/>
      <c r="H30" s="8">
        <f>ABS(H29-H26)*1000</f>
        <v>13.762159107937322</v>
      </c>
      <c r="I30" s="8">
        <f>ABS(I29-I26)*1000</f>
        <v>12.802158705019551</v>
      </c>
      <c r="J30" s="7"/>
      <c r="K30" s="8">
        <f>ABS(K29-K26)*1000</f>
        <v>35.718339764152063</v>
      </c>
      <c r="L30" s="7"/>
    </row>
    <row r="31" spans="2:17" x14ac:dyDescent="0.3">
      <c r="C31" s="3" t="s">
        <v>39</v>
      </c>
      <c r="D31" s="7"/>
      <c r="E31" s="8">
        <f>E30/E26/10</f>
        <v>0.39947821394890498</v>
      </c>
      <c r="F31" s="8">
        <f>F30/F26/10</f>
        <v>0.35291879238525437</v>
      </c>
      <c r="G31" s="7"/>
      <c r="H31" s="8">
        <f>H30/H26/10</f>
        <v>0.13159456022124041</v>
      </c>
      <c r="I31" s="8">
        <f>I30/I26/10</f>
        <v>0.11589859410664087</v>
      </c>
      <c r="J31" s="7"/>
      <c r="K31" s="8">
        <f>K30/K26/10</f>
        <v>0.15091406018316741</v>
      </c>
      <c r="L31" s="7"/>
    </row>
    <row r="34" spans="2:16" x14ac:dyDescent="0.3">
      <c r="B34" s="43" t="s">
        <v>41</v>
      </c>
      <c r="D34" s="7">
        <v>3.665</v>
      </c>
      <c r="E34" s="8">
        <v>5.3979999999999997</v>
      </c>
      <c r="F34" s="8">
        <v>6.431</v>
      </c>
      <c r="G34" s="7">
        <v>8.5939999999999994</v>
      </c>
      <c r="H34" s="8">
        <v>10.458</v>
      </c>
      <c r="I34" s="8">
        <v>11.045999999999999</v>
      </c>
      <c r="J34" s="7">
        <v>15.8</v>
      </c>
      <c r="K34" s="8">
        <v>23.667999999999999</v>
      </c>
      <c r="L34" s="7">
        <v>24.32</v>
      </c>
      <c r="N34" s="8" t="s">
        <v>33</v>
      </c>
      <c r="O34" s="7" t="s">
        <v>34</v>
      </c>
    </row>
    <row r="35" spans="2:16" x14ac:dyDescent="0.3">
      <c r="B35" s="43"/>
      <c r="C35" s="1" t="s">
        <v>22</v>
      </c>
      <c r="D35" s="7">
        <f>D14</f>
        <v>19.62011006404872</v>
      </c>
      <c r="E35" s="8"/>
      <c r="F35" s="8"/>
      <c r="G35" s="7">
        <f>G14</f>
        <v>19.456242571298226</v>
      </c>
      <c r="H35" s="8"/>
      <c r="I35" s="8"/>
      <c r="J35" s="7">
        <f>J14</f>
        <v>19.405125183942481</v>
      </c>
      <c r="K35" s="8"/>
      <c r="L35" s="7">
        <f>L14</f>
        <v>19.365298239936813</v>
      </c>
      <c r="N35" s="7">
        <v>1</v>
      </c>
      <c r="O35" s="5">
        <f>D14</f>
        <v>19.62011006404872</v>
      </c>
      <c r="P35" s="5">
        <f>D36</f>
        <v>186.79813660758367</v>
      </c>
    </row>
    <row r="36" spans="2:16" x14ac:dyDescent="0.3">
      <c r="B36" s="43"/>
      <c r="C36" s="3" t="s">
        <v>36</v>
      </c>
      <c r="D36" s="9">
        <f t="shared" ref="D36:L36" si="4">D13</f>
        <v>186.79813660758367</v>
      </c>
      <c r="E36" s="10">
        <f t="shared" si="4"/>
        <v>276.22494554297134</v>
      </c>
      <c r="F36" s="10">
        <f t="shared" si="4"/>
        <v>329.3700604820383</v>
      </c>
      <c r="G36" s="9">
        <f t="shared" si="4"/>
        <v>441.70913106715864</v>
      </c>
      <c r="H36" s="10">
        <f t="shared" si="4"/>
        <v>538.22119665365608</v>
      </c>
      <c r="I36" s="10">
        <f t="shared" si="4"/>
        <v>568.57133034239962</v>
      </c>
      <c r="J36" s="9">
        <f t="shared" si="4"/>
        <v>814.2178857508386</v>
      </c>
      <c r="K36" s="10">
        <f t="shared" si="4"/>
        <v>1221.5184450022878</v>
      </c>
      <c r="L36" s="9">
        <f t="shared" si="4"/>
        <v>1255.8546580937839</v>
      </c>
      <c r="N36" s="7">
        <v>3</v>
      </c>
      <c r="O36" s="5">
        <f>G14</f>
        <v>19.456242571298226</v>
      </c>
      <c r="P36" s="5">
        <f>G36</f>
        <v>441.70913106715864</v>
      </c>
    </row>
    <row r="37" spans="2:16" x14ac:dyDescent="0.3">
      <c r="B37" s="43"/>
      <c r="C37" s="6" t="s">
        <v>37</v>
      </c>
      <c r="D37" s="11"/>
      <c r="E37" s="12">
        <f>(E36*-0.00064284 + 19.74019175)*E36/1000</f>
        <v>5.4036845573794894</v>
      </c>
      <c r="F37" s="12">
        <f>(F36*-0.00064284 + 19.74019175)*F36/1000</f>
        <v>6.4320898867413439</v>
      </c>
      <c r="G37" s="11"/>
      <c r="H37" s="12">
        <f>(H36*-0.00013722 + 19.51685596)*H36/1000</f>
        <v>10.464635397911566</v>
      </c>
      <c r="I37" s="12">
        <f>(I36*-0.00013722 + 19.51685596)*I36/1000</f>
        <v>11.052365187136337</v>
      </c>
      <c r="J37" s="11"/>
      <c r="K37" s="12">
        <f>(K36*-0.00009018+19.47855161)*K36/1000</f>
        <v>23.658851836194668</v>
      </c>
      <c r="L37" s="11"/>
      <c r="N37" s="7">
        <v>6</v>
      </c>
      <c r="O37" s="5">
        <f>J14</f>
        <v>19.405125183942481</v>
      </c>
      <c r="P37" s="5">
        <f>J36</f>
        <v>814.2178857508386</v>
      </c>
    </row>
    <row r="38" spans="2:16" x14ac:dyDescent="0.3">
      <c r="B38" s="43"/>
      <c r="C38" s="3" t="s">
        <v>38</v>
      </c>
      <c r="D38" s="7"/>
      <c r="E38" s="8">
        <f>ABS(E37-E34)*1000</f>
        <v>5.6845573794896964</v>
      </c>
      <c r="F38" s="8">
        <f>ABS(F37-F34)*1000</f>
        <v>1.089886741343804</v>
      </c>
      <c r="G38" s="7"/>
      <c r="H38" s="8">
        <f>ABS(H37-H34)*1000</f>
        <v>6.6353979115660877</v>
      </c>
      <c r="I38" s="8">
        <f>ABS(I37-I34)*1000</f>
        <v>6.3651871363372692</v>
      </c>
      <c r="J38" s="7"/>
      <c r="K38" s="8">
        <f>ABS(K37-K34)*1000</f>
        <v>9.1481638053316772</v>
      </c>
      <c r="L38" s="7"/>
      <c r="N38" s="7">
        <v>12</v>
      </c>
      <c r="O38" s="5">
        <f>L14</f>
        <v>19.365298239936813</v>
      </c>
      <c r="P38" s="5">
        <f>L36</f>
        <v>1255.8546580937839</v>
      </c>
    </row>
    <row r="39" spans="2:16" x14ac:dyDescent="0.3">
      <c r="C39" s="3" t="s">
        <v>39</v>
      </c>
      <c r="D39" s="7"/>
      <c r="E39" s="8">
        <f>E38/E34/10</f>
        <v>0.10530858428102438</v>
      </c>
      <c r="F39" s="8">
        <f>F38/F34/10</f>
        <v>1.6947391406372324E-2</v>
      </c>
      <c r="G39" s="7"/>
      <c r="H39" s="8">
        <f>H38/H34/10</f>
        <v>6.3448058056665591E-2</v>
      </c>
      <c r="I39" s="8">
        <f>I38/I34/10</f>
        <v>5.7624362994181333E-2</v>
      </c>
      <c r="J39" s="7"/>
      <c r="K39" s="8">
        <f>K38/K34/10</f>
        <v>3.8652035682489767E-2</v>
      </c>
      <c r="L39" s="7"/>
    </row>
    <row r="42" spans="2:16" x14ac:dyDescent="0.3">
      <c r="B42" s="43" t="s">
        <v>42</v>
      </c>
      <c r="D42" s="7">
        <v>3.665</v>
      </c>
      <c r="E42" s="8">
        <v>5.3979999999999997</v>
      </c>
      <c r="F42" s="8">
        <v>6.431</v>
      </c>
      <c r="G42" s="7">
        <v>8.5939999999999994</v>
      </c>
      <c r="H42" s="8">
        <v>10.458</v>
      </c>
      <c r="I42" s="8">
        <v>11.045999999999999</v>
      </c>
      <c r="J42" s="7">
        <v>15.8</v>
      </c>
      <c r="K42" s="8">
        <v>23.667999999999999</v>
      </c>
      <c r="L42" s="7">
        <v>24.32</v>
      </c>
      <c r="N42" s="8" t="s">
        <v>33</v>
      </c>
      <c r="O42" s="7" t="s">
        <v>34</v>
      </c>
    </row>
    <row r="43" spans="2:16" x14ac:dyDescent="0.3">
      <c r="B43" s="43"/>
      <c r="C43" s="1" t="s">
        <v>22</v>
      </c>
      <c r="D43" s="7">
        <f>D14</f>
        <v>19.62011006404872</v>
      </c>
      <c r="E43" s="8"/>
      <c r="F43" s="8"/>
      <c r="G43" s="7">
        <f>G14</f>
        <v>19.456242571298226</v>
      </c>
      <c r="H43" s="8"/>
      <c r="I43" s="8"/>
      <c r="J43" s="7">
        <f>J14</f>
        <v>19.405125183942481</v>
      </c>
      <c r="K43" s="8"/>
      <c r="L43" s="7">
        <f>L14</f>
        <v>19.365298239936813</v>
      </c>
      <c r="N43" s="7">
        <v>1</v>
      </c>
      <c r="O43" s="5">
        <f>D14</f>
        <v>19.62011006404872</v>
      </c>
      <c r="P43" s="5">
        <f>D44</f>
        <v>186.79813660758367</v>
      </c>
    </row>
    <row r="44" spans="2:16" ht="14.4" customHeight="1" x14ac:dyDescent="0.3">
      <c r="B44" s="43"/>
      <c r="C44" s="3" t="s">
        <v>36</v>
      </c>
      <c r="D44" s="9">
        <f t="shared" ref="D44:L44" si="5">D13</f>
        <v>186.79813660758367</v>
      </c>
      <c r="E44" s="10">
        <f t="shared" si="5"/>
        <v>276.22494554297134</v>
      </c>
      <c r="F44" s="10">
        <f t="shared" si="5"/>
        <v>329.3700604820383</v>
      </c>
      <c r="G44" s="9">
        <f t="shared" si="5"/>
        <v>441.70913106715864</v>
      </c>
      <c r="H44" s="10">
        <f t="shared" si="5"/>
        <v>538.22119665365608</v>
      </c>
      <c r="I44" s="10">
        <f t="shared" si="5"/>
        <v>568.57133034239962</v>
      </c>
      <c r="J44" s="9">
        <f t="shared" si="5"/>
        <v>814.2178857508386</v>
      </c>
      <c r="K44" s="10">
        <f t="shared" si="5"/>
        <v>1221.5184450022878</v>
      </c>
      <c r="L44" s="9">
        <f t="shared" si="5"/>
        <v>1255.8546580937839</v>
      </c>
      <c r="N44" s="7">
        <v>3</v>
      </c>
      <c r="O44" s="5">
        <f>G14</f>
        <v>19.456242571298226</v>
      </c>
      <c r="P44" s="5">
        <f>G44</f>
        <v>441.70913106715864</v>
      </c>
    </row>
    <row r="45" spans="2:16" x14ac:dyDescent="0.3">
      <c r="B45" s="43"/>
      <c r="C45" s="6" t="s">
        <v>37</v>
      </c>
      <c r="D45" s="11"/>
      <c r="E45" s="12">
        <f>(E44*E44*0.00000031-E44*0.00066684+19.72032252)*E44/1000</f>
        <v>5.4028985426335208</v>
      </c>
      <c r="F45" s="12">
        <f>(F44*F44*0.00000031-F44*0.00066684+19.72032252)*F44/1000</f>
        <v>6.4340187192958753</v>
      </c>
      <c r="G45" s="11"/>
      <c r="H45" s="12">
        <f>(H44*H44*0.00000031-H44*0.00066684+19.72032252)*H44/1000</f>
        <v>10.469057039700878</v>
      </c>
      <c r="I45" s="12">
        <f>(I44*I44*0.00000031-I44*0.00066684+19.72032252)*I44/1000</f>
        <v>11.053817632681174</v>
      </c>
      <c r="J45" s="11"/>
      <c r="K45" s="12">
        <f>(K44*K44*0.00000031-K44*0.00066684+19.72032252)*K44/1000</f>
        <v>23.658758206884077</v>
      </c>
      <c r="L45" s="11"/>
      <c r="N45" s="7">
        <v>6</v>
      </c>
      <c r="O45" s="5">
        <f>J14</f>
        <v>19.405125183942481</v>
      </c>
      <c r="P45" s="5">
        <f>J44</f>
        <v>814.2178857508386</v>
      </c>
    </row>
    <row r="46" spans="2:16" x14ac:dyDescent="0.3">
      <c r="B46" s="43"/>
      <c r="C46" s="3" t="s">
        <v>38</v>
      </c>
      <c r="D46" s="7"/>
      <c r="E46" s="8">
        <f>ABS(E45-E42)*1000</f>
        <v>4.8985426335210747</v>
      </c>
      <c r="F46" s="8">
        <f>ABS(F45-F42)*1000</f>
        <v>3.0187192958752718</v>
      </c>
      <c r="G46" s="7"/>
      <c r="H46" s="8">
        <f>ABS(H45-H42)*1000</f>
        <v>11.057039700878235</v>
      </c>
      <c r="I46" s="8">
        <f>ABS(I45-I42)*1000</f>
        <v>7.8176326811743024</v>
      </c>
      <c r="J46" s="7"/>
      <c r="K46" s="8">
        <f>ABS(K45-K42)*1000</f>
        <v>9.2417931159225475</v>
      </c>
      <c r="L46" s="7"/>
      <c r="N46" s="7">
        <v>12</v>
      </c>
      <c r="O46" s="5">
        <f>L14</f>
        <v>19.365298239936813</v>
      </c>
      <c r="P46" s="5">
        <f>L44</f>
        <v>1255.8546580937839</v>
      </c>
    </row>
    <row r="47" spans="2:16" x14ac:dyDescent="0.3">
      <c r="C47" s="3" t="s">
        <v>39</v>
      </c>
      <c r="D47" s="7"/>
      <c r="E47" s="8">
        <f>E46/E42/10</f>
        <v>9.0747362606911353E-2</v>
      </c>
      <c r="F47" s="8">
        <f>F46/F42/10</f>
        <v>4.6940122778343515E-2</v>
      </c>
      <c r="G47" s="7"/>
      <c r="H47" s="8">
        <f>H46/H42/10</f>
        <v>0.10572805221723307</v>
      </c>
      <c r="I47" s="8">
        <f>I46/I42/10</f>
        <v>7.0773426409327392E-2</v>
      </c>
      <c r="J47" s="7"/>
      <c r="K47" s="8">
        <f>K46/K42/10</f>
        <v>3.9047630200788185E-2</v>
      </c>
      <c r="L47" s="7"/>
    </row>
    <row r="49" spans="2:24" x14ac:dyDescent="0.3">
      <c r="N49" s="13"/>
      <c r="O49" s="13"/>
      <c r="P49" s="13"/>
      <c r="Q49" s="13"/>
      <c r="R49" s="13"/>
      <c r="S49" s="13"/>
      <c r="V49" s="13"/>
      <c r="W49" s="13"/>
    </row>
    <row r="50" spans="2:24" x14ac:dyDescent="0.3">
      <c r="B50" s="43" t="s">
        <v>43</v>
      </c>
      <c r="D50" s="7">
        <v>3.665</v>
      </c>
      <c r="E50" s="8">
        <v>5.3979999999999997</v>
      </c>
      <c r="F50" s="8">
        <v>6.431</v>
      </c>
      <c r="G50" s="7">
        <v>8.5939999999999994</v>
      </c>
      <c r="H50" s="8">
        <v>10.458</v>
      </c>
      <c r="I50" s="8">
        <v>11.045999999999999</v>
      </c>
      <c r="J50" s="7">
        <v>15.8</v>
      </c>
      <c r="K50" s="8">
        <v>23.667999999999999</v>
      </c>
      <c r="L50" s="7">
        <v>24.32</v>
      </c>
      <c r="N50" s="13"/>
      <c r="O50" s="43" t="s">
        <v>44</v>
      </c>
      <c r="P50" s="43"/>
      <c r="Q50" s="13"/>
      <c r="R50" s="13"/>
      <c r="S50" s="43" t="s">
        <v>45</v>
      </c>
      <c r="T50" s="43"/>
      <c r="V50" s="13"/>
      <c r="W50" s="44" t="s">
        <v>46</v>
      </c>
      <c r="X50" s="44"/>
    </row>
    <row r="51" spans="2:24" x14ac:dyDescent="0.3">
      <c r="B51" s="43"/>
      <c r="C51" s="1" t="s">
        <v>22</v>
      </c>
      <c r="D51" s="7">
        <f>D14</f>
        <v>19.62011006404872</v>
      </c>
      <c r="E51" s="8"/>
      <c r="F51" s="8"/>
      <c r="G51" s="7">
        <f>G14</f>
        <v>19.456242571298226</v>
      </c>
      <c r="H51" s="8"/>
      <c r="I51" s="8"/>
      <c r="J51" s="7">
        <f>J14</f>
        <v>19.405125183942481</v>
      </c>
      <c r="K51" s="8"/>
      <c r="L51" s="7">
        <f>L14</f>
        <v>19.365298239936813</v>
      </c>
      <c r="N51" s="7">
        <v>1</v>
      </c>
      <c r="O51" s="14">
        <f>D13</f>
        <v>186.79813660758367</v>
      </c>
      <c r="P51" s="5">
        <v>3.665</v>
      </c>
      <c r="R51" s="7">
        <v>3</v>
      </c>
      <c r="S51" s="14">
        <f>G13</f>
        <v>441.70913106715864</v>
      </c>
      <c r="T51" s="5">
        <v>8.5939999999999994</v>
      </c>
      <c r="V51" s="7">
        <v>6</v>
      </c>
      <c r="W51" s="14">
        <f>J13</f>
        <v>814.2178857508386</v>
      </c>
      <c r="X51" s="5">
        <v>15.8</v>
      </c>
    </row>
    <row r="52" spans="2:24" x14ac:dyDescent="0.3">
      <c r="B52" s="43"/>
      <c r="C52" s="3" t="s">
        <v>36</v>
      </c>
      <c r="D52" s="9">
        <f t="shared" ref="D52:L52" si="6">D13</f>
        <v>186.79813660758367</v>
      </c>
      <c r="E52" s="10">
        <f t="shared" si="6"/>
        <v>276.22494554297134</v>
      </c>
      <c r="F52" s="10">
        <f t="shared" si="6"/>
        <v>329.3700604820383</v>
      </c>
      <c r="G52" s="9">
        <f t="shared" si="6"/>
        <v>441.70913106715864</v>
      </c>
      <c r="H52" s="10">
        <f t="shared" si="6"/>
        <v>538.22119665365608</v>
      </c>
      <c r="I52" s="10">
        <f t="shared" si="6"/>
        <v>568.57133034239962</v>
      </c>
      <c r="J52" s="9">
        <f t="shared" si="6"/>
        <v>814.2178857508386</v>
      </c>
      <c r="K52" s="10">
        <f t="shared" si="6"/>
        <v>1221.5184450022878</v>
      </c>
      <c r="L52" s="9">
        <f t="shared" si="6"/>
        <v>1255.8546580937839</v>
      </c>
      <c r="N52" s="7">
        <v>3</v>
      </c>
      <c r="O52" s="14">
        <f>G13</f>
        <v>441.70913106715864</v>
      </c>
      <c r="P52" s="5">
        <v>8.5939999999999994</v>
      </c>
      <c r="R52" s="7">
        <v>6</v>
      </c>
      <c r="S52" s="14">
        <f>J13</f>
        <v>814.2178857508386</v>
      </c>
      <c r="T52" s="5">
        <v>15.8</v>
      </c>
      <c r="V52" s="7">
        <v>12</v>
      </c>
      <c r="W52" s="14">
        <f>L13</f>
        <v>1255.8546580937839</v>
      </c>
      <c r="X52" s="5">
        <v>24.32</v>
      </c>
    </row>
    <row r="53" spans="2:24" x14ac:dyDescent="0.3">
      <c r="B53" s="43"/>
      <c r="C53" s="6" t="s">
        <v>37</v>
      </c>
      <c r="D53" s="11"/>
      <c r="E53" s="12">
        <f>E52*0.019336 + 0.053041</f>
        <v>5.3941265470188942</v>
      </c>
      <c r="F53" s="12">
        <f>F52*0.019336 + 0.053041</f>
        <v>6.4217404894806922</v>
      </c>
      <c r="G53" s="11"/>
      <c r="H53" s="12">
        <f>H52*0.019345 + 0.049353</f>
        <v>10.461242049264978</v>
      </c>
      <c r="I53" s="12">
        <f>I52*0.019345 + 0.049353</f>
        <v>11.048365385473721</v>
      </c>
      <c r="J53" s="11"/>
      <c r="K53" s="12">
        <f>K52*0.019292 + 0.09221</f>
        <v>23.657743840984136</v>
      </c>
      <c r="L53" s="11"/>
    </row>
    <row r="54" spans="2:24" x14ac:dyDescent="0.3">
      <c r="B54" s="43"/>
      <c r="C54" s="3" t="s">
        <v>38</v>
      </c>
      <c r="D54" s="7"/>
      <c r="E54" s="8">
        <f>ABS(E50-E53)*1000</f>
        <v>3.8734529811055296</v>
      </c>
      <c r="F54" s="8">
        <f>ABS(F50-F53)*1000</f>
        <v>9.2595105193078453</v>
      </c>
      <c r="G54" s="7"/>
      <c r="H54" s="8">
        <f>ABS(H50-H53)*1000</f>
        <v>3.2420492649780641</v>
      </c>
      <c r="I54" s="8">
        <f>ABS(I50-I53)*1000</f>
        <v>2.3653854737215596</v>
      </c>
      <c r="J54" s="7"/>
      <c r="K54" s="8">
        <f>ABS(K50-K53)*1000</f>
        <v>10.256159015863631</v>
      </c>
      <c r="L54" s="7"/>
    </row>
    <row r="55" spans="2:24" x14ac:dyDescent="0.3">
      <c r="C55" s="3" t="s">
        <v>39</v>
      </c>
      <c r="D55" s="7"/>
      <c r="E55" s="8">
        <f>E54/E50/10</f>
        <v>7.1757187497323641E-2</v>
      </c>
      <c r="F55" s="8">
        <f>F54/F50/10</f>
        <v>0.14398243693527982</v>
      </c>
      <c r="G55" s="7"/>
      <c r="H55" s="8">
        <f>H54/H50/10</f>
        <v>3.1000662315720635E-2</v>
      </c>
      <c r="I55" s="8">
        <f>I54/I50/10</f>
        <v>2.1413955040028607E-2</v>
      </c>
      <c r="J55" s="7"/>
      <c r="K55" s="8">
        <f>K54/K50/10</f>
        <v>4.3333441844953656E-2</v>
      </c>
      <c r="L55" s="7"/>
    </row>
    <row r="57" spans="2:24" x14ac:dyDescent="0.3">
      <c r="G57" s="3" t="s">
        <v>47</v>
      </c>
      <c r="H57" s="3">
        <f>(E55+F55+H55+I55+K55)/5</f>
        <v>6.2297536726661273E-2</v>
      </c>
    </row>
    <row r="63" spans="2:24" x14ac:dyDescent="0.3">
      <c r="B63" s="43" t="s">
        <v>48</v>
      </c>
      <c r="D63" s="7">
        <v>3.665</v>
      </c>
      <c r="E63" s="8">
        <v>5.3979999999999997</v>
      </c>
      <c r="F63" s="8">
        <v>6.431</v>
      </c>
      <c r="G63" s="7">
        <v>8.5939999999999994</v>
      </c>
      <c r="H63" s="8">
        <v>10.458</v>
      </c>
      <c r="I63" s="8">
        <v>11.045999999999999</v>
      </c>
      <c r="J63" s="7">
        <v>15.8</v>
      </c>
      <c r="K63" s="8">
        <v>23.667999999999999</v>
      </c>
      <c r="L63" s="7">
        <v>24.32</v>
      </c>
      <c r="O63" s="44" t="s">
        <v>49</v>
      </c>
      <c r="P63" s="44"/>
    </row>
    <row r="64" spans="2:24" x14ac:dyDescent="0.3">
      <c r="B64" s="43"/>
      <c r="C64" s="1" t="s">
        <v>22</v>
      </c>
      <c r="D64" s="7">
        <f>D14</f>
        <v>19.62011006404872</v>
      </c>
      <c r="E64" s="8"/>
      <c r="F64" s="8"/>
      <c r="G64" s="7">
        <f>G14</f>
        <v>19.456242571298226</v>
      </c>
      <c r="H64" s="8"/>
      <c r="I64" s="8"/>
      <c r="J64" s="7">
        <f>J14</f>
        <v>19.405125183942481</v>
      </c>
      <c r="K64" s="8"/>
      <c r="L64" s="7">
        <f>L14</f>
        <v>19.365298239936813</v>
      </c>
      <c r="N64" s="7">
        <v>1</v>
      </c>
      <c r="O64" s="5">
        <f>D13</f>
        <v>186.79813660758367</v>
      </c>
      <c r="P64" s="3">
        <v>3.665</v>
      </c>
    </row>
    <row r="65" spans="2:16" x14ac:dyDescent="0.3">
      <c r="B65" s="43"/>
      <c r="C65" s="3" t="s">
        <v>36</v>
      </c>
      <c r="D65" s="9">
        <f t="shared" ref="D65:L65" si="7">D13</f>
        <v>186.79813660758367</v>
      </c>
      <c r="E65" s="10">
        <f t="shared" si="7"/>
        <v>276.22494554297134</v>
      </c>
      <c r="F65" s="10">
        <f t="shared" si="7"/>
        <v>329.3700604820383</v>
      </c>
      <c r="G65" s="9">
        <f t="shared" si="7"/>
        <v>441.70913106715864</v>
      </c>
      <c r="H65" s="10">
        <f t="shared" si="7"/>
        <v>538.22119665365608</v>
      </c>
      <c r="I65" s="10">
        <f t="shared" si="7"/>
        <v>568.57133034239962</v>
      </c>
      <c r="J65" s="9">
        <f t="shared" si="7"/>
        <v>814.2178857508386</v>
      </c>
      <c r="K65" s="10">
        <f t="shared" si="7"/>
        <v>1221.5184450022878</v>
      </c>
      <c r="L65" s="9">
        <f t="shared" si="7"/>
        <v>1255.8546580937839</v>
      </c>
      <c r="N65" s="7">
        <v>3</v>
      </c>
      <c r="O65" s="5">
        <f>G13</f>
        <v>441.70913106715864</v>
      </c>
      <c r="P65" s="3">
        <v>8.5939999999999994</v>
      </c>
    </row>
    <row r="66" spans="2:16" x14ac:dyDescent="0.3">
      <c r="B66" s="43"/>
      <c r="C66" s="6" t="s">
        <v>37</v>
      </c>
      <c r="D66" s="11"/>
      <c r="E66" s="12">
        <f>E65*0.019322 + 0.059185</f>
        <v>5.3964033977812926</v>
      </c>
      <c r="F66" s="12">
        <f>F65*0.019322 + 0.059185</f>
        <v>6.4232733086339442</v>
      </c>
      <c r="G66" s="11"/>
      <c r="H66" s="12">
        <f>H65*0.019322 + 0.059185</f>
        <v>10.458694961741941</v>
      </c>
      <c r="I66" s="12">
        <f>I65*0.019322 + 0.059185</f>
        <v>11.045120244875845</v>
      </c>
      <c r="J66" s="11"/>
      <c r="K66" s="12">
        <f>K65*0.019322 + 0.059185</f>
        <v>23.661364394334203</v>
      </c>
      <c r="L66" s="11"/>
      <c r="N66" s="7">
        <v>6</v>
      </c>
      <c r="O66" s="5">
        <f>J13</f>
        <v>814.2178857508386</v>
      </c>
      <c r="P66" s="3">
        <v>15.8</v>
      </c>
    </row>
    <row r="67" spans="2:16" x14ac:dyDescent="0.3">
      <c r="B67" s="43"/>
      <c r="C67" s="3" t="s">
        <v>38</v>
      </c>
      <c r="D67" s="7"/>
      <c r="E67" s="8">
        <f>ABS(E63-E66)*1000</f>
        <v>1.596602218707055</v>
      </c>
      <c r="F67" s="8">
        <f>ABS(F63-F66)*1000</f>
        <v>7.72669136605586</v>
      </c>
      <c r="G67" s="7"/>
      <c r="H67" s="8">
        <f>ABS(H63-H66)*1000</f>
        <v>0.69496174194050298</v>
      </c>
      <c r="I67" s="8">
        <f>ABS(I63-I66)*1000</f>
        <v>0.8797551241546131</v>
      </c>
      <c r="J67" s="7"/>
      <c r="K67" s="8">
        <f>ABS(K63-K66)*1000</f>
        <v>6.6356056657959073</v>
      </c>
      <c r="L67" s="7"/>
      <c r="N67" s="7">
        <v>12</v>
      </c>
      <c r="O67" s="5">
        <f>L13</f>
        <v>1255.8546580937839</v>
      </c>
      <c r="P67" s="3">
        <v>24.32</v>
      </c>
    </row>
    <row r="68" spans="2:16" x14ac:dyDescent="0.3">
      <c r="C68" s="3" t="s">
        <v>39</v>
      </c>
      <c r="D68" s="7"/>
      <c r="E68" s="8">
        <f>E67/E63/10</f>
        <v>2.9577662443628288E-2</v>
      </c>
      <c r="F68" s="8">
        <f>F67/F63/10</f>
        <v>0.12014758771662044</v>
      </c>
      <c r="G68" s="7"/>
      <c r="H68" s="8">
        <f>H67/H63/10</f>
        <v>6.6452643138315446E-3</v>
      </c>
      <c r="I68" s="8">
        <f>I67/I63/10</f>
        <v>7.9644678992813068E-3</v>
      </c>
      <c r="J68" s="7"/>
      <c r="K68" s="8">
        <f>K67/K63/10</f>
        <v>2.8036190915142416E-2</v>
      </c>
      <c r="L68" s="7"/>
    </row>
    <row r="70" spans="2:16" x14ac:dyDescent="0.3">
      <c r="G70" s="3" t="s">
        <v>47</v>
      </c>
      <c r="H70" s="3">
        <f>(E68+F68+H68+I68+K68)/5</f>
        <v>3.8474234657700807E-2</v>
      </c>
    </row>
    <row r="72" spans="2:16" x14ac:dyDescent="0.3">
      <c r="B72" s="43" t="s">
        <v>50</v>
      </c>
      <c r="D72" s="7">
        <v>3.665</v>
      </c>
      <c r="E72" s="8">
        <v>5.3979999999999997</v>
      </c>
      <c r="F72" s="8">
        <v>6.431</v>
      </c>
      <c r="G72" s="7">
        <v>8.5939999999999994</v>
      </c>
      <c r="H72" s="8">
        <v>10.458</v>
      </c>
      <c r="I72" s="8">
        <v>11.045999999999999</v>
      </c>
      <c r="J72" s="7">
        <v>15.8</v>
      </c>
      <c r="K72" s="8">
        <v>23.667999999999999</v>
      </c>
      <c r="L72" s="7">
        <v>24.32</v>
      </c>
      <c r="O72" s="44" t="s">
        <v>49</v>
      </c>
      <c r="P72" s="44"/>
    </row>
    <row r="73" spans="2:16" x14ac:dyDescent="0.3">
      <c r="B73" s="43"/>
      <c r="C73" s="1" t="s">
        <v>22</v>
      </c>
      <c r="D73" s="7">
        <f>D14</f>
        <v>19.62011006404872</v>
      </c>
      <c r="E73" s="8"/>
      <c r="F73" s="8"/>
      <c r="G73" s="7">
        <f>G14</f>
        <v>19.456242571298226</v>
      </c>
      <c r="H73" s="8"/>
      <c r="I73" s="8"/>
      <c r="J73" s="7">
        <f>J14</f>
        <v>19.405125183942481</v>
      </c>
      <c r="K73" s="8"/>
      <c r="L73" s="7">
        <f>L14</f>
        <v>19.365298239936813</v>
      </c>
      <c r="N73" s="7">
        <v>1</v>
      </c>
      <c r="O73" s="5">
        <f>D13</f>
        <v>186.79813660758367</v>
      </c>
      <c r="P73" s="3">
        <v>3.665</v>
      </c>
    </row>
    <row r="74" spans="2:16" ht="14.4" customHeight="1" x14ac:dyDescent="0.3">
      <c r="B74" s="43"/>
      <c r="C74" s="3" t="s">
        <v>36</v>
      </c>
      <c r="D74" s="9">
        <f>D13</f>
        <v>186.79813660758367</v>
      </c>
      <c r="E74" s="10">
        <f t="shared" ref="E74:L74" si="8">E13</f>
        <v>276.22494554297134</v>
      </c>
      <c r="F74" s="10">
        <f t="shared" si="8"/>
        <v>329.3700604820383</v>
      </c>
      <c r="G74" s="9">
        <f t="shared" si="8"/>
        <v>441.70913106715864</v>
      </c>
      <c r="H74" s="10">
        <f t="shared" si="8"/>
        <v>538.22119665365608</v>
      </c>
      <c r="I74" s="10">
        <f t="shared" si="8"/>
        <v>568.57133034239962</v>
      </c>
      <c r="J74" s="9">
        <f t="shared" si="8"/>
        <v>814.2178857508386</v>
      </c>
      <c r="K74" s="10">
        <f t="shared" si="8"/>
        <v>1221.5184450022878</v>
      </c>
      <c r="L74" s="9">
        <f t="shared" si="8"/>
        <v>1255.8546580937839</v>
      </c>
      <c r="N74" s="7">
        <v>3</v>
      </c>
      <c r="O74" s="5">
        <f>G13</f>
        <v>441.70913106715864</v>
      </c>
      <c r="P74" s="3">
        <v>8.5939999999999994</v>
      </c>
    </row>
    <row r="75" spans="2:16" x14ac:dyDescent="0.3">
      <c r="B75" s="43"/>
      <c r="C75" s="6" t="s">
        <v>37</v>
      </c>
      <c r="D75" s="11"/>
      <c r="E75" s="12">
        <f>E74*E74*-0.00000003840149+E74*0.01937808239479+0.04513861140084</f>
        <v>5.3949183234728464</v>
      </c>
      <c r="F75" s="12">
        <f>F74*F74*-0.00000003840149+F74*0.01937808239479+0.04513861140084</f>
        <v>6.423532810105745</v>
      </c>
      <c r="G75" s="11"/>
      <c r="H75" s="12">
        <f>H74*H74*-0.00000003840149+H74*0.01937808239479+0.04513861140084</f>
        <v>10.463709084180948</v>
      </c>
      <c r="I75" s="12">
        <f>I74*I74*-0.00000003840149+I74*0.01937808239479+0.04513861140084</f>
        <v>11.050546519478727</v>
      </c>
      <c r="J75" s="11"/>
      <c r="K75" s="12">
        <f>K74*K74*-0.00000003840149+K74*0.01937808239479+0.04513861140084</f>
        <v>23.658524541410173</v>
      </c>
      <c r="L75" s="11"/>
      <c r="N75" s="7">
        <v>6</v>
      </c>
      <c r="O75" s="5">
        <f>J13</f>
        <v>814.2178857508386</v>
      </c>
      <c r="P75" s="3">
        <v>15.8</v>
      </c>
    </row>
    <row r="76" spans="2:16" x14ac:dyDescent="0.3">
      <c r="B76" s="43"/>
      <c r="C76" s="3" t="s">
        <v>38</v>
      </c>
      <c r="D76" s="7"/>
      <c r="E76" s="8">
        <f>ABS(E72-E75)*1000</f>
        <v>3.0816765271532987</v>
      </c>
      <c r="F76" s="8">
        <f>ABS(F72-F75)*1000</f>
        <v>7.4671898942550996</v>
      </c>
      <c r="G76" s="7"/>
      <c r="H76" s="8">
        <f>ABS(H72-H75)*1000</f>
        <v>5.7090841809479542</v>
      </c>
      <c r="I76" s="8">
        <f>ABS(I72-I75)*1000</f>
        <v>4.5465194787279728</v>
      </c>
      <c r="J76" s="7"/>
      <c r="K76" s="8">
        <f>ABS(K72-K75)*1000</f>
        <v>9.4754585898257915</v>
      </c>
      <c r="L76" s="7"/>
      <c r="N76" s="7">
        <v>12</v>
      </c>
      <c r="O76" s="5">
        <f>L13</f>
        <v>1255.8546580937839</v>
      </c>
      <c r="P76" s="3">
        <v>24.32</v>
      </c>
    </row>
    <row r="77" spans="2:16" x14ac:dyDescent="0.3">
      <c r="C77" s="3" t="s">
        <v>39</v>
      </c>
      <c r="D77" s="7"/>
      <c r="E77" s="8">
        <f>E76/E72/10</f>
        <v>5.7089227994688754E-2</v>
      </c>
      <c r="F77" s="8">
        <f>F76/F72/10</f>
        <v>0.11611242255100451</v>
      </c>
      <c r="G77" s="7"/>
      <c r="H77" s="8">
        <f>H76/H72/10</f>
        <v>5.4590592665404038E-2</v>
      </c>
      <c r="I77" s="8">
        <f>I76/I72/10</f>
        <v>4.1159872159405878E-2</v>
      </c>
      <c r="J77" s="7"/>
      <c r="K77" s="8">
        <f>K76/K72/10</f>
        <v>4.0034893484138037E-2</v>
      </c>
      <c r="L77" s="7"/>
    </row>
    <row r="79" spans="2:16" x14ac:dyDescent="0.3">
      <c r="G79" s="3" t="s">
        <v>47</v>
      </c>
      <c r="H79" s="3">
        <f>(E77+F77+H77+I77+K77)/5</f>
        <v>6.179740177092824E-2</v>
      </c>
    </row>
    <row r="80" spans="2:16" x14ac:dyDescent="0.3">
      <c r="N80" s="44" t="s">
        <v>51</v>
      </c>
      <c r="O80" s="44"/>
    </row>
    <row r="81" spans="2:15" x14ac:dyDescent="0.3">
      <c r="B81" s="43" t="s">
        <v>52</v>
      </c>
      <c r="D81" s="7">
        <v>3.665</v>
      </c>
      <c r="E81" s="8">
        <v>5.3979999999999997</v>
      </c>
      <c r="F81" s="8">
        <v>6.431</v>
      </c>
      <c r="G81" s="7">
        <v>8.5939999999999994</v>
      </c>
      <c r="H81" s="8">
        <v>10.458</v>
      </c>
      <c r="I81" s="8">
        <v>11.045999999999999</v>
      </c>
      <c r="J81" s="7">
        <v>15.8</v>
      </c>
      <c r="K81" s="8">
        <v>23.667999999999999</v>
      </c>
      <c r="L81" s="7">
        <v>24.32</v>
      </c>
      <c r="N81" s="7">
        <v>3.665</v>
      </c>
      <c r="O81" s="3">
        <f>D85</f>
        <v>47.598373929683468</v>
      </c>
    </row>
    <row r="82" spans="2:15" x14ac:dyDescent="0.3">
      <c r="B82" s="43"/>
      <c r="C82" s="1" t="s">
        <v>22</v>
      </c>
      <c r="D82" s="7"/>
      <c r="E82" s="8"/>
      <c r="F82" s="8"/>
      <c r="G82" s="7"/>
      <c r="H82" s="8"/>
      <c r="I82" s="8"/>
      <c r="J82" s="7"/>
      <c r="K82" s="8"/>
      <c r="L82" s="7">
        <f>L14</f>
        <v>19.365298239936813</v>
      </c>
      <c r="N82" s="7">
        <v>8.5939999999999994</v>
      </c>
      <c r="O82" s="3">
        <f>G85</f>
        <v>40.170941581134656</v>
      </c>
    </row>
    <row r="83" spans="2:15" x14ac:dyDescent="0.3">
      <c r="B83" s="43"/>
      <c r="C83" s="3" t="s">
        <v>36</v>
      </c>
      <c r="D83" s="9">
        <f t="shared" ref="D83:L83" si="9">D13</f>
        <v>186.79813660758367</v>
      </c>
      <c r="E83" s="10">
        <f t="shared" si="9"/>
        <v>276.22494554297134</v>
      </c>
      <c r="F83" s="10">
        <f t="shared" si="9"/>
        <v>329.3700604820383</v>
      </c>
      <c r="G83" s="9">
        <f t="shared" si="9"/>
        <v>441.70913106715864</v>
      </c>
      <c r="H83" s="10">
        <f t="shared" si="9"/>
        <v>538.22119665365608</v>
      </c>
      <c r="I83" s="10">
        <f t="shared" si="9"/>
        <v>568.57133034239962</v>
      </c>
      <c r="J83" s="9">
        <f t="shared" si="9"/>
        <v>814.2178857508386</v>
      </c>
      <c r="K83" s="10">
        <f t="shared" si="9"/>
        <v>1221.5184450022878</v>
      </c>
      <c r="L83" s="9">
        <f t="shared" si="9"/>
        <v>1255.8546580937839</v>
      </c>
      <c r="N83" s="7">
        <v>15.8</v>
      </c>
      <c r="O83" s="3">
        <f>J85</f>
        <v>32.427810144213254</v>
      </c>
    </row>
    <row r="84" spans="2:15" x14ac:dyDescent="0.3">
      <c r="B84" s="43"/>
      <c r="C84" s="6" t="s">
        <v>37</v>
      </c>
      <c r="D84" s="11">
        <f>$L$82*D83/1000</f>
        <v>3.6174016260703166</v>
      </c>
      <c r="E84" s="12">
        <f>( -2.234686*$L$82*E83/1000+ 59.311935)/1000+$L$82*E83/1000</f>
        <v>5.3965366525523173</v>
      </c>
      <c r="F84" s="12">
        <f>( -2.234686*$L$82*F83/1000+ 59.311935)/1000+$L$82*F83/1000</f>
        <v>6.4234077793159967</v>
      </c>
      <c r="G84" s="11">
        <f t="shared" ref="G84:L84" si="10">$L$82*G83/1000</f>
        <v>8.5538290584188648</v>
      </c>
      <c r="H84" s="12">
        <f>( -2.234686*$L$82*H83/1000+ 59.311935)/1000+$L$82*H83/1000</f>
        <v>10.458834210744637</v>
      </c>
      <c r="I84" s="12">
        <f>( -2.234686*$L$82*I83/1000+ 59.311935)/1000+$L$82*I83/1000</f>
        <v>11.045260188261501</v>
      </c>
      <c r="J84" s="11">
        <f t="shared" si="10"/>
        <v>15.767572189855787</v>
      </c>
      <c r="K84" s="12">
        <f>( -2.234686*$L$82*K83/1000+ 59.311935)/1000+$L$82*K83/1000</f>
        <v>23.661519276545345</v>
      </c>
      <c r="L84" s="11">
        <f t="shared" si="10"/>
        <v>24.32</v>
      </c>
      <c r="N84" s="7">
        <v>24.32</v>
      </c>
      <c r="O84" s="3">
        <f>L85</f>
        <v>0</v>
      </c>
    </row>
    <row r="85" spans="2:15" x14ac:dyDescent="0.3">
      <c r="B85" s="43"/>
      <c r="C85" s="3" t="s">
        <v>38</v>
      </c>
      <c r="D85" s="7">
        <f t="shared" ref="D85:L85" si="11">ABS(D81-D84)*1000</f>
        <v>47.598373929683468</v>
      </c>
      <c r="E85" s="8">
        <f t="shared" si="11"/>
        <v>1.4633474476823949</v>
      </c>
      <c r="F85" s="8">
        <f t="shared" si="11"/>
        <v>7.5922206840033368</v>
      </c>
      <c r="G85" s="7">
        <f t="shared" si="11"/>
        <v>40.170941581134656</v>
      </c>
      <c r="H85" s="8">
        <f t="shared" si="11"/>
        <v>0.83421074463707612</v>
      </c>
      <c r="I85" s="8">
        <f t="shared" si="11"/>
        <v>0.73981173849801962</v>
      </c>
      <c r="J85" s="7">
        <f t="shared" si="11"/>
        <v>32.427810144213254</v>
      </c>
      <c r="K85" s="8">
        <f t="shared" si="11"/>
        <v>6.4807234546542247</v>
      </c>
      <c r="L85" s="7">
        <f t="shared" si="11"/>
        <v>0</v>
      </c>
    </row>
    <row r="86" spans="2:15" x14ac:dyDescent="0.3">
      <c r="C86" s="3" t="s">
        <v>39</v>
      </c>
      <c r="D86" s="7"/>
      <c r="E86" s="8">
        <f>E85/E81/10</f>
        <v>2.7109067204194055E-2</v>
      </c>
      <c r="F86" s="8">
        <f>F85/F81/10</f>
        <v>0.11805661147571664</v>
      </c>
      <c r="G86" s="7"/>
      <c r="H86" s="8">
        <f>H85/H81/10</f>
        <v>7.9767713199184933E-3</v>
      </c>
      <c r="I86" s="8">
        <f>I85/I81/10</f>
        <v>6.6975533088721676E-3</v>
      </c>
      <c r="J86" s="7"/>
      <c r="K86" s="8">
        <f>K85/K81/10</f>
        <v>2.7381795904403521E-2</v>
      </c>
      <c r="L86" s="7"/>
    </row>
    <row r="88" spans="2:15" x14ac:dyDescent="0.3">
      <c r="G88" s="3" t="s">
        <v>47</v>
      </c>
      <c r="H88" s="3">
        <f>(E86+F86+H86+I86+K86)/5</f>
        <v>3.7444359842620976E-2</v>
      </c>
    </row>
    <row r="92" spans="2:15" x14ac:dyDescent="0.3">
      <c r="D92" s="3">
        <f>D83*$L$82/1000</f>
        <v>3.6174016260703166</v>
      </c>
      <c r="E92" s="3">
        <f t="shared" ref="E92:L92" si="12">E83*$L$82/1000</f>
        <v>5.3491784517499443</v>
      </c>
      <c r="F92" s="3">
        <f t="shared" si="12"/>
        <v>6.3783494525406974</v>
      </c>
      <c r="G92" s="3">
        <f t="shared" si="12"/>
        <v>8.5538290584188648</v>
      </c>
      <c r="H92" s="3">
        <f t="shared" si="12"/>
        <v>10.422813992253731</v>
      </c>
      <c r="I92" s="3">
        <f t="shared" si="12"/>
        <v>11.010553382758204</v>
      </c>
      <c r="J92" s="3">
        <f t="shared" si="12"/>
        <v>15.767572189855787</v>
      </c>
      <c r="K92" s="3">
        <f t="shared" si="12"/>
        <v>23.655068993053156</v>
      </c>
      <c r="L92" s="3">
        <f t="shared" si="12"/>
        <v>24.32</v>
      </c>
    </row>
    <row r="93" spans="2:15" x14ac:dyDescent="0.3">
      <c r="D93" s="7">
        <v>3.665</v>
      </c>
      <c r="E93" s="8">
        <v>5.3979999999999997</v>
      </c>
      <c r="F93" s="8">
        <v>6.431</v>
      </c>
      <c r="G93" s="7">
        <v>8.5939999999999994</v>
      </c>
      <c r="H93" s="8">
        <v>10.458</v>
      </c>
      <c r="I93" s="8">
        <v>11.045999999999999</v>
      </c>
      <c r="J93" s="7">
        <v>15.8</v>
      </c>
      <c r="K93" s="8">
        <v>23.667999999999999</v>
      </c>
      <c r="L93" s="7">
        <v>24.32</v>
      </c>
    </row>
  </sheetData>
  <mergeCells count="16">
    <mergeCell ref="S50:T50"/>
    <mergeCell ref="W50:X50"/>
    <mergeCell ref="B63:B67"/>
    <mergeCell ref="O63:P63"/>
    <mergeCell ref="D1:L1"/>
    <mergeCell ref="B3:B12"/>
    <mergeCell ref="B18:B22"/>
    <mergeCell ref="B26:B30"/>
    <mergeCell ref="B34:B38"/>
    <mergeCell ref="B42:B46"/>
    <mergeCell ref="B72:B76"/>
    <mergeCell ref="O72:P72"/>
    <mergeCell ref="N80:O80"/>
    <mergeCell ref="B81:B85"/>
    <mergeCell ref="B50:B54"/>
    <mergeCell ref="O50:P50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FF1A-0A1C-411F-B052-E149156D8600}">
  <sheetPr codeName="Sayfa6"/>
  <dimension ref="B1:X93"/>
  <sheetViews>
    <sheetView topLeftCell="A42" workbookViewId="0">
      <selection activeCell="K67" activeCellId="2" sqref="E67:F67 H67:I67 K67"/>
    </sheetView>
  </sheetViews>
  <sheetFormatPr defaultRowHeight="14.4" x14ac:dyDescent="0.3"/>
  <cols>
    <col min="1" max="2" width="8.88671875" style="3"/>
    <col min="3" max="3" width="16.5546875" style="3" bestFit="1" customWidth="1"/>
    <col min="4" max="16384" width="8.88671875" style="3"/>
  </cols>
  <sheetData>
    <row r="1" spans="2:12" x14ac:dyDescent="0.3">
      <c r="C1" s="4" t="s">
        <v>18</v>
      </c>
      <c r="D1" s="44" t="s">
        <v>19</v>
      </c>
      <c r="E1" s="44"/>
      <c r="F1" s="44"/>
      <c r="G1" s="44"/>
      <c r="H1" s="44"/>
      <c r="I1" s="44"/>
      <c r="J1" s="44"/>
      <c r="K1" s="44"/>
      <c r="L1" s="44"/>
    </row>
    <row r="2" spans="2:12" x14ac:dyDescent="0.3">
      <c r="D2">
        <v>3.665</v>
      </c>
      <c r="E2">
        <v>5.3979999999999997</v>
      </c>
      <c r="F2">
        <v>6.431</v>
      </c>
      <c r="G2">
        <v>8.5939999999999994</v>
      </c>
      <c r="H2">
        <v>10.458</v>
      </c>
      <c r="I2">
        <v>11.045999999999999</v>
      </c>
      <c r="J2">
        <v>15.8</v>
      </c>
      <c r="K2">
        <v>23.667999999999999</v>
      </c>
      <c r="L2">
        <v>24.32</v>
      </c>
    </row>
    <row r="3" spans="2:12" x14ac:dyDescent="0.3">
      <c r="B3" s="43" t="s">
        <v>20</v>
      </c>
      <c r="C3" s="3">
        <v>1</v>
      </c>
      <c r="D3" s="2">
        <v>186.335969339641</v>
      </c>
      <c r="E3" s="2">
        <v>275.74103371775101</v>
      </c>
      <c r="F3" s="2">
        <v>329.00785948714798</v>
      </c>
      <c r="G3" s="2">
        <v>441.34193722837102</v>
      </c>
      <c r="H3" s="2">
        <v>537.774069523045</v>
      </c>
      <c r="I3" s="2">
        <v>568.181834946398</v>
      </c>
      <c r="J3" s="2">
        <v>813.82716031143605</v>
      </c>
      <c r="K3" s="2">
        <v>1221.1286408138001</v>
      </c>
      <c r="L3" s="2">
        <v>1255.46285509007</v>
      </c>
    </row>
    <row r="4" spans="2:12" x14ac:dyDescent="0.3">
      <c r="B4" s="43"/>
      <c r="C4" s="3">
        <v>2</v>
      </c>
      <c r="D4" s="2">
        <v>186.359764207224</v>
      </c>
      <c r="E4" s="2">
        <v>275.68838497224402</v>
      </c>
      <c r="F4" s="2">
        <v>328.95311553983601</v>
      </c>
      <c r="G4" s="2">
        <v>441.25346597343002</v>
      </c>
      <c r="H4" s="2">
        <v>537.70927511933405</v>
      </c>
      <c r="I4" s="2">
        <v>568.13015743631399</v>
      </c>
      <c r="J4" s="2">
        <v>813.80897331867095</v>
      </c>
      <c r="K4" s="2">
        <v>1221.07348495666</v>
      </c>
      <c r="L4" s="2">
        <v>1255.43403563683</v>
      </c>
    </row>
    <row r="5" spans="2:12" x14ac:dyDescent="0.3">
      <c r="B5" s="43"/>
      <c r="C5" s="3">
        <v>3</v>
      </c>
      <c r="D5" s="2">
        <v>186.31663779593501</v>
      </c>
      <c r="E5" s="2">
        <v>275.82286725930197</v>
      </c>
      <c r="F5" s="2">
        <v>328.90991271383001</v>
      </c>
      <c r="G5" s="2">
        <v>441.27656305854703</v>
      </c>
      <c r="H5" s="2">
        <v>537.76738700752003</v>
      </c>
      <c r="I5" s="2">
        <v>568.157146379447</v>
      </c>
      <c r="J5" s="2">
        <v>813.81192622027299</v>
      </c>
      <c r="K5" s="2">
        <v>1221.13072013234</v>
      </c>
      <c r="L5" s="2">
        <v>1255.4147423977499</v>
      </c>
    </row>
    <row r="6" spans="2:12" x14ac:dyDescent="0.3">
      <c r="B6" s="43"/>
      <c r="C6" s="3">
        <v>4</v>
      </c>
      <c r="D6" s="2">
        <v>186.30698999141401</v>
      </c>
      <c r="E6" s="2">
        <v>275.77486598341198</v>
      </c>
      <c r="F6" s="2">
        <v>328.87867140938999</v>
      </c>
      <c r="G6" s="2">
        <v>441.26928258227099</v>
      </c>
      <c r="H6" s="2">
        <v>537.66123595058002</v>
      </c>
      <c r="I6" s="2">
        <v>568.12488909830404</v>
      </c>
      <c r="J6" s="2">
        <v>813.74767719290696</v>
      </c>
      <c r="K6" s="2">
        <v>1221.10846318473</v>
      </c>
      <c r="L6" s="2">
        <v>1255.45580926142</v>
      </c>
    </row>
    <row r="7" spans="2:12" x14ac:dyDescent="0.3">
      <c r="B7" s="43"/>
      <c r="C7" s="3">
        <v>5</v>
      </c>
      <c r="D7" s="2">
        <v>186.367590279262</v>
      </c>
      <c r="E7" s="2">
        <v>275.97307799531802</v>
      </c>
      <c r="F7" s="2">
        <v>328.92736351028498</v>
      </c>
      <c r="G7" s="2">
        <v>441.21013479922499</v>
      </c>
      <c r="H7" s="2">
        <v>537.68185477438101</v>
      </c>
      <c r="I7" s="2">
        <v>568.00499208935105</v>
      </c>
      <c r="J7" s="2">
        <v>813.82441452472096</v>
      </c>
      <c r="K7" s="2">
        <v>1221.11005953529</v>
      </c>
      <c r="L7" s="2">
        <v>1255.4757756827601</v>
      </c>
    </row>
    <row r="8" spans="2:12" x14ac:dyDescent="0.3">
      <c r="B8" s="43"/>
      <c r="C8" s="3">
        <v>6</v>
      </c>
      <c r="D8" s="2">
        <v>186.289762391045</v>
      </c>
      <c r="E8" s="2">
        <v>275.72221752182401</v>
      </c>
      <c r="F8" s="2">
        <v>328.874332068456</v>
      </c>
      <c r="G8" s="2">
        <v>441.31912444153602</v>
      </c>
      <c r="H8" s="2">
        <v>537.72044438658702</v>
      </c>
      <c r="I8" s="2">
        <v>568.21114542319697</v>
      </c>
      <c r="J8" s="2">
        <v>813.72633933131203</v>
      </c>
      <c r="K8" s="2">
        <v>1221.1307846393299</v>
      </c>
      <c r="L8" s="2">
        <v>1255.4493133578401</v>
      </c>
    </row>
    <row r="9" spans="2:12" x14ac:dyDescent="0.3">
      <c r="B9" s="43"/>
      <c r="C9" s="3">
        <v>7</v>
      </c>
      <c r="D9" s="2">
        <v>186.37365597707199</v>
      </c>
      <c r="E9" s="2">
        <v>275.79506881543102</v>
      </c>
      <c r="F9" s="2">
        <v>328.92338988240101</v>
      </c>
      <c r="G9" s="2">
        <v>441.24345519905597</v>
      </c>
      <c r="H9" s="2">
        <v>537.85073816869601</v>
      </c>
      <c r="I9" s="2">
        <v>568.28718819001097</v>
      </c>
      <c r="J9" s="2">
        <v>813.81129651534604</v>
      </c>
      <c r="K9" s="2">
        <v>1221.0990137122001</v>
      </c>
      <c r="L9" s="2">
        <v>1255.4694913400899</v>
      </c>
    </row>
    <row r="10" spans="2:12" x14ac:dyDescent="0.3">
      <c r="B10" s="43"/>
      <c r="C10" s="3">
        <v>8</v>
      </c>
      <c r="D10" s="2">
        <v>186.33798224128699</v>
      </c>
      <c r="E10" s="2">
        <v>275.68138576714898</v>
      </c>
      <c r="F10" s="2">
        <v>328.92008159539898</v>
      </c>
      <c r="G10" s="2">
        <v>441.31451240600597</v>
      </c>
      <c r="H10" s="2">
        <v>537.88361209428194</v>
      </c>
      <c r="I10" s="2">
        <v>568.18316412680997</v>
      </c>
      <c r="J10" s="2">
        <v>813.735598040215</v>
      </c>
      <c r="K10" s="2">
        <v>1221.1012836151699</v>
      </c>
      <c r="L10" s="2">
        <v>1255.4528608089499</v>
      </c>
    </row>
    <row r="11" spans="2:12" x14ac:dyDescent="0.3">
      <c r="B11" s="43"/>
      <c r="C11" s="3">
        <v>9</v>
      </c>
      <c r="D11" s="2">
        <v>186.287687684589</v>
      </c>
      <c r="E11" s="2">
        <v>275.741414459753</v>
      </c>
      <c r="F11" s="2">
        <v>328.90032533586202</v>
      </c>
      <c r="G11" s="2">
        <v>441.22108034491401</v>
      </c>
      <c r="H11" s="2">
        <v>537.799565120583</v>
      </c>
      <c r="I11" s="2">
        <v>568.09029611060805</v>
      </c>
      <c r="J11" s="2">
        <v>813.78696783343605</v>
      </c>
      <c r="K11" s="2">
        <v>1221.05074377339</v>
      </c>
      <c r="L11" s="2">
        <v>1255.4286171670101</v>
      </c>
    </row>
    <row r="12" spans="2:12" x14ac:dyDescent="0.3">
      <c r="B12" s="43"/>
      <c r="C12" s="6">
        <v>10</v>
      </c>
      <c r="D12" s="2">
        <v>186.379062077773</v>
      </c>
      <c r="E12" s="2">
        <v>275.79345046262398</v>
      </c>
      <c r="F12" s="2">
        <v>328.88109564167797</v>
      </c>
      <c r="G12" s="2">
        <v>441.15595285179501</v>
      </c>
      <c r="H12" s="2">
        <v>537.85856772927502</v>
      </c>
      <c r="I12" s="2">
        <v>568.03376164598797</v>
      </c>
      <c r="J12" s="2">
        <v>813.82453949346905</v>
      </c>
      <c r="K12" s="2">
        <v>1221.1077124757401</v>
      </c>
      <c r="L12" s="2">
        <v>1255.48587639328</v>
      </c>
    </row>
    <row r="13" spans="2:12" x14ac:dyDescent="0.3">
      <c r="C13" s="3" t="s">
        <v>21</v>
      </c>
      <c r="D13" s="5">
        <f>AVERAGE(D3:D12)</f>
        <v>186.33551019852419</v>
      </c>
      <c r="E13" s="5">
        <f t="shared" ref="E13:L13" si="0">AVERAGE(E3:E12)</f>
        <v>275.77337669548081</v>
      </c>
      <c r="F13" s="5">
        <f t="shared" si="0"/>
        <v>328.91761471842847</v>
      </c>
      <c r="G13" s="5">
        <f t="shared" si="0"/>
        <v>441.26055088851507</v>
      </c>
      <c r="H13" s="5">
        <f t="shared" si="0"/>
        <v>537.77067498742838</v>
      </c>
      <c r="I13" s="5">
        <f t="shared" si="0"/>
        <v>568.14045754464291</v>
      </c>
      <c r="J13" s="5">
        <f t="shared" si="0"/>
        <v>813.79048927817871</v>
      </c>
      <c r="K13" s="5">
        <f t="shared" si="0"/>
        <v>1221.1040906838648</v>
      </c>
      <c r="L13" s="5">
        <f t="shared" si="0"/>
        <v>1255.4529377136</v>
      </c>
    </row>
    <row r="14" spans="2:12" ht="27.6" customHeight="1" x14ac:dyDescent="0.3">
      <c r="C14" s="1" t="s">
        <v>22</v>
      </c>
      <c r="D14" s="40">
        <f>(D2/D13)*1000</f>
        <v>19.668822094593043</v>
      </c>
      <c r="E14" s="40">
        <f t="shared" ref="E14:L14" si="1">(E2/E13)*1000</f>
        <v>19.574043240441849</v>
      </c>
      <c r="F14" s="40">
        <f t="shared" si="1"/>
        <v>19.552008503726043</v>
      </c>
      <c r="G14" s="40">
        <f t="shared" si="1"/>
        <v>19.476021553921512</v>
      </c>
      <c r="H14" s="40">
        <f t="shared" si="1"/>
        <v>19.446951063749395</v>
      </c>
      <c r="I14" s="40">
        <f t="shared" si="1"/>
        <v>19.442375302294039</v>
      </c>
      <c r="J14" s="40">
        <f t="shared" si="1"/>
        <v>19.41531660564673</v>
      </c>
      <c r="K14" s="40">
        <f t="shared" si="1"/>
        <v>19.382459022592428</v>
      </c>
      <c r="L14" s="40">
        <f t="shared" si="1"/>
        <v>19.371494756538613</v>
      </c>
    </row>
    <row r="15" spans="2:12" x14ac:dyDescent="0.3">
      <c r="D15" s="3" t="s">
        <v>23</v>
      </c>
      <c r="E15" s="3" t="s">
        <v>24</v>
      </c>
      <c r="F15" s="3" t="s">
        <v>25</v>
      </c>
      <c r="G15" s="3" t="s">
        <v>26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</row>
    <row r="18" spans="2:17" x14ac:dyDescent="0.3">
      <c r="B18" s="43" t="s">
        <v>32</v>
      </c>
      <c r="D18" s="7">
        <v>3.665</v>
      </c>
      <c r="E18" s="8">
        <v>5.3979999999999997</v>
      </c>
      <c r="F18" s="8">
        <v>6.431</v>
      </c>
      <c r="G18" s="7">
        <v>8.5939999999999994</v>
      </c>
      <c r="H18" s="8">
        <v>10.458</v>
      </c>
      <c r="I18" s="8">
        <v>11.045999999999999</v>
      </c>
      <c r="J18" s="7">
        <v>15.8</v>
      </c>
      <c r="K18" s="8">
        <v>23.667999999999999</v>
      </c>
      <c r="L18" s="7">
        <v>24.32</v>
      </c>
      <c r="N18" s="8" t="s">
        <v>33</v>
      </c>
      <c r="O18" s="7" t="s">
        <v>34</v>
      </c>
      <c r="Q18" s="3" t="s">
        <v>35</v>
      </c>
    </row>
    <row r="19" spans="2:17" x14ac:dyDescent="0.3">
      <c r="B19" s="43"/>
      <c r="C19" s="1" t="s">
        <v>22</v>
      </c>
      <c r="D19" s="7">
        <f>D14</f>
        <v>19.668822094593043</v>
      </c>
      <c r="E19" s="8"/>
      <c r="F19" s="8"/>
      <c r="G19" s="7">
        <f>G14</f>
        <v>19.476021553921512</v>
      </c>
      <c r="H19" s="8"/>
      <c r="I19" s="8"/>
      <c r="J19" s="7">
        <f>J14</f>
        <v>19.41531660564673</v>
      </c>
      <c r="K19" s="8"/>
      <c r="L19" s="7">
        <f>L14</f>
        <v>19.371494756538613</v>
      </c>
      <c r="Q19" s="3">
        <f>G14</f>
        <v>19.476021553921512</v>
      </c>
    </row>
    <row r="20" spans="2:17" x14ac:dyDescent="0.3">
      <c r="B20" s="43"/>
      <c r="C20" s="3" t="s">
        <v>36</v>
      </c>
      <c r="D20" s="9">
        <f>D13</f>
        <v>186.33551019852419</v>
      </c>
      <c r="E20" s="10">
        <f>E13</f>
        <v>275.77337669548081</v>
      </c>
      <c r="F20" s="10">
        <f t="shared" ref="F20:L20" si="2">F13</f>
        <v>328.91761471842847</v>
      </c>
      <c r="G20" s="9">
        <f t="shared" si="2"/>
        <v>441.26055088851507</v>
      </c>
      <c r="H20" s="10">
        <f t="shared" si="2"/>
        <v>537.77067498742838</v>
      </c>
      <c r="I20" s="10">
        <f t="shared" si="2"/>
        <v>568.14045754464291</v>
      </c>
      <c r="J20" s="9">
        <f t="shared" si="2"/>
        <v>813.79048927817871</v>
      </c>
      <c r="K20" s="10">
        <f t="shared" si="2"/>
        <v>1221.1040906838648</v>
      </c>
      <c r="L20" s="9">
        <f t="shared" si="2"/>
        <v>1255.4529377136</v>
      </c>
    </row>
    <row r="21" spans="2:17" x14ac:dyDescent="0.3">
      <c r="B21" s="43"/>
      <c r="C21" s="6" t="s">
        <v>37</v>
      </c>
      <c r="D21" s="11"/>
      <c r="E21" s="12">
        <f>E20*$Q$19/1000</f>
        <v>5.3709682285189011</v>
      </c>
      <c r="F21" s="12">
        <f>F20*$Q$19/1000</f>
        <v>6.406006553720565</v>
      </c>
      <c r="G21" s="11"/>
      <c r="H21" s="12">
        <f>H20*$Q$19/1000</f>
        <v>10.473633257122076</v>
      </c>
      <c r="I21" s="12">
        <f>I20*$Q$19/1000</f>
        <v>11.065115796794295</v>
      </c>
      <c r="J21" s="11"/>
      <c r="K21" s="12">
        <f>K20*$Q$19/1000</f>
        <v>23.78224958974068</v>
      </c>
      <c r="L21" s="11"/>
    </row>
    <row r="22" spans="2:17" x14ac:dyDescent="0.3">
      <c r="B22" s="43"/>
      <c r="C22" s="3" t="s">
        <v>38</v>
      </c>
      <c r="D22" s="7"/>
      <c r="E22" s="8">
        <f>ABS(E21-E18)*1000</f>
        <v>27.031771481098588</v>
      </c>
      <c r="F22" s="8">
        <f>ABS(F21-F18)*1000</f>
        <v>24.993446279435005</v>
      </c>
      <c r="G22" s="7"/>
      <c r="H22" s="8">
        <f>ABS(H21-H18)*1000</f>
        <v>15.633257122075861</v>
      </c>
      <c r="I22" s="8">
        <f>ABS(I21-I18)*1000</f>
        <v>19.115796794295647</v>
      </c>
      <c r="J22" s="7"/>
      <c r="K22" s="8">
        <f>ABS(K21-K18)*1000</f>
        <v>114.24958974068034</v>
      </c>
      <c r="L22" s="7"/>
    </row>
    <row r="23" spans="2:17" x14ac:dyDescent="0.3">
      <c r="C23" s="3" t="s">
        <v>39</v>
      </c>
      <c r="D23" s="7"/>
      <c r="E23" s="8">
        <f>E22/E18/10</f>
        <v>0.50077383255091867</v>
      </c>
      <c r="F23" s="8">
        <f>F22/F18/10</f>
        <v>0.38864012252270264</v>
      </c>
      <c r="G23" s="7"/>
      <c r="H23" s="8">
        <f>H22/H18/10</f>
        <v>0.14948610749737867</v>
      </c>
      <c r="I23" s="8">
        <f>I22/I18/10</f>
        <v>0.17305628095505748</v>
      </c>
      <c r="J23" s="7"/>
      <c r="K23" s="8">
        <f>K22/K18/10</f>
        <v>0.48271755002822514</v>
      </c>
      <c r="L23" s="7"/>
    </row>
    <row r="26" spans="2:17" x14ac:dyDescent="0.3">
      <c r="B26" s="43" t="s">
        <v>40</v>
      </c>
      <c r="D26" s="7">
        <v>3.665</v>
      </c>
      <c r="E26" s="8">
        <v>5.3979999999999997</v>
      </c>
      <c r="F26" s="8">
        <v>6.431</v>
      </c>
      <c r="G26" s="7">
        <v>8.5939999999999994</v>
      </c>
      <c r="H26" s="8">
        <v>10.458</v>
      </c>
      <c r="I26" s="8">
        <v>11.045999999999999</v>
      </c>
      <c r="J26" s="7">
        <v>15.8</v>
      </c>
      <c r="K26" s="8">
        <v>23.667999999999999</v>
      </c>
      <c r="L26" s="7">
        <v>24.32</v>
      </c>
      <c r="N26" s="8" t="s">
        <v>33</v>
      </c>
      <c r="O26" s="7" t="s">
        <v>34</v>
      </c>
    </row>
    <row r="27" spans="2:17" x14ac:dyDescent="0.3">
      <c r="B27" s="43"/>
      <c r="C27" s="1" t="s">
        <v>22</v>
      </c>
      <c r="D27" s="7">
        <f>D14</f>
        <v>19.668822094593043</v>
      </c>
      <c r="E27" s="8"/>
      <c r="F27" s="8"/>
      <c r="G27" s="7">
        <f>G14</f>
        <v>19.476021553921512</v>
      </c>
      <c r="H27" s="8"/>
      <c r="I27" s="8"/>
      <c r="J27" s="7">
        <f>J14</f>
        <v>19.41531660564673</v>
      </c>
      <c r="K27" s="8"/>
      <c r="L27" s="7">
        <f>L14</f>
        <v>19.371494756538613</v>
      </c>
    </row>
    <row r="28" spans="2:17" x14ac:dyDescent="0.3">
      <c r="B28" s="43"/>
      <c r="C28" s="3" t="s">
        <v>36</v>
      </c>
      <c r="D28" s="9">
        <f t="shared" ref="D28:L28" si="3">D13</f>
        <v>186.33551019852419</v>
      </c>
      <c r="E28" s="10">
        <f t="shared" si="3"/>
        <v>275.77337669548081</v>
      </c>
      <c r="F28" s="10">
        <f t="shared" si="3"/>
        <v>328.91761471842847</v>
      </c>
      <c r="G28" s="9">
        <f t="shared" si="3"/>
        <v>441.26055088851507</v>
      </c>
      <c r="H28" s="10">
        <f t="shared" si="3"/>
        <v>537.77067498742838</v>
      </c>
      <c r="I28" s="10">
        <f t="shared" si="3"/>
        <v>568.14045754464291</v>
      </c>
      <c r="J28" s="9">
        <f t="shared" si="3"/>
        <v>813.79048927817871</v>
      </c>
      <c r="K28" s="10">
        <f t="shared" si="3"/>
        <v>1221.1040906838648</v>
      </c>
      <c r="L28" s="9">
        <f t="shared" si="3"/>
        <v>1255.4529377136</v>
      </c>
    </row>
    <row r="29" spans="2:17" x14ac:dyDescent="0.3">
      <c r="B29" s="43"/>
      <c r="C29" s="6" t="s">
        <v>37</v>
      </c>
      <c r="D29" s="11"/>
      <c r="E29" s="12">
        <f>(E28*D27)/1000</f>
        <v>5.424137484648603</v>
      </c>
      <c r="F29" s="12">
        <f>(F28*G27)/1000</f>
        <v>6.406006553720565</v>
      </c>
      <c r="G29" s="11"/>
      <c r="H29" s="12">
        <f>(H28*G27)/1000</f>
        <v>10.473633257122076</v>
      </c>
      <c r="I29" s="12">
        <f>(I28*J27)/1000</f>
        <v>11.030626859706237</v>
      </c>
      <c r="J29" s="11"/>
      <c r="K29" s="12">
        <f>(K28*J27)/1000</f>
        <v>23.708122529077592</v>
      </c>
      <c r="L29" s="11"/>
    </row>
    <row r="30" spans="2:17" x14ac:dyDescent="0.3">
      <c r="B30" s="43"/>
      <c r="C30" s="3" t="s">
        <v>38</v>
      </c>
      <c r="D30" s="7"/>
      <c r="E30" s="8">
        <f>ABS(E29-E26)*1000</f>
        <v>26.137484648603326</v>
      </c>
      <c r="F30" s="8">
        <f>ABS(F29-F26)*1000</f>
        <v>24.993446279435005</v>
      </c>
      <c r="G30" s="7"/>
      <c r="H30" s="8">
        <f>ABS(H29-H26)*1000</f>
        <v>15.633257122075861</v>
      </c>
      <c r="I30" s="8">
        <f>ABS(I29-I26)*1000</f>
        <v>15.373140293762688</v>
      </c>
      <c r="J30" s="7"/>
      <c r="K30" s="8">
        <f>ABS(K29-K26)*1000</f>
        <v>40.122529077592617</v>
      </c>
      <c r="L30" s="7"/>
    </row>
    <row r="31" spans="2:17" x14ac:dyDescent="0.3">
      <c r="C31" s="3" t="s">
        <v>39</v>
      </c>
      <c r="D31" s="7"/>
      <c r="E31" s="8">
        <f>E30/E26/10</f>
        <v>0.4842068293553784</v>
      </c>
      <c r="F31" s="8">
        <f>F30/F26/10</f>
        <v>0.38864012252270264</v>
      </c>
      <c r="G31" s="7"/>
      <c r="H31" s="8">
        <f>H30/H26/10</f>
        <v>0.14948610749737867</v>
      </c>
      <c r="I31" s="8">
        <f>I30/I26/10</f>
        <v>0.13917382123630898</v>
      </c>
      <c r="J31" s="7"/>
      <c r="K31" s="8">
        <f>K30/K26/10</f>
        <v>0.16952226245391505</v>
      </c>
      <c r="L31" s="7"/>
    </row>
    <row r="34" spans="2:16" x14ac:dyDescent="0.3">
      <c r="B34" s="43" t="s">
        <v>41</v>
      </c>
      <c r="D34" s="7">
        <v>3.665</v>
      </c>
      <c r="E34" s="8">
        <v>5.3979999999999997</v>
      </c>
      <c r="F34" s="8">
        <v>6.431</v>
      </c>
      <c r="G34" s="7">
        <v>8.5939999999999994</v>
      </c>
      <c r="H34" s="8">
        <v>10.458</v>
      </c>
      <c r="I34" s="8">
        <v>11.045999999999999</v>
      </c>
      <c r="J34" s="7">
        <v>15.8</v>
      </c>
      <c r="K34" s="8">
        <v>23.667999999999999</v>
      </c>
      <c r="L34" s="7">
        <v>24.32</v>
      </c>
      <c r="N34" s="8" t="s">
        <v>33</v>
      </c>
      <c r="O34" s="7" t="s">
        <v>34</v>
      </c>
    </row>
    <row r="35" spans="2:16" x14ac:dyDescent="0.3">
      <c r="B35" s="43"/>
      <c r="C35" s="1" t="s">
        <v>22</v>
      </c>
      <c r="D35" s="7">
        <f>D14</f>
        <v>19.668822094593043</v>
      </c>
      <c r="E35" s="8"/>
      <c r="F35" s="8"/>
      <c r="G35" s="7">
        <f>G14</f>
        <v>19.476021553921512</v>
      </c>
      <c r="H35" s="8"/>
      <c r="I35" s="8"/>
      <c r="J35" s="7">
        <f>J14</f>
        <v>19.41531660564673</v>
      </c>
      <c r="K35" s="8"/>
      <c r="L35" s="7">
        <f>L14</f>
        <v>19.371494756538613</v>
      </c>
      <c r="N35" s="7">
        <v>1</v>
      </c>
      <c r="O35" s="5">
        <f>D14</f>
        <v>19.668822094593043</v>
      </c>
      <c r="P35" s="5">
        <f>D36</f>
        <v>186.33551019852419</v>
      </c>
    </row>
    <row r="36" spans="2:16" x14ac:dyDescent="0.3">
      <c r="B36" s="43"/>
      <c r="C36" s="3" t="s">
        <v>36</v>
      </c>
      <c r="D36" s="9">
        <f t="shared" ref="D36:L36" si="4">D13</f>
        <v>186.33551019852419</v>
      </c>
      <c r="E36" s="10">
        <f t="shared" si="4"/>
        <v>275.77337669548081</v>
      </c>
      <c r="F36" s="10">
        <f t="shared" si="4"/>
        <v>328.91761471842847</v>
      </c>
      <c r="G36" s="9">
        <f t="shared" si="4"/>
        <v>441.26055088851507</v>
      </c>
      <c r="H36" s="10">
        <f t="shared" si="4"/>
        <v>537.77067498742838</v>
      </c>
      <c r="I36" s="10">
        <f t="shared" si="4"/>
        <v>568.14045754464291</v>
      </c>
      <c r="J36" s="9">
        <f t="shared" si="4"/>
        <v>813.79048927817871</v>
      </c>
      <c r="K36" s="10">
        <f t="shared" si="4"/>
        <v>1221.1040906838648</v>
      </c>
      <c r="L36" s="9">
        <f t="shared" si="4"/>
        <v>1255.4529377136</v>
      </c>
      <c r="N36" s="7">
        <v>3</v>
      </c>
      <c r="O36" s="5">
        <f>G14</f>
        <v>19.476021553921512</v>
      </c>
      <c r="P36" s="5">
        <f>G36</f>
        <v>441.26055088851507</v>
      </c>
    </row>
    <row r="37" spans="2:16" x14ac:dyDescent="0.3">
      <c r="B37" s="43"/>
      <c r="C37" s="6" t="s">
        <v>37</v>
      </c>
      <c r="D37" s="11"/>
      <c r="E37" s="12">
        <f>(E36*-0.0007563 + 19.80974818)*E36/1000</f>
        <v>5.4054838095968822</v>
      </c>
      <c r="F37" s="12">
        <f>(F36*-0.0007563 + 19.80974818)*F36/1000</f>
        <v>6.4339534447614692</v>
      </c>
      <c r="G37" s="11"/>
      <c r="H37" s="12">
        <f>(H36*-0.00016295 + 19.54792638)*H36/1000</f>
        <v>10.465176864125242</v>
      </c>
      <c r="I37" s="12">
        <f>(I36*-0.00016295 + 19.54792638)*I36/1000</f>
        <v>11.053370253302829</v>
      </c>
      <c r="J37" s="11"/>
      <c r="K37" s="12">
        <f>(K36*-0.00009922 + 19.49606108)*K36/1000</f>
        <v>23.658773471238224</v>
      </c>
      <c r="L37" s="11"/>
      <c r="N37" s="7">
        <v>6</v>
      </c>
      <c r="O37" s="5">
        <f>J14</f>
        <v>19.41531660564673</v>
      </c>
      <c r="P37" s="5">
        <f>J36</f>
        <v>813.79048927817871</v>
      </c>
    </row>
    <row r="38" spans="2:16" x14ac:dyDescent="0.3">
      <c r="B38" s="43"/>
      <c r="C38" s="3" t="s">
        <v>38</v>
      </c>
      <c r="D38" s="7"/>
      <c r="E38" s="8">
        <f>ABS(E37-E34)*1000</f>
        <v>7.4838095968825513</v>
      </c>
      <c r="F38" s="8">
        <f>ABS(F37-F34)*1000</f>
        <v>2.9534447614691928</v>
      </c>
      <c r="G38" s="7"/>
      <c r="H38" s="8">
        <f>ABS(H37-H34)*1000</f>
        <v>7.1768641252418774</v>
      </c>
      <c r="I38" s="8">
        <f>ABS(I37-I34)*1000</f>
        <v>7.3702533028292549</v>
      </c>
      <c r="J38" s="7"/>
      <c r="K38" s="8">
        <f>ABS(K37-K34)*1000</f>
        <v>9.2265287617756542</v>
      </c>
      <c r="L38" s="7"/>
      <c r="N38" s="7">
        <v>12</v>
      </c>
      <c r="O38" s="5">
        <f>L14</f>
        <v>19.371494756538613</v>
      </c>
      <c r="P38" s="5">
        <f>L36</f>
        <v>1255.4529377136</v>
      </c>
    </row>
    <row r="39" spans="2:16" x14ac:dyDescent="0.3">
      <c r="C39" s="3" t="s">
        <v>39</v>
      </c>
      <c r="D39" s="7"/>
      <c r="E39" s="8">
        <f>E38/E34/10</f>
        <v>0.13864041491075493</v>
      </c>
      <c r="F39" s="8">
        <f>F38/F34/10</f>
        <v>4.5925124575792141E-2</v>
      </c>
      <c r="G39" s="7"/>
      <c r="H39" s="8">
        <f>H38/H34/10</f>
        <v>6.8625589264121989E-2</v>
      </c>
      <c r="I39" s="8">
        <f>I38/I34/10</f>
        <v>6.6723278135336378E-2</v>
      </c>
      <c r="J39" s="7"/>
      <c r="K39" s="8">
        <f>K38/K34/10</f>
        <v>3.8983136563189344E-2</v>
      </c>
      <c r="L39" s="7"/>
    </row>
    <row r="42" spans="2:16" x14ac:dyDescent="0.3">
      <c r="B42" s="43" t="s">
        <v>42</v>
      </c>
      <c r="D42" s="7">
        <v>3.665</v>
      </c>
      <c r="E42" s="8">
        <v>5.3979999999999997</v>
      </c>
      <c r="F42" s="8">
        <v>6.431</v>
      </c>
      <c r="G42" s="7">
        <v>8.5939999999999994</v>
      </c>
      <c r="H42" s="8">
        <v>10.458</v>
      </c>
      <c r="I42" s="8">
        <v>11.045999999999999</v>
      </c>
      <c r="J42" s="7">
        <v>15.8</v>
      </c>
      <c r="K42" s="8">
        <v>23.667999999999999</v>
      </c>
      <c r="L42" s="7">
        <v>24.32</v>
      </c>
      <c r="N42" s="8" t="s">
        <v>33</v>
      </c>
      <c r="O42" s="7" t="s">
        <v>34</v>
      </c>
    </row>
    <row r="43" spans="2:16" x14ac:dyDescent="0.3">
      <c r="B43" s="43"/>
      <c r="C43" s="1" t="s">
        <v>22</v>
      </c>
      <c r="D43" s="7">
        <f>D14</f>
        <v>19.668822094593043</v>
      </c>
      <c r="E43" s="8"/>
      <c r="F43" s="8"/>
      <c r="G43" s="7">
        <f>G14</f>
        <v>19.476021553921512</v>
      </c>
      <c r="H43" s="8"/>
      <c r="I43" s="8"/>
      <c r="J43" s="7">
        <f>J14</f>
        <v>19.41531660564673</v>
      </c>
      <c r="K43" s="8"/>
      <c r="L43" s="7">
        <f>L14</f>
        <v>19.371494756538613</v>
      </c>
      <c r="N43" s="7">
        <v>1</v>
      </c>
      <c r="O43" s="5">
        <f>D14</f>
        <v>19.668822094593043</v>
      </c>
      <c r="P43" s="5">
        <f>D44</f>
        <v>186.33551019852419</v>
      </c>
    </row>
    <row r="44" spans="2:16" ht="14.4" customHeight="1" x14ac:dyDescent="0.3">
      <c r="B44" s="43"/>
      <c r="C44" s="3" t="s">
        <v>36</v>
      </c>
      <c r="D44" s="9">
        <f t="shared" ref="D44:L44" si="5">D13</f>
        <v>186.33551019852419</v>
      </c>
      <c r="E44" s="10">
        <f t="shared" si="5"/>
        <v>275.77337669548081</v>
      </c>
      <c r="F44" s="10">
        <f t="shared" si="5"/>
        <v>328.91761471842847</v>
      </c>
      <c r="G44" s="9">
        <f t="shared" si="5"/>
        <v>441.26055088851507</v>
      </c>
      <c r="H44" s="10">
        <f t="shared" si="5"/>
        <v>537.77067498742838</v>
      </c>
      <c r="I44" s="10">
        <f t="shared" si="5"/>
        <v>568.14045754464291</v>
      </c>
      <c r="J44" s="9">
        <f t="shared" si="5"/>
        <v>813.79048927817871</v>
      </c>
      <c r="K44" s="10">
        <f t="shared" si="5"/>
        <v>1221.1040906838648</v>
      </c>
      <c r="L44" s="9">
        <f t="shared" si="5"/>
        <v>1255.4529377136</v>
      </c>
      <c r="N44" s="7">
        <v>3</v>
      </c>
      <c r="O44" s="5">
        <f>G14</f>
        <v>19.476021553921512</v>
      </c>
      <c r="P44" s="5">
        <f>G44</f>
        <v>441.26055088851507</v>
      </c>
    </row>
    <row r="45" spans="2:16" x14ac:dyDescent="0.3">
      <c r="B45" s="43"/>
      <c r="C45" s="6" t="s">
        <v>37</v>
      </c>
      <c r="D45" s="11"/>
      <c r="E45" s="12">
        <f>(E44*E44*0.00000037-E44*0.00079086+19.78762236)*E44/1000</f>
        <v>5.4045137231230349</v>
      </c>
      <c r="F45" s="12">
        <f>(F44*F44*0.00000037-F44*0.00079086+19.78762236)*F44/1000</f>
        <v>6.4361032181316764</v>
      </c>
      <c r="G45" s="11"/>
      <c r="H45" s="12">
        <f>(H44*H44*0.00000037-H44*0.00079086+19.78762236)*H44/1000</f>
        <v>10.470031532994001</v>
      </c>
      <c r="I45" s="12">
        <f>(I44*I44*0.00000037-I44*0.00079086+19.78762236)*I44/1000</f>
        <v>11.054725171549856</v>
      </c>
      <c r="J45" s="11"/>
      <c r="K45" s="12">
        <f>(K44*K44*0.00000037-K44*0.00079086+19.78762236)*K44/1000</f>
        <v>23.657188564612984</v>
      </c>
      <c r="L45" s="11"/>
      <c r="N45" s="7">
        <v>6</v>
      </c>
      <c r="O45" s="5">
        <f>J14</f>
        <v>19.41531660564673</v>
      </c>
      <c r="P45" s="5">
        <f>J44</f>
        <v>813.79048927817871</v>
      </c>
    </row>
    <row r="46" spans="2:16" x14ac:dyDescent="0.3">
      <c r="B46" s="43"/>
      <c r="C46" s="3" t="s">
        <v>38</v>
      </c>
      <c r="D46" s="7"/>
      <c r="E46" s="8">
        <f>ABS(E45-E42)*1000</f>
        <v>6.5137231230352199</v>
      </c>
      <c r="F46" s="8">
        <f>ABS(F45-F42)*1000</f>
        <v>5.103218131676357</v>
      </c>
      <c r="G46" s="7"/>
      <c r="H46" s="8">
        <f>ABS(H45-H42)*1000</f>
        <v>12.031532994001282</v>
      </c>
      <c r="I46" s="8">
        <f>ABS(I45-I42)*1000</f>
        <v>8.7251715498570803</v>
      </c>
      <c r="J46" s="7"/>
      <c r="K46" s="8">
        <f>ABS(K45-K42)*1000</f>
        <v>10.811435387015678</v>
      </c>
      <c r="L46" s="7"/>
      <c r="N46" s="7">
        <v>12</v>
      </c>
      <c r="O46" s="5">
        <f>L14</f>
        <v>19.371494756538613</v>
      </c>
      <c r="P46" s="5">
        <f>L44</f>
        <v>1255.4529377136</v>
      </c>
    </row>
    <row r="47" spans="2:16" x14ac:dyDescent="0.3">
      <c r="C47" s="3" t="s">
        <v>39</v>
      </c>
      <c r="D47" s="7"/>
      <c r="E47" s="8">
        <f>E46/E42/10</f>
        <v>0.12066919457271619</v>
      </c>
      <c r="F47" s="8">
        <f>F46/F42/10</f>
        <v>7.9353415202555705E-2</v>
      </c>
      <c r="G47" s="7"/>
      <c r="H47" s="8">
        <f>H46/H42/10</f>
        <v>0.11504621336776899</v>
      </c>
      <c r="I47" s="8">
        <f>I46/I42/10</f>
        <v>7.8989421961407583E-2</v>
      </c>
      <c r="J47" s="7"/>
      <c r="K47" s="8">
        <f>K46/K42/10</f>
        <v>4.5679547857933406E-2</v>
      </c>
      <c r="L47" s="7"/>
    </row>
    <row r="49" spans="2:24" x14ac:dyDescent="0.3">
      <c r="N49" s="13"/>
      <c r="O49" s="13"/>
      <c r="P49" s="13"/>
      <c r="Q49" s="13"/>
      <c r="R49" s="13"/>
      <c r="S49" s="13"/>
      <c r="V49" s="13"/>
      <c r="W49" s="13"/>
    </row>
    <row r="50" spans="2:24" x14ac:dyDescent="0.3">
      <c r="B50" s="43" t="s">
        <v>43</v>
      </c>
      <c r="D50" s="7">
        <v>3.665</v>
      </c>
      <c r="E50" s="8">
        <v>5.3979999999999997</v>
      </c>
      <c r="F50" s="8">
        <v>6.431</v>
      </c>
      <c r="G50" s="7">
        <v>8.5939999999999994</v>
      </c>
      <c r="H50" s="8">
        <v>10.458</v>
      </c>
      <c r="I50" s="8">
        <v>11.045999999999999</v>
      </c>
      <c r="J50" s="7">
        <v>15.8</v>
      </c>
      <c r="K50" s="8">
        <v>23.667999999999999</v>
      </c>
      <c r="L50" s="7">
        <v>24.32</v>
      </c>
      <c r="N50" s="13"/>
      <c r="O50" s="43" t="s">
        <v>44</v>
      </c>
      <c r="P50" s="43"/>
      <c r="Q50" s="13"/>
      <c r="R50" s="13"/>
      <c r="S50" s="43" t="s">
        <v>45</v>
      </c>
      <c r="T50" s="43"/>
      <c r="V50" s="13"/>
      <c r="W50" s="44" t="s">
        <v>46</v>
      </c>
      <c r="X50" s="44"/>
    </row>
    <row r="51" spans="2:24" x14ac:dyDescent="0.3">
      <c r="B51" s="43"/>
      <c r="C51" s="1" t="s">
        <v>22</v>
      </c>
      <c r="D51" s="7">
        <f>D14</f>
        <v>19.668822094593043</v>
      </c>
      <c r="E51" s="8"/>
      <c r="F51" s="8"/>
      <c r="G51" s="7">
        <f>G14</f>
        <v>19.476021553921512</v>
      </c>
      <c r="H51" s="8"/>
      <c r="I51" s="8"/>
      <c r="J51" s="7">
        <f>J14</f>
        <v>19.41531660564673</v>
      </c>
      <c r="K51" s="8"/>
      <c r="L51" s="7">
        <f>L14</f>
        <v>19.371494756538613</v>
      </c>
      <c r="N51" s="7">
        <v>1</v>
      </c>
      <c r="O51" s="14">
        <f>D13</f>
        <v>186.33551019852419</v>
      </c>
      <c r="P51" s="5">
        <v>3.665</v>
      </c>
      <c r="R51" s="7">
        <v>3</v>
      </c>
      <c r="S51" s="14">
        <f>G13</f>
        <v>441.26055088851507</v>
      </c>
      <c r="T51" s="5">
        <v>8.5939999999999994</v>
      </c>
      <c r="V51" s="7">
        <v>6</v>
      </c>
      <c r="W51" s="14">
        <f>J13</f>
        <v>813.79048927817871</v>
      </c>
      <c r="X51" s="5">
        <v>15.8</v>
      </c>
    </row>
    <row r="52" spans="2:24" x14ac:dyDescent="0.3">
      <c r="B52" s="43"/>
      <c r="C52" s="3" t="s">
        <v>36</v>
      </c>
      <c r="D52" s="9">
        <f t="shared" ref="D52:L52" si="6">D13</f>
        <v>186.33551019852419</v>
      </c>
      <c r="E52" s="10">
        <f t="shared" si="6"/>
        <v>275.77337669548081</v>
      </c>
      <c r="F52" s="10">
        <f t="shared" si="6"/>
        <v>328.91761471842847</v>
      </c>
      <c r="G52" s="9">
        <f t="shared" si="6"/>
        <v>441.26055088851507</v>
      </c>
      <c r="H52" s="10">
        <f t="shared" si="6"/>
        <v>537.77067498742838</v>
      </c>
      <c r="I52" s="10">
        <f t="shared" si="6"/>
        <v>568.14045754464291</v>
      </c>
      <c r="J52" s="9">
        <f t="shared" si="6"/>
        <v>813.79048927817871</v>
      </c>
      <c r="K52" s="10">
        <f t="shared" si="6"/>
        <v>1221.1040906838648</v>
      </c>
      <c r="L52" s="9">
        <f t="shared" si="6"/>
        <v>1255.4529377136</v>
      </c>
      <c r="N52" s="7">
        <v>3</v>
      </c>
      <c r="O52" s="14">
        <f>G13</f>
        <v>441.26055088851507</v>
      </c>
      <c r="P52" s="5">
        <v>8.5939999999999994</v>
      </c>
      <c r="R52" s="7">
        <v>6</v>
      </c>
      <c r="S52" s="14">
        <f>J13</f>
        <v>813.79048927817871</v>
      </c>
      <c r="T52" s="5">
        <v>15.8</v>
      </c>
      <c r="V52" s="7">
        <v>12</v>
      </c>
      <c r="W52" s="14">
        <f>L13</f>
        <v>1255.4529377136</v>
      </c>
      <c r="X52" s="5">
        <v>24.32</v>
      </c>
    </row>
    <row r="53" spans="2:24" x14ac:dyDescent="0.3">
      <c r="B53" s="43"/>
      <c r="C53" s="6" t="s">
        <v>37</v>
      </c>
      <c r="D53" s="11"/>
      <c r="E53" s="12">
        <f>E52*0.019335 + 0.062185</f>
        <v>5.3942632384071221</v>
      </c>
      <c r="F53" s="12">
        <f>F52*0.019335 + 0.062185</f>
        <v>6.4218070805808152</v>
      </c>
      <c r="G53" s="11"/>
      <c r="H53" s="12">
        <f>H52* 0.019343 + 0.058515</f>
        <v>10.460613166281826</v>
      </c>
      <c r="I53" s="12">
        <f>I52* 0.019343 + 0.058515</f>
        <v>11.048055870286028</v>
      </c>
      <c r="J53" s="11"/>
      <c r="K53" s="12">
        <f>K52*0.019291 + 0.101371</f>
        <v>23.657690013382435</v>
      </c>
      <c r="L53" s="11"/>
    </row>
    <row r="54" spans="2:24" x14ac:dyDescent="0.3">
      <c r="B54" s="43"/>
      <c r="C54" s="3" t="s">
        <v>38</v>
      </c>
      <c r="D54" s="7"/>
      <c r="E54" s="8">
        <f>ABS(E50-E53)*1000</f>
        <v>3.7367615928776132</v>
      </c>
      <c r="F54" s="8">
        <f>ABS(F50-F53)*1000</f>
        <v>9.1929194191848751</v>
      </c>
      <c r="G54" s="7"/>
      <c r="H54" s="8">
        <f>ABS(H50-H53)*1000</f>
        <v>2.6131662818258405</v>
      </c>
      <c r="I54" s="8">
        <f>ABS(I50-I53)*1000</f>
        <v>2.0558702860284939</v>
      </c>
      <c r="J54" s="7"/>
      <c r="K54" s="8">
        <f>ABS(K50-K53)*1000</f>
        <v>10.309986617563993</v>
      </c>
      <c r="L54" s="7"/>
    </row>
    <row r="55" spans="2:24" x14ac:dyDescent="0.3">
      <c r="C55" s="3" t="s">
        <v>39</v>
      </c>
      <c r="D55" s="7"/>
      <c r="E55" s="8">
        <f>E54/E50/10</f>
        <v>6.9224927619073978E-2</v>
      </c>
      <c r="F55" s="8">
        <f>F54/F50/10</f>
        <v>0.14294696655551042</v>
      </c>
      <c r="G55" s="7"/>
      <c r="H55" s="8">
        <f>H54/H50/10</f>
        <v>2.4987246909790022E-2</v>
      </c>
      <c r="I55" s="8">
        <f>I54/I50/10</f>
        <v>1.8611898298284392E-2</v>
      </c>
      <c r="J55" s="7"/>
      <c r="K55" s="8">
        <f>K54/K50/10</f>
        <v>4.3560869602687145E-2</v>
      </c>
      <c r="L55" s="7"/>
    </row>
    <row r="57" spans="2:24" x14ac:dyDescent="0.3">
      <c r="G57" s="3" t="s">
        <v>47</v>
      </c>
      <c r="H57" s="3">
        <f>(E55+F55+H55+I55+K55)/5</f>
        <v>5.9866381797069192E-2</v>
      </c>
    </row>
    <row r="63" spans="2:24" x14ac:dyDescent="0.3">
      <c r="B63" s="43" t="s">
        <v>48</v>
      </c>
      <c r="D63" s="7">
        <v>3.665</v>
      </c>
      <c r="E63" s="8">
        <v>5.3979999999999997</v>
      </c>
      <c r="F63" s="8">
        <v>6.431</v>
      </c>
      <c r="G63" s="7">
        <v>8.5939999999999994</v>
      </c>
      <c r="H63" s="8">
        <v>10.458</v>
      </c>
      <c r="I63" s="8">
        <v>11.045999999999999</v>
      </c>
      <c r="J63" s="7">
        <v>15.8</v>
      </c>
      <c r="K63" s="8">
        <v>23.667999999999999</v>
      </c>
      <c r="L63" s="7">
        <v>24.32</v>
      </c>
      <c r="O63" s="44" t="s">
        <v>49</v>
      </c>
      <c r="P63" s="44"/>
    </row>
    <row r="64" spans="2:24" x14ac:dyDescent="0.3">
      <c r="B64" s="43"/>
      <c r="C64" s="1" t="s">
        <v>22</v>
      </c>
      <c r="D64" s="7">
        <f>D14</f>
        <v>19.668822094593043</v>
      </c>
      <c r="E64" s="8"/>
      <c r="F64" s="8"/>
      <c r="G64" s="7">
        <f>G14</f>
        <v>19.476021553921512</v>
      </c>
      <c r="H64" s="8"/>
      <c r="I64" s="8"/>
      <c r="J64" s="7">
        <f>J14</f>
        <v>19.41531660564673</v>
      </c>
      <c r="K64" s="8"/>
      <c r="L64" s="7">
        <f>L14</f>
        <v>19.371494756538613</v>
      </c>
      <c r="N64" s="7">
        <v>1</v>
      </c>
      <c r="O64" s="5">
        <f>D13</f>
        <v>186.33551019852419</v>
      </c>
      <c r="P64" s="3">
        <v>3.665</v>
      </c>
    </row>
    <row r="65" spans="2:16" x14ac:dyDescent="0.3">
      <c r="B65" s="43"/>
      <c r="C65" s="3" t="s">
        <v>36</v>
      </c>
      <c r="D65" s="9">
        <f t="shared" ref="D65:L65" si="7">D13</f>
        <v>186.33551019852419</v>
      </c>
      <c r="E65" s="10">
        <f t="shared" si="7"/>
        <v>275.77337669548081</v>
      </c>
      <c r="F65" s="10">
        <f t="shared" si="7"/>
        <v>328.91761471842847</v>
      </c>
      <c r="G65" s="9">
        <f t="shared" si="7"/>
        <v>441.26055088851507</v>
      </c>
      <c r="H65" s="10">
        <f t="shared" si="7"/>
        <v>537.77067498742838</v>
      </c>
      <c r="I65" s="10">
        <f t="shared" si="7"/>
        <v>568.14045754464291</v>
      </c>
      <c r="J65" s="9">
        <f t="shared" si="7"/>
        <v>813.79048927817871</v>
      </c>
      <c r="K65" s="10">
        <f t="shared" si="7"/>
        <v>1221.1040906838648</v>
      </c>
      <c r="L65" s="9">
        <f t="shared" si="7"/>
        <v>1255.4529377136</v>
      </c>
      <c r="N65" s="7">
        <v>3</v>
      </c>
      <c r="O65" s="5">
        <f>G13</f>
        <v>441.26055088851507</v>
      </c>
      <c r="P65" s="3">
        <v>8.5939999999999994</v>
      </c>
    </row>
    <row r="66" spans="2:16" x14ac:dyDescent="0.3">
      <c r="B66" s="43"/>
      <c r="C66" s="6" t="s">
        <v>37</v>
      </c>
      <c r="D66" s="11"/>
      <c r="E66" s="12">
        <f>E65*0.019321 + 0.068335</f>
        <v>5.3965524111333849</v>
      </c>
      <c r="F66" s="12">
        <f>F65*0.019321 + 0.068335</f>
        <v>6.4233522339747573</v>
      </c>
      <c r="G66" s="11"/>
      <c r="H66" s="12">
        <f>H65*0.019321 + 0.068335</f>
        <v>10.458602211432105</v>
      </c>
      <c r="I66" s="12">
        <f>I65*0.019321 + 0.068335</f>
        <v>11.045376780220046</v>
      </c>
      <c r="J66" s="11"/>
      <c r="K66" s="12">
        <f>K65*0.019321 + 0.068335</f>
        <v>23.661287136102956</v>
      </c>
      <c r="L66" s="11"/>
      <c r="N66" s="7">
        <v>6</v>
      </c>
      <c r="O66" s="5">
        <f>J13</f>
        <v>813.79048927817871</v>
      </c>
      <c r="P66" s="3">
        <v>15.8</v>
      </c>
    </row>
    <row r="67" spans="2:16" x14ac:dyDescent="0.3">
      <c r="B67" s="43"/>
      <c r="C67" s="3" t="s">
        <v>38</v>
      </c>
      <c r="D67" s="7"/>
      <c r="E67" s="8">
        <f>ABS(E63-E66)*1000</f>
        <v>1.4475888666147796</v>
      </c>
      <c r="F67" s="8">
        <f>ABS(F63-F66)*1000</f>
        <v>7.6477660252427526</v>
      </c>
      <c r="G67" s="7"/>
      <c r="H67" s="8">
        <f>ABS(H63-H66)*1000</f>
        <v>0.60221143210448247</v>
      </c>
      <c r="I67" s="8">
        <f>ABS(I63-I66)*1000</f>
        <v>0.62321977995338784</v>
      </c>
      <c r="J67" s="7"/>
      <c r="K67" s="8">
        <f>ABS(K63-K66)*1000</f>
        <v>6.7128638970430643</v>
      </c>
      <c r="L67" s="7"/>
      <c r="N67" s="7">
        <v>12</v>
      </c>
      <c r="O67" s="5">
        <f>L13</f>
        <v>1255.4529377136</v>
      </c>
      <c r="P67" s="3">
        <v>24.32</v>
      </c>
    </row>
    <row r="68" spans="2:16" x14ac:dyDescent="0.3">
      <c r="C68" s="3" t="s">
        <v>39</v>
      </c>
      <c r="D68" s="7"/>
      <c r="E68" s="8">
        <f>E67/E63/10</f>
        <v>2.6817133505275655E-2</v>
      </c>
      <c r="F68" s="8">
        <f>F67/F63/10</f>
        <v>0.11892032382588638</v>
      </c>
      <c r="G68" s="7"/>
      <c r="H68" s="8">
        <f>H67/H63/10</f>
        <v>5.7583804944012478E-3</v>
      </c>
      <c r="I68" s="8">
        <f>I67/I63/10</f>
        <v>5.6420403761849348E-3</v>
      </c>
      <c r="J68" s="7"/>
      <c r="K68" s="8">
        <f>K67/K63/10</f>
        <v>2.8362615755632349E-2</v>
      </c>
      <c r="L68" s="7"/>
    </row>
    <row r="70" spans="2:16" x14ac:dyDescent="0.3">
      <c r="G70" s="3" t="s">
        <v>47</v>
      </c>
      <c r="H70" s="3">
        <f>(E68+F68+H68+I68+K68)/5</f>
        <v>3.7100098791476112E-2</v>
      </c>
    </row>
    <row r="72" spans="2:16" x14ac:dyDescent="0.3">
      <c r="B72" s="43" t="s">
        <v>50</v>
      </c>
      <c r="D72" s="7">
        <v>3.665</v>
      </c>
      <c r="E72" s="8">
        <v>5.3979999999999997</v>
      </c>
      <c r="F72" s="8">
        <v>6.431</v>
      </c>
      <c r="G72" s="7">
        <v>8.5939999999999994</v>
      </c>
      <c r="H72" s="8">
        <v>10.458</v>
      </c>
      <c r="I72" s="8">
        <v>11.045999999999999</v>
      </c>
      <c r="J72" s="7">
        <v>15.8</v>
      </c>
      <c r="K72" s="8">
        <v>23.667999999999999</v>
      </c>
      <c r="L72" s="7">
        <v>24.32</v>
      </c>
      <c r="O72" s="44" t="s">
        <v>49</v>
      </c>
      <c r="P72" s="44"/>
    </row>
    <row r="73" spans="2:16" x14ac:dyDescent="0.3">
      <c r="B73" s="43"/>
      <c r="C73" s="1" t="s">
        <v>22</v>
      </c>
      <c r="D73" s="7">
        <f>D14</f>
        <v>19.668822094593043</v>
      </c>
      <c r="E73" s="8"/>
      <c r="F73" s="8"/>
      <c r="G73" s="7">
        <f>G14</f>
        <v>19.476021553921512</v>
      </c>
      <c r="H73" s="8"/>
      <c r="I73" s="8"/>
      <c r="J73" s="7">
        <f>J14</f>
        <v>19.41531660564673</v>
      </c>
      <c r="K73" s="8"/>
      <c r="L73" s="7">
        <f>L14</f>
        <v>19.371494756538613</v>
      </c>
      <c r="N73" s="7">
        <v>1</v>
      </c>
      <c r="O73" s="5">
        <f>D13</f>
        <v>186.33551019852419</v>
      </c>
      <c r="P73" s="3">
        <v>3.665</v>
      </c>
    </row>
    <row r="74" spans="2:16" ht="14.4" customHeight="1" x14ac:dyDescent="0.3">
      <c r="B74" s="43"/>
      <c r="C74" s="3" t="s">
        <v>36</v>
      </c>
      <c r="D74" s="9">
        <f>D13</f>
        <v>186.33551019852419</v>
      </c>
      <c r="E74" s="10">
        <f t="shared" ref="E74:L74" si="8">E13</f>
        <v>275.77337669548081</v>
      </c>
      <c r="F74" s="10">
        <f t="shared" si="8"/>
        <v>328.91761471842847</v>
      </c>
      <c r="G74" s="9">
        <f t="shared" si="8"/>
        <v>441.26055088851507</v>
      </c>
      <c r="H74" s="10">
        <f t="shared" si="8"/>
        <v>537.77067498742838</v>
      </c>
      <c r="I74" s="10">
        <f t="shared" si="8"/>
        <v>568.14045754464291</v>
      </c>
      <c r="J74" s="9">
        <f t="shared" si="8"/>
        <v>813.79048927817871</v>
      </c>
      <c r="K74" s="10">
        <f t="shared" si="8"/>
        <v>1221.1040906838648</v>
      </c>
      <c r="L74" s="9">
        <f t="shared" si="8"/>
        <v>1255.4529377136</v>
      </c>
      <c r="N74" s="7">
        <v>3</v>
      </c>
      <c r="O74" s="5">
        <f>G13</f>
        <v>441.26055088851507</v>
      </c>
      <c r="P74" s="3">
        <v>8.5939999999999994</v>
      </c>
    </row>
    <row r="75" spans="2:16" x14ac:dyDescent="0.3">
      <c r="B75" s="43"/>
      <c r="C75" s="6" t="s">
        <v>37</v>
      </c>
      <c r="D75" s="11"/>
      <c r="E75" s="12">
        <f>E74*E74*-0.00000003843544+E74*0.01937699677221+0.05430070297152</f>
        <v>5.3950374811321575</v>
      </c>
      <c r="F75" s="12">
        <f>F74*F74*-0.00000003843544+F74*0.01937699677221+0.05430070297152</f>
        <v>6.4235780545381784</v>
      </c>
      <c r="G75" s="11"/>
      <c r="H75" s="12">
        <f>H74*H74*-0.00000003843544+H74*0.01937699677221+0.05430070297152</f>
        <v>10.463565910962988</v>
      </c>
      <c r="I75" s="12">
        <f>I74*I74*-0.00000003843544+I74*0.01937699677221+0.05430070297152</f>
        <v>11.050750186073159</v>
      </c>
      <c r="J75" s="11"/>
      <c r="K75" s="12">
        <f>K74*K74*-0.00000003843544+K74*0.01937699677221+0.05430070297152</f>
        <v>23.65831982658036</v>
      </c>
      <c r="L75" s="11"/>
      <c r="N75" s="7">
        <v>6</v>
      </c>
      <c r="O75" s="5">
        <f>J13</f>
        <v>813.79048927817871</v>
      </c>
      <c r="P75" s="3">
        <v>15.8</v>
      </c>
    </row>
    <row r="76" spans="2:16" x14ac:dyDescent="0.3">
      <c r="B76" s="43"/>
      <c r="C76" s="3" t="s">
        <v>38</v>
      </c>
      <c r="D76" s="7"/>
      <c r="E76" s="8">
        <f>ABS(E72-E75)*1000</f>
        <v>2.9625188678421566</v>
      </c>
      <c r="F76" s="8">
        <f>ABS(F72-F75)*1000</f>
        <v>7.4219454618216218</v>
      </c>
      <c r="G76" s="7"/>
      <c r="H76" s="8">
        <f>ABS(H72-H75)*1000</f>
        <v>5.5659109629875303</v>
      </c>
      <c r="I76" s="8">
        <f>ABS(I72-I75)*1000</f>
        <v>4.7501860731600232</v>
      </c>
      <c r="J76" s="7"/>
      <c r="K76" s="8">
        <f>ABS(K72-K75)*1000</f>
        <v>9.6801734196390044</v>
      </c>
      <c r="L76" s="7"/>
      <c r="N76" s="7">
        <v>12</v>
      </c>
      <c r="O76" s="5">
        <f>L13</f>
        <v>1255.4529377136</v>
      </c>
      <c r="P76" s="3">
        <v>24.32</v>
      </c>
    </row>
    <row r="77" spans="2:16" x14ac:dyDescent="0.3">
      <c r="C77" s="3" t="s">
        <v>39</v>
      </c>
      <c r="D77" s="7"/>
      <c r="E77" s="8">
        <f>E76/E72/10</f>
        <v>5.4881787103411572E-2</v>
      </c>
      <c r="F77" s="8">
        <f>F76/F72/10</f>
        <v>0.11540888604916222</v>
      </c>
      <c r="G77" s="7"/>
      <c r="H77" s="8">
        <f>H76/H72/10</f>
        <v>5.3221562086321762E-2</v>
      </c>
      <c r="I77" s="8">
        <f>I76/I72/10</f>
        <v>4.300367620097794E-2</v>
      </c>
      <c r="J77" s="7"/>
      <c r="K77" s="8">
        <f>K76/K72/10</f>
        <v>4.0899836993573621E-2</v>
      </c>
      <c r="L77" s="7"/>
    </row>
    <row r="79" spans="2:16" x14ac:dyDescent="0.3">
      <c r="G79" s="3" t="s">
        <v>47</v>
      </c>
      <c r="H79" s="3">
        <f>(E77+F77+H77+I77+K77)/5</f>
        <v>6.1483149686689421E-2</v>
      </c>
    </row>
    <row r="80" spans="2:16" x14ac:dyDescent="0.3">
      <c r="N80" s="44" t="s">
        <v>51</v>
      </c>
      <c r="O80" s="44"/>
    </row>
    <row r="81" spans="2:15" x14ac:dyDescent="0.3">
      <c r="B81" s="43" t="s">
        <v>52</v>
      </c>
      <c r="D81" s="7">
        <v>3.665</v>
      </c>
      <c r="E81" s="8">
        <v>5.3979999999999997</v>
      </c>
      <c r="F81" s="8">
        <v>6.431</v>
      </c>
      <c r="G81" s="7">
        <v>8.5939999999999994</v>
      </c>
      <c r="H81" s="8">
        <v>10.458</v>
      </c>
      <c r="I81" s="8">
        <v>11.045999999999999</v>
      </c>
      <c r="J81" s="7">
        <v>15.8</v>
      </c>
      <c r="K81" s="8">
        <v>23.667999999999999</v>
      </c>
      <c r="L81" s="7">
        <v>24.32</v>
      </c>
      <c r="N81" s="7">
        <v>3.665</v>
      </c>
      <c r="O81" s="3">
        <f>D85</f>
        <v>55.402641232341395</v>
      </c>
    </row>
    <row r="82" spans="2:15" x14ac:dyDescent="0.3">
      <c r="B82" s="43"/>
      <c r="C82" s="1" t="s">
        <v>22</v>
      </c>
      <c r="D82" s="7"/>
      <c r="E82" s="8"/>
      <c r="F82" s="8"/>
      <c r="G82" s="7"/>
      <c r="H82" s="8"/>
      <c r="I82" s="8"/>
      <c r="J82" s="7"/>
      <c r="K82" s="8"/>
      <c r="L82" s="7">
        <f>L14</f>
        <v>19.371494756538613</v>
      </c>
      <c r="N82" s="7">
        <v>8.5939999999999994</v>
      </c>
      <c r="O82" s="3">
        <f>G85</f>
        <v>46.12355219578923</v>
      </c>
    </row>
    <row r="83" spans="2:15" x14ac:dyDescent="0.3">
      <c r="B83" s="43"/>
      <c r="C83" s="3" t="s">
        <v>36</v>
      </c>
      <c r="D83" s="9">
        <f t="shared" ref="D83:L83" si="9">D13</f>
        <v>186.33551019852419</v>
      </c>
      <c r="E83" s="10">
        <f t="shared" si="9"/>
        <v>275.77337669548081</v>
      </c>
      <c r="F83" s="10">
        <f t="shared" si="9"/>
        <v>328.91761471842847</v>
      </c>
      <c r="G83" s="9">
        <f t="shared" si="9"/>
        <v>441.26055088851507</v>
      </c>
      <c r="H83" s="10">
        <f t="shared" si="9"/>
        <v>537.77067498742838</v>
      </c>
      <c r="I83" s="10">
        <f t="shared" si="9"/>
        <v>568.14045754464291</v>
      </c>
      <c r="J83" s="9">
        <f t="shared" si="9"/>
        <v>813.79048927817871</v>
      </c>
      <c r="K83" s="10">
        <f t="shared" si="9"/>
        <v>1221.1040906838648</v>
      </c>
      <c r="L83" s="9">
        <f t="shared" si="9"/>
        <v>1255.4529377136</v>
      </c>
      <c r="N83" s="7">
        <v>15.8</v>
      </c>
      <c r="O83" s="3">
        <f>J85</f>
        <v>35.661804026767996</v>
      </c>
    </row>
    <row r="84" spans="2:15" x14ac:dyDescent="0.3">
      <c r="B84" s="43"/>
      <c r="C84" s="6" t="s">
        <v>37</v>
      </c>
      <c r="D84" s="11">
        <f>$L$82*D83/1000</f>
        <v>3.6095973587676586</v>
      </c>
      <c r="E84" s="12">
        <f>( -2.612559*$L$82*E83/1000+ 68.507803)/1000+$L$82*E83/1000</f>
        <v>5.3966936611278484</v>
      </c>
      <c r="F84" s="12">
        <f>( -2.612559*$L$82*F83/1000+ 68.507803)/1000+$L$82*F83/1000</f>
        <v>6.4234874033951757</v>
      </c>
      <c r="G84" s="11">
        <f t="shared" ref="G84:L84" si="10">$L$82*G83/1000</f>
        <v>8.5478764478042102</v>
      </c>
      <c r="H84" s="12">
        <f>( -2.612559*$L$82*H83/1000+ 68.507803)/1000+$L$82*H83/1000</f>
        <v>10.458713484630756</v>
      </c>
      <c r="I84" s="12">
        <f>( -2.612559*$L$82*I83/1000+ 68.507803)/1000+$L$82*I83/1000</f>
        <v>11.045484578616566</v>
      </c>
      <c r="J84" s="11">
        <f t="shared" si="10"/>
        <v>15.764338195973233</v>
      </c>
      <c r="K84" s="12">
        <f>( -2.612559*$L$82*K83/1000+ 68.507803)/1000+$L$82*K83/1000</f>
        <v>23.661320224730972</v>
      </c>
      <c r="L84" s="11">
        <f t="shared" si="10"/>
        <v>24.32</v>
      </c>
      <c r="N84" s="7">
        <v>24.32</v>
      </c>
      <c r="O84" s="3">
        <f>L85</f>
        <v>0</v>
      </c>
    </row>
    <row r="85" spans="2:15" x14ac:dyDescent="0.3">
      <c r="B85" s="43"/>
      <c r="C85" s="3" t="s">
        <v>38</v>
      </c>
      <c r="D85" s="7">
        <f t="shared" ref="D85:L85" si="11">ABS(D81-D84)*1000</f>
        <v>55.402641232341395</v>
      </c>
      <c r="E85" s="8">
        <f t="shared" si="11"/>
        <v>1.3063388721512581</v>
      </c>
      <c r="F85" s="8">
        <f t="shared" si="11"/>
        <v>7.5125966048243953</v>
      </c>
      <c r="G85" s="7">
        <f t="shared" si="11"/>
        <v>46.12355219578923</v>
      </c>
      <c r="H85" s="8">
        <f t="shared" si="11"/>
        <v>0.71348463075615598</v>
      </c>
      <c r="I85" s="8">
        <f t="shared" si="11"/>
        <v>0.51542138343307897</v>
      </c>
      <c r="J85" s="7">
        <f t="shared" si="11"/>
        <v>35.661804026767996</v>
      </c>
      <c r="K85" s="8">
        <f t="shared" si="11"/>
        <v>6.6797752690277434</v>
      </c>
      <c r="L85" s="7">
        <f t="shared" si="11"/>
        <v>0</v>
      </c>
    </row>
    <row r="86" spans="2:15" x14ac:dyDescent="0.3">
      <c r="C86" s="3" t="s">
        <v>39</v>
      </c>
      <c r="D86" s="7"/>
      <c r="E86" s="8">
        <f>E85/E81/10</f>
        <v>2.4200423715288223E-2</v>
      </c>
      <c r="F86" s="8">
        <f>F85/F81/10</f>
        <v>0.11681848242612961</v>
      </c>
      <c r="G86" s="7"/>
      <c r="H86" s="8">
        <f>H85/H81/10</f>
        <v>6.8223812464730917E-3</v>
      </c>
      <c r="I86" s="8">
        <f>I85/I81/10</f>
        <v>4.6661360079040285E-3</v>
      </c>
      <c r="J86" s="7"/>
      <c r="K86" s="8">
        <f>K85/K81/10</f>
        <v>2.8222812527580458E-2</v>
      </c>
      <c r="L86" s="7"/>
    </row>
    <row r="88" spans="2:15" x14ac:dyDescent="0.3">
      <c r="G88" s="3" t="s">
        <v>47</v>
      </c>
      <c r="H88" s="3">
        <f>(E86+F86+H86+I86+K86)/5</f>
        <v>3.6146047184675081E-2</v>
      </c>
    </row>
    <row r="92" spans="2:15" x14ac:dyDescent="0.3">
      <c r="D92" s="3">
        <f>D83*$L$82/1000</f>
        <v>3.6095973587676586</v>
      </c>
      <c r="E92" s="3">
        <f t="shared" ref="E92:L92" si="12">E83*$L$82/1000</f>
        <v>5.3421425206494542</v>
      </c>
      <c r="F92" s="3">
        <f t="shared" si="12"/>
        <v>6.3716258488512247</v>
      </c>
      <c r="G92" s="3">
        <f t="shared" si="12"/>
        <v>8.5478764478042102</v>
      </c>
      <c r="H92" s="3">
        <f t="shared" si="12"/>
        <v>10.417421810739199</v>
      </c>
      <c r="I92" s="3">
        <f t="shared" si="12"/>
        <v>11.005729894303498</v>
      </c>
      <c r="J92" s="3">
        <f t="shared" si="12"/>
        <v>15.764338195973233</v>
      </c>
      <c r="K92" s="3">
        <f t="shared" si="12"/>
        <v>23.654611489870337</v>
      </c>
      <c r="L92" s="3">
        <f t="shared" si="12"/>
        <v>24.32</v>
      </c>
    </row>
    <row r="93" spans="2:15" x14ac:dyDescent="0.3">
      <c r="D93" s="7">
        <v>3.665</v>
      </c>
      <c r="E93" s="8">
        <v>5.3979999999999997</v>
      </c>
      <c r="F93" s="8">
        <v>6.431</v>
      </c>
      <c r="G93" s="7">
        <v>8.5939999999999994</v>
      </c>
      <c r="H93" s="8">
        <v>10.458</v>
      </c>
      <c r="I93" s="8">
        <v>11.045999999999999</v>
      </c>
      <c r="J93" s="7">
        <v>15.8</v>
      </c>
      <c r="K93" s="8">
        <v>23.667999999999999</v>
      </c>
      <c r="L93" s="7">
        <v>24.32</v>
      </c>
    </row>
  </sheetData>
  <mergeCells count="16">
    <mergeCell ref="S50:T50"/>
    <mergeCell ref="W50:X50"/>
    <mergeCell ref="B63:B67"/>
    <mergeCell ref="O63:P63"/>
    <mergeCell ref="D1:L1"/>
    <mergeCell ref="B3:B12"/>
    <mergeCell ref="B18:B22"/>
    <mergeCell ref="B26:B30"/>
    <mergeCell ref="B34:B38"/>
    <mergeCell ref="B42:B46"/>
    <mergeCell ref="B72:B76"/>
    <mergeCell ref="O72:P72"/>
    <mergeCell ref="N80:O80"/>
    <mergeCell ref="B81:B85"/>
    <mergeCell ref="B50:B54"/>
    <mergeCell ref="O50:P50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CEFF-DC6B-4203-B2DA-58737FC3A9F1}">
  <sheetPr codeName="Sayfa7"/>
  <dimension ref="B1:X93"/>
  <sheetViews>
    <sheetView topLeftCell="A36" workbookViewId="0">
      <selection activeCell="K42" activeCellId="2" sqref="E42:F42 H42:I42 K42"/>
    </sheetView>
  </sheetViews>
  <sheetFormatPr defaultRowHeight="14.4" x14ac:dyDescent="0.3"/>
  <cols>
    <col min="1" max="2" width="8.88671875" style="3"/>
    <col min="3" max="3" width="16.5546875" style="3" bestFit="1" customWidth="1"/>
    <col min="4" max="16384" width="8.88671875" style="3"/>
  </cols>
  <sheetData>
    <row r="1" spans="2:12" x14ac:dyDescent="0.3">
      <c r="C1" s="4" t="s">
        <v>18</v>
      </c>
      <c r="D1" s="44" t="s">
        <v>19</v>
      </c>
      <c r="E1" s="44"/>
      <c r="F1" s="44"/>
      <c r="G1" s="44"/>
      <c r="H1" s="44"/>
      <c r="I1" s="44"/>
      <c r="J1" s="44"/>
      <c r="K1" s="44"/>
      <c r="L1" s="44"/>
    </row>
    <row r="2" spans="2:12" x14ac:dyDescent="0.3">
      <c r="D2">
        <v>3.665</v>
      </c>
      <c r="E2">
        <v>5.3979999999999997</v>
      </c>
      <c r="F2">
        <v>6.431</v>
      </c>
      <c r="G2">
        <v>8.5939999999999994</v>
      </c>
      <c r="H2">
        <v>10.458</v>
      </c>
      <c r="I2">
        <v>11.045999999999999</v>
      </c>
      <c r="J2">
        <v>15.8</v>
      </c>
      <c r="K2">
        <v>23.667999999999999</v>
      </c>
      <c r="L2">
        <v>24.32</v>
      </c>
    </row>
    <row r="3" spans="2:12" x14ac:dyDescent="0.3">
      <c r="B3" s="43" t="s">
        <v>20</v>
      </c>
      <c r="C3" s="3">
        <v>1</v>
      </c>
      <c r="D3" s="2">
        <v>187.46994000000001</v>
      </c>
      <c r="E3" s="2">
        <v>276.73334</v>
      </c>
      <c r="F3" s="2">
        <v>329.98770000000002</v>
      </c>
      <c r="G3" s="2">
        <v>442.30353000000002</v>
      </c>
      <c r="H3" s="2">
        <v>538.71172999999999</v>
      </c>
      <c r="I3" s="2">
        <v>569.07165999999995</v>
      </c>
      <c r="J3" s="2">
        <v>814.59289999999999</v>
      </c>
      <c r="K3" s="2">
        <v>1221.8501000000001</v>
      </c>
      <c r="L3" s="2">
        <v>1255.8771999999999</v>
      </c>
    </row>
    <row r="4" spans="2:12" x14ac:dyDescent="0.3">
      <c r="B4" s="43"/>
      <c r="C4" s="3">
        <v>2</v>
      </c>
      <c r="D4" s="2">
        <v>187.52163999999999</v>
      </c>
      <c r="E4" s="2">
        <v>276.70105000000001</v>
      </c>
      <c r="F4" s="2">
        <v>329.87871999999999</v>
      </c>
      <c r="G4" s="2">
        <v>442.19684000000001</v>
      </c>
      <c r="H4" s="2">
        <v>538.64642000000003</v>
      </c>
      <c r="I4" s="2">
        <v>568.91485999999998</v>
      </c>
      <c r="J4" s="2">
        <v>814.61333999999999</v>
      </c>
      <c r="K4" s="2">
        <v>1221.7805000000001</v>
      </c>
      <c r="L4" s="2">
        <v>1256.08</v>
      </c>
    </row>
    <row r="5" spans="2:12" x14ac:dyDescent="0.3">
      <c r="B5" s="43"/>
      <c r="C5" s="3">
        <v>3</v>
      </c>
      <c r="D5" s="2">
        <v>187.48766000000001</v>
      </c>
      <c r="E5" s="2">
        <v>276.80457000000001</v>
      </c>
      <c r="F5" s="2">
        <v>329.85025000000002</v>
      </c>
      <c r="G5" s="2">
        <v>442.18056999999999</v>
      </c>
      <c r="H5" s="2">
        <v>538.6626</v>
      </c>
      <c r="I5" s="2">
        <v>568.96740999999997</v>
      </c>
      <c r="J5" s="2">
        <v>814.53070000000002</v>
      </c>
      <c r="K5" s="2">
        <v>1221.8412000000001</v>
      </c>
      <c r="L5" s="2">
        <v>1256.0227</v>
      </c>
    </row>
    <row r="6" spans="2:12" x14ac:dyDescent="0.3">
      <c r="B6" s="43"/>
      <c r="C6" s="3">
        <v>4</v>
      </c>
      <c r="D6" s="2">
        <v>187.42920000000001</v>
      </c>
      <c r="E6" s="2">
        <v>276.86194</v>
      </c>
      <c r="F6" s="2">
        <v>329.77496000000002</v>
      </c>
      <c r="G6" s="2">
        <v>442.19835999999998</v>
      </c>
      <c r="H6" s="2">
        <v>538.52202999999997</v>
      </c>
      <c r="I6" s="2">
        <v>568.95470999999998</v>
      </c>
      <c r="J6" s="2">
        <v>814.47247000000004</v>
      </c>
      <c r="K6" s="2">
        <v>1221.826</v>
      </c>
      <c r="L6" s="2">
        <v>1255.8264999999999</v>
      </c>
    </row>
    <row r="7" spans="2:12" x14ac:dyDescent="0.3">
      <c r="B7" s="43"/>
      <c r="C7" s="3">
        <v>5</v>
      </c>
      <c r="D7" s="2">
        <v>187.46592999999999</v>
      </c>
      <c r="E7" s="2">
        <v>277.00272000000001</v>
      </c>
      <c r="F7" s="2">
        <v>329.87598000000003</v>
      </c>
      <c r="G7" s="2">
        <v>442.16005999999999</v>
      </c>
      <c r="H7" s="2">
        <v>538.55944999999997</v>
      </c>
      <c r="I7" s="2">
        <v>568.75049000000001</v>
      </c>
      <c r="J7" s="2">
        <v>814.61370999999997</v>
      </c>
      <c r="K7" s="2">
        <v>1221.8521000000001</v>
      </c>
      <c r="L7" s="2">
        <v>1256.0623000000001</v>
      </c>
    </row>
    <row r="8" spans="2:12" x14ac:dyDescent="0.3">
      <c r="B8" s="43"/>
      <c r="C8" s="3">
        <v>6</v>
      </c>
      <c r="D8" s="2">
        <v>187.46834000000001</v>
      </c>
      <c r="E8" s="2">
        <v>276.76483000000002</v>
      </c>
      <c r="F8" s="2">
        <v>329.78284000000002</v>
      </c>
      <c r="G8" s="2">
        <v>442.28329000000002</v>
      </c>
      <c r="H8" s="2">
        <v>538.65941999999995</v>
      </c>
      <c r="I8" s="2">
        <v>569.09851000000003</v>
      </c>
      <c r="J8" s="2">
        <v>814.45447000000001</v>
      </c>
      <c r="K8" s="2">
        <v>1221.8499999999999</v>
      </c>
      <c r="L8" s="2">
        <v>1255.9712</v>
      </c>
    </row>
    <row r="9" spans="2:12" x14ac:dyDescent="0.3">
      <c r="B9" s="43"/>
      <c r="C9" s="3">
        <v>7</v>
      </c>
      <c r="D9" s="2">
        <v>187.54570000000001</v>
      </c>
      <c r="E9" s="2">
        <v>276.76202000000001</v>
      </c>
      <c r="F9" s="2">
        <v>329.86182000000002</v>
      </c>
      <c r="G9" s="2">
        <v>442.14496000000003</v>
      </c>
      <c r="H9" s="2">
        <v>538.76544000000001</v>
      </c>
      <c r="I9" s="2">
        <v>569.15448000000004</v>
      </c>
      <c r="J9" s="2">
        <v>814.57104000000004</v>
      </c>
      <c r="K9" s="2">
        <v>1221.8193000000001</v>
      </c>
      <c r="L9" s="2">
        <v>1255.9672</v>
      </c>
    </row>
    <row r="10" spans="2:12" x14ac:dyDescent="0.3">
      <c r="B10" s="43"/>
      <c r="C10" s="3">
        <v>8</v>
      </c>
      <c r="D10" s="2">
        <v>187.4855</v>
      </c>
      <c r="E10" s="2">
        <v>276.62659000000002</v>
      </c>
      <c r="F10" s="2">
        <v>329.81540000000001</v>
      </c>
      <c r="G10" s="2">
        <v>442.22332999999998</v>
      </c>
      <c r="H10" s="2">
        <v>538.72844999999995</v>
      </c>
      <c r="I10" s="2">
        <v>569.03270999999995</v>
      </c>
      <c r="J10" s="2">
        <v>814.43615999999997</v>
      </c>
      <c r="K10" s="2">
        <v>1221.8348000000001</v>
      </c>
      <c r="L10" s="2">
        <v>1255.9929</v>
      </c>
    </row>
    <row r="11" spans="2:12" x14ac:dyDescent="0.3">
      <c r="B11" s="43"/>
      <c r="C11" s="3">
        <v>9</v>
      </c>
      <c r="D11" s="2">
        <v>187.46153000000001</v>
      </c>
      <c r="E11" s="2">
        <v>276.84728999999999</v>
      </c>
      <c r="F11" s="2">
        <v>329.85385000000002</v>
      </c>
      <c r="G11" s="2">
        <v>442.10604999999998</v>
      </c>
      <c r="H11" s="2">
        <v>538.68706999999995</v>
      </c>
      <c r="I11" s="2">
        <v>568.95574999999997</v>
      </c>
      <c r="J11" s="2">
        <v>814.51378999999997</v>
      </c>
      <c r="K11" s="2">
        <v>1221.7954999999999</v>
      </c>
      <c r="L11" s="2">
        <v>1256.0172</v>
      </c>
    </row>
    <row r="12" spans="2:12" x14ac:dyDescent="0.3">
      <c r="B12" s="43"/>
      <c r="C12" s="6">
        <v>10</v>
      </c>
      <c r="D12" s="2">
        <v>187.53130999999999</v>
      </c>
      <c r="E12" s="2">
        <v>276.94992000000002</v>
      </c>
      <c r="F12" s="2">
        <v>329.79001</v>
      </c>
      <c r="G12" s="2">
        <v>442.03061000000002</v>
      </c>
      <c r="H12" s="2">
        <v>538.76984000000004</v>
      </c>
      <c r="I12" s="2">
        <v>568.78899999999999</v>
      </c>
      <c r="J12" s="2">
        <v>814.62707999999998</v>
      </c>
      <c r="K12" s="2">
        <v>1221.8396</v>
      </c>
      <c r="L12" s="2">
        <v>1256.0814</v>
      </c>
    </row>
    <row r="13" spans="2:12" x14ac:dyDescent="0.3">
      <c r="C13" s="3" t="s">
        <v>21</v>
      </c>
      <c r="D13" s="5">
        <f>AVERAGE(D3:D12)</f>
        <v>187.48667500000002</v>
      </c>
      <c r="E13" s="5">
        <f t="shared" ref="E13:L13" si="0">AVERAGE(E3:E12)</f>
        <v>276.80542700000001</v>
      </c>
      <c r="F13" s="5">
        <f t="shared" si="0"/>
        <v>329.84715300000005</v>
      </c>
      <c r="G13" s="5">
        <f t="shared" si="0"/>
        <v>442.18275999999997</v>
      </c>
      <c r="H13" s="5">
        <f t="shared" si="0"/>
        <v>538.671245</v>
      </c>
      <c r="I13" s="5">
        <f t="shared" si="0"/>
        <v>568.96895800000004</v>
      </c>
      <c r="J13" s="5">
        <f t="shared" si="0"/>
        <v>814.54256599999997</v>
      </c>
      <c r="K13" s="5">
        <f t="shared" si="0"/>
        <v>1221.8289100000002</v>
      </c>
      <c r="L13" s="5">
        <f t="shared" si="0"/>
        <v>1255.9898599999997</v>
      </c>
    </row>
    <row r="14" spans="2:12" ht="27.6" customHeight="1" x14ac:dyDescent="0.3">
      <c r="C14" s="1" t="s">
        <v>22</v>
      </c>
      <c r="D14" s="40">
        <f>(D2/D13)*1000</f>
        <v>19.548055881838</v>
      </c>
      <c r="E14" s="40">
        <f t="shared" ref="E14:L14" si="1">(E2/E13)*1000</f>
        <v>19.501062744698281</v>
      </c>
      <c r="F14" s="40">
        <f t="shared" si="1"/>
        <v>19.496909224497685</v>
      </c>
      <c r="G14" s="40">
        <f t="shared" si="1"/>
        <v>19.4354026828183</v>
      </c>
      <c r="H14" s="40">
        <f t="shared" si="1"/>
        <v>19.414438949678853</v>
      </c>
      <c r="I14" s="40">
        <f t="shared" si="1"/>
        <v>19.41406441368634</v>
      </c>
      <c r="J14" s="40">
        <f t="shared" si="1"/>
        <v>19.397390215700526</v>
      </c>
      <c r="K14" s="40">
        <f t="shared" si="1"/>
        <v>19.370960865543765</v>
      </c>
      <c r="L14" s="40">
        <f t="shared" si="1"/>
        <v>19.363213648874527</v>
      </c>
    </row>
    <row r="15" spans="2:12" x14ac:dyDescent="0.3">
      <c r="D15" s="3" t="s">
        <v>23</v>
      </c>
      <c r="E15" s="3" t="s">
        <v>24</v>
      </c>
      <c r="F15" s="3" t="s">
        <v>25</v>
      </c>
      <c r="G15" s="3" t="s">
        <v>26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</row>
    <row r="18" spans="2:17" x14ac:dyDescent="0.3">
      <c r="B18" s="43" t="s">
        <v>32</v>
      </c>
      <c r="D18" s="7">
        <v>3.665</v>
      </c>
      <c r="E18" s="8">
        <v>5.3979999999999997</v>
      </c>
      <c r="F18" s="8">
        <v>6.431</v>
      </c>
      <c r="G18" s="7">
        <v>8.5939999999999994</v>
      </c>
      <c r="H18" s="8">
        <v>10.458</v>
      </c>
      <c r="I18" s="8">
        <v>11.045999999999999</v>
      </c>
      <c r="J18" s="7">
        <v>15.8</v>
      </c>
      <c r="K18" s="8">
        <v>23.667999999999999</v>
      </c>
      <c r="L18" s="7">
        <v>24.32</v>
      </c>
      <c r="N18" s="8" t="s">
        <v>33</v>
      </c>
      <c r="O18" s="7" t="s">
        <v>34</v>
      </c>
      <c r="Q18" s="3" t="s">
        <v>35</v>
      </c>
    </row>
    <row r="19" spans="2:17" x14ac:dyDescent="0.3">
      <c r="B19" s="43"/>
      <c r="C19" s="1" t="s">
        <v>22</v>
      </c>
      <c r="D19" s="7">
        <f>D14</f>
        <v>19.548055881838</v>
      </c>
      <c r="E19" s="8"/>
      <c r="F19" s="8"/>
      <c r="G19" s="7">
        <f>G14</f>
        <v>19.4354026828183</v>
      </c>
      <c r="H19" s="8"/>
      <c r="I19" s="8"/>
      <c r="J19" s="7">
        <f>J14</f>
        <v>19.397390215700526</v>
      </c>
      <c r="K19" s="8"/>
      <c r="L19" s="7">
        <f>L14</f>
        <v>19.363213648874527</v>
      </c>
      <c r="Q19" s="3">
        <f>G14</f>
        <v>19.4354026828183</v>
      </c>
    </row>
    <row r="20" spans="2:17" x14ac:dyDescent="0.3">
      <c r="B20" s="43"/>
      <c r="C20" s="3" t="s">
        <v>36</v>
      </c>
      <c r="D20" s="9">
        <f>D13</f>
        <v>187.48667500000002</v>
      </c>
      <c r="E20" s="10">
        <f>E13</f>
        <v>276.80542700000001</v>
      </c>
      <c r="F20" s="10">
        <f t="shared" ref="F20:L20" si="2">F13</f>
        <v>329.84715300000005</v>
      </c>
      <c r="G20" s="9">
        <f t="shared" si="2"/>
        <v>442.18275999999997</v>
      </c>
      <c r="H20" s="10">
        <f t="shared" si="2"/>
        <v>538.671245</v>
      </c>
      <c r="I20" s="10">
        <f t="shared" si="2"/>
        <v>568.96895800000004</v>
      </c>
      <c r="J20" s="9">
        <f t="shared" si="2"/>
        <v>814.54256599999997</v>
      </c>
      <c r="K20" s="10">
        <f t="shared" si="2"/>
        <v>1221.8289100000002</v>
      </c>
      <c r="L20" s="9">
        <f t="shared" si="2"/>
        <v>1255.9898599999997</v>
      </c>
    </row>
    <row r="21" spans="2:17" x14ac:dyDescent="0.3">
      <c r="B21" s="43"/>
      <c r="C21" s="6" t="s">
        <v>37</v>
      </c>
      <c r="D21" s="11"/>
      <c r="E21" s="12">
        <f>E20*$Q$19/1000</f>
        <v>5.3798249385344654</v>
      </c>
      <c r="F21" s="12">
        <f>F20*$Q$19/1000</f>
        <v>6.4107122423361789</v>
      </c>
      <c r="G21" s="11"/>
      <c r="H21" s="12">
        <f>H20*$Q$19/1000</f>
        <v>10.469292560230073</v>
      </c>
      <c r="I21" s="12">
        <f>I20*$Q$19/1000</f>
        <v>11.058140812753532</v>
      </c>
      <c r="J21" s="11"/>
      <c r="K21" s="12">
        <f>K20*$Q$19/1000</f>
        <v>23.746736875358962</v>
      </c>
      <c r="L21" s="11"/>
    </row>
    <row r="22" spans="2:17" x14ac:dyDescent="0.3">
      <c r="B22" s="43"/>
      <c r="C22" s="3" t="s">
        <v>38</v>
      </c>
      <c r="D22" s="7"/>
      <c r="E22" s="8">
        <f>ABS(E21-E18)*1000</f>
        <v>18.17506146553427</v>
      </c>
      <c r="F22" s="8">
        <f>ABS(F21-F18)*1000</f>
        <v>20.287757663821182</v>
      </c>
      <c r="G22" s="7"/>
      <c r="H22" s="8">
        <f>ABS(H21-H18)*1000</f>
        <v>11.292560230073079</v>
      </c>
      <c r="I22" s="8">
        <f>ABS(I21-I18)*1000</f>
        <v>12.140812753532515</v>
      </c>
      <c r="J22" s="7"/>
      <c r="K22" s="8">
        <f>ABS(K21-K18)*1000</f>
        <v>78.736875358963232</v>
      </c>
      <c r="L22" s="7"/>
    </row>
    <row r="23" spans="2:17" x14ac:dyDescent="0.3">
      <c r="C23" s="3" t="s">
        <v>39</v>
      </c>
      <c r="D23" s="7"/>
      <c r="E23" s="8">
        <f>E22/E18/10</f>
        <v>0.33669991599730031</v>
      </c>
      <c r="F23" s="8">
        <f>F22/F18/10</f>
        <v>0.31546816457504556</v>
      </c>
      <c r="G23" s="7"/>
      <c r="H23" s="8">
        <f>H22/H18/10</f>
        <v>0.10798011311984201</v>
      </c>
      <c r="I23" s="8">
        <f>I22/I18/10</f>
        <v>0.10991139555977292</v>
      </c>
      <c r="J23" s="7"/>
      <c r="K23" s="8">
        <f>K22/K18/10</f>
        <v>0.33267228054319431</v>
      </c>
      <c r="L23" s="7"/>
    </row>
    <row r="26" spans="2:17" x14ac:dyDescent="0.3">
      <c r="B26" s="43" t="s">
        <v>40</v>
      </c>
      <c r="D26" s="7">
        <v>3.665</v>
      </c>
      <c r="E26" s="8">
        <v>5.3979999999999997</v>
      </c>
      <c r="F26" s="8">
        <v>6.431</v>
      </c>
      <c r="G26" s="7">
        <v>8.5939999999999994</v>
      </c>
      <c r="H26" s="8">
        <v>10.458</v>
      </c>
      <c r="I26" s="8">
        <v>11.045999999999999</v>
      </c>
      <c r="J26" s="7">
        <v>15.8</v>
      </c>
      <c r="K26" s="8">
        <v>23.667999999999999</v>
      </c>
      <c r="L26" s="7">
        <v>24.32</v>
      </c>
      <c r="N26" s="8" t="s">
        <v>33</v>
      </c>
      <c r="O26" s="7" t="s">
        <v>34</v>
      </c>
    </row>
    <row r="27" spans="2:17" x14ac:dyDescent="0.3">
      <c r="B27" s="43"/>
      <c r="C27" s="1" t="s">
        <v>22</v>
      </c>
      <c r="D27" s="7">
        <f>D14</f>
        <v>19.548055881838</v>
      </c>
      <c r="E27" s="8"/>
      <c r="F27" s="8"/>
      <c r="G27" s="7">
        <f>G14</f>
        <v>19.4354026828183</v>
      </c>
      <c r="H27" s="8"/>
      <c r="I27" s="8"/>
      <c r="J27" s="7">
        <f>J14</f>
        <v>19.397390215700526</v>
      </c>
      <c r="K27" s="8"/>
      <c r="L27" s="7">
        <f>L14</f>
        <v>19.363213648874527</v>
      </c>
    </row>
    <row r="28" spans="2:17" x14ac:dyDescent="0.3">
      <c r="B28" s="43"/>
      <c r="C28" s="3" t="s">
        <v>36</v>
      </c>
      <c r="D28" s="9">
        <f t="shared" ref="D28:L28" si="3">D13</f>
        <v>187.48667500000002</v>
      </c>
      <c r="E28" s="10">
        <f t="shared" si="3"/>
        <v>276.80542700000001</v>
      </c>
      <c r="F28" s="10">
        <f t="shared" si="3"/>
        <v>329.84715300000005</v>
      </c>
      <c r="G28" s="9">
        <f t="shared" si="3"/>
        <v>442.18275999999997</v>
      </c>
      <c r="H28" s="10">
        <f t="shared" si="3"/>
        <v>538.671245</v>
      </c>
      <c r="I28" s="10">
        <f t="shared" si="3"/>
        <v>568.96895800000004</v>
      </c>
      <c r="J28" s="9">
        <f t="shared" si="3"/>
        <v>814.54256599999997</v>
      </c>
      <c r="K28" s="10">
        <f t="shared" si="3"/>
        <v>1221.8289100000002</v>
      </c>
      <c r="L28" s="9">
        <f t="shared" si="3"/>
        <v>1255.9898599999997</v>
      </c>
    </row>
    <row r="29" spans="2:17" x14ac:dyDescent="0.3">
      <c r="B29" s="43"/>
      <c r="C29" s="6" t="s">
        <v>37</v>
      </c>
      <c r="D29" s="11"/>
      <c r="E29" s="12">
        <f>(E28*D27)/1000</f>
        <v>5.4110079553920292</v>
      </c>
      <c r="F29" s="12">
        <f>(F28*G27)/1000</f>
        <v>6.4107122423361789</v>
      </c>
      <c r="G29" s="11"/>
      <c r="H29" s="12">
        <f>(H28*G27)/1000</f>
        <v>10.469292560230073</v>
      </c>
      <c r="I29" s="12">
        <f>(I28*J27)/1000</f>
        <v>11.036512898946524</v>
      </c>
      <c r="J29" s="11"/>
      <c r="K29" s="12">
        <f>(K28*J27)/1000</f>
        <v>23.700292144094043</v>
      </c>
      <c r="L29" s="11"/>
    </row>
    <row r="30" spans="2:17" x14ac:dyDescent="0.3">
      <c r="B30" s="43"/>
      <c r="C30" s="3" t="s">
        <v>38</v>
      </c>
      <c r="D30" s="7"/>
      <c r="E30" s="8">
        <f>ABS(E29-E26)*1000</f>
        <v>13.00795539202948</v>
      </c>
      <c r="F30" s="8">
        <f>ABS(F29-F26)*1000</f>
        <v>20.287757663821182</v>
      </c>
      <c r="G30" s="7"/>
      <c r="H30" s="8">
        <f>ABS(H29-H26)*1000</f>
        <v>11.292560230073079</v>
      </c>
      <c r="I30" s="8">
        <f>ABS(I29-I26)*1000</f>
        <v>9.4871010534749445</v>
      </c>
      <c r="J30" s="7"/>
      <c r="K30" s="8">
        <f>ABS(K29-K26)*1000</f>
        <v>32.292144094043351</v>
      </c>
      <c r="L30" s="7"/>
    </row>
    <row r="31" spans="2:17" x14ac:dyDescent="0.3">
      <c r="C31" s="3" t="s">
        <v>39</v>
      </c>
      <c r="D31" s="7"/>
      <c r="E31" s="8">
        <f>E30/E26/10</f>
        <v>0.24097731367227643</v>
      </c>
      <c r="F31" s="8">
        <f>F30/F26/10</f>
        <v>0.31546816457504556</v>
      </c>
      <c r="G31" s="7"/>
      <c r="H31" s="8">
        <f>H30/H26/10</f>
        <v>0.10798011311984201</v>
      </c>
      <c r="I31" s="8">
        <f>I30/I26/10</f>
        <v>8.5887208523220585E-2</v>
      </c>
      <c r="J31" s="7"/>
      <c r="K31" s="8">
        <f>K30/K26/10</f>
        <v>0.136437992623134</v>
      </c>
      <c r="L31" s="7"/>
    </row>
    <row r="34" spans="2:16" x14ac:dyDescent="0.3">
      <c r="B34" s="43" t="s">
        <v>41</v>
      </c>
      <c r="D34" s="7">
        <v>3.665</v>
      </c>
      <c r="E34" s="8">
        <v>5.3979999999999997</v>
      </c>
      <c r="F34" s="8">
        <v>6.431</v>
      </c>
      <c r="G34" s="7">
        <v>8.5939999999999994</v>
      </c>
      <c r="H34" s="8">
        <v>10.458</v>
      </c>
      <c r="I34" s="8">
        <v>11.045999999999999</v>
      </c>
      <c r="J34" s="7">
        <v>15.8</v>
      </c>
      <c r="K34" s="8">
        <v>23.667999999999999</v>
      </c>
      <c r="L34" s="7">
        <v>24.32</v>
      </c>
      <c r="N34" s="8" t="s">
        <v>33</v>
      </c>
      <c r="O34" s="7" t="s">
        <v>34</v>
      </c>
    </row>
    <row r="35" spans="2:16" x14ac:dyDescent="0.3">
      <c r="B35" s="43"/>
      <c r="C35" s="1" t="s">
        <v>22</v>
      </c>
      <c r="D35" s="7">
        <f>D14</f>
        <v>19.548055881838</v>
      </c>
      <c r="E35" s="8"/>
      <c r="F35" s="8"/>
      <c r="G35" s="7">
        <f>G14</f>
        <v>19.4354026828183</v>
      </c>
      <c r="H35" s="8"/>
      <c r="I35" s="8"/>
      <c r="J35" s="7">
        <f>J14</f>
        <v>19.397390215700526</v>
      </c>
      <c r="K35" s="8"/>
      <c r="L35" s="7">
        <f>L14</f>
        <v>19.363213648874527</v>
      </c>
      <c r="N35" s="7">
        <v>1</v>
      </c>
      <c r="O35" s="5">
        <f>D14</f>
        <v>19.548055881838</v>
      </c>
      <c r="P35" s="5">
        <f>D36</f>
        <v>187.48667500000002</v>
      </c>
    </row>
    <row r="36" spans="2:16" x14ac:dyDescent="0.3">
      <c r="B36" s="43"/>
      <c r="C36" s="3" t="s">
        <v>36</v>
      </c>
      <c r="D36" s="9">
        <f t="shared" ref="D36:L36" si="4">D13</f>
        <v>187.48667500000002</v>
      </c>
      <c r="E36" s="10">
        <f t="shared" si="4"/>
        <v>276.80542700000001</v>
      </c>
      <c r="F36" s="10">
        <f t="shared" si="4"/>
        <v>329.84715300000005</v>
      </c>
      <c r="G36" s="9">
        <f t="shared" si="4"/>
        <v>442.18275999999997</v>
      </c>
      <c r="H36" s="10">
        <f t="shared" si="4"/>
        <v>538.671245</v>
      </c>
      <c r="I36" s="10">
        <f t="shared" si="4"/>
        <v>568.96895800000004</v>
      </c>
      <c r="J36" s="9">
        <f t="shared" si="4"/>
        <v>814.54256599999997</v>
      </c>
      <c r="K36" s="10">
        <f t="shared" si="4"/>
        <v>1221.8289100000002</v>
      </c>
      <c r="L36" s="9">
        <f t="shared" si="4"/>
        <v>1255.9898599999997</v>
      </c>
      <c r="N36" s="7">
        <v>3</v>
      </c>
      <c r="O36" s="5">
        <f>G14</f>
        <v>19.4354026828183</v>
      </c>
      <c r="P36" s="5">
        <f>G36</f>
        <v>442.18275999999997</v>
      </c>
    </row>
    <row r="37" spans="2:16" x14ac:dyDescent="0.3">
      <c r="B37" s="43"/>
      <c r="C37" s="6" t="s">
        <v>37</v>
      </c>
      <c r="D37" s="11"/>
      <c r="E37" s="12">
        <f>(E36*-0.0004423 + 19.63098206)*E36/1000</f>
        <v>5.4000727951421545</v>
      </c>
      <c r="F37" s="12">
        <f>(F36*-0.0004423 + 19.63098206)*F36/1000</f>
        <v>6.4271016815425179</v>
      </c>
      <c r="G37" s="11"/>
      <c r="H37" s="12">
        <f>(H36*-0.00010209 + 19.48054305)*H36/1000</f>
        <v>10.463985258576317</v>
      </c>
      <c r="I37" s="12">
        <f>(I36*-0.00010209 + 19.48054305)*I36/1000</f>
        <v>11.050775126254782</v>
      </c>
      <c r="J37" s="11"/>
      <c r="K37" s="12">
        <f>(K36*-0.00007742 + 19.46045158)*K36/1000</f>
        <v>23.661764665258342</v>
      </c>
      <c r="L37" s="11"/>
      <c r="N37" s="7">
        <v>6</v>
      </c>
      <c r="O37" s="5">
        <f>J14</f>
        <v>19.397390215700526</v>
      </c>
      <c r="P37" s="5">
        <f>J36</f>
        <v>814.54256599999997</v>
      </c>
    </row>
    <row r="38" spans="2:16" x14ac:dyDescent="0.3">
      <c r="B38" s="43"/>
      <c r="C38" s="3" t="s">
        <v>38</v>
      </c>
      <c r="D38" s="7"/>
      <c r="E38" s="8">
        <f>ABS(E37-E34)*1000</f>
        <v>2.0727951421548596</v>
      </c>
      <c r="F38" s="8">
        <f>ABS(F37-F34)*1000</f>
        <v>3.8983184574821195</v>
      </c>
      <c r="G38" s="7"/>
      <c r="H38" s="8">
        <f>ABS(H37-H34)*1000</f>
        <v>5.9852585763167099</v>
      </c>
      <c r="I38" s="8">
        <f>ABS(I37-I34)*1000</f>
        <v>4.7751262547830464</v>
      </c>
      <c r="J38" s="7"/>
      <c r="K38" s="8">
        <f>ABS(K37-K34)*1000</f>
        <v>6.2353347416568283</v>
      </c>
      <c r="L38" s="7"/>
      <c r="N38" s="7">
        <v>12</v>
      </c>
      <c r="O38" s="5">
        <f>L14</f>
        <v>19.363213648874527</v>
      </c>
      <c r="P38" s="5">
        <f>L36</f>
        <v>1255.9898599999997</v>
      </c>
    </row>
    <row r="39" spans="2:16" x14ac:dyDescent="0.3">
      <c r="C39" s="3" t="s">
        <v>39</v>
      </c>
      <c r="D39" s="7"/>
      <c r="E39" s="8">
        <f>E38/E34/10</f>
        <v>3.8399317194421259E-2</v>
      </c>
      <c r="F39" s="8">
        <f>F38/F34/10</f>
        <v>6.0617609352855227E-2</v>
      </c>
      <c r="G39" s="7"/>
      <c r="H39" s="8">
        <f>H38/H34/10</f>
        <v>5.7231388184325015E-2</v>
      </c>
      <c r="I39" s="8">
        <f>I38/I34/10</f>
        <v>4.3229460934121375E-2</v>
      </c>
      <c r="J39" s="7"/>
      <c r="K39" s="8">
        <f>K38/K34/10</f>
        <v>2.6345000598516261E-2</v>
      </c>
      <c r="L39" s="7"/>
    </row>
    <row r="42" spans="2:16" x14ac:dyDescent="0.3">
      <c r="B42" s="43" t="s">
        <v>42</v>
      </c>
      <c r="D42" s="7">
        <v>3.665</v>
      </c>
      <c r="E42" s="8">
        <v>5.3979999999999997</v>
      </c>
      <c r="F42" s="8">
        <v>6.431</v>
      </c>
      <c r="G42" s="7">
        <v>8.5939999999999994</v>
      </c>
      <c r="H42" s="8">
        <v>10.458</v>
      </c>
      <c r="I42" s="8">
        <v>11.045999999999999</v>
      </c>
      <c r="J42" s="7">
        <v>15.8</v>
      </c>
      <c r="K42" s="8">
        <v>23.667999999999999</v>
      </c>
      <c r="L42" s="7">
        <v>24.32</v>
      </c>
      <c r="N42" s="8" t="s">
        <v>33</v>
      </c>
      <c r="O42" s="7" t="s">
        <v>34</v>
      </c>
    </row>
    <row r="43" spans="2:16" x14ac:dyDescent="0.3">
      <c r="B43" s="43"/>
      <c r="C43" s="1" t="s">
        <v>22</v>
      </c>
      <c r="D43" s="7">
        <f>D14</f>
        <v>19.548055881838</v>
      </c>
      <c r="E43" s="8"/>
      <c r="F43" s="8"/>
      <c r="G43" s="7">
        <f>G14</f>
        <v>19.4354026828183</v>
      </c>
      <c r="H43" s="8"/>
      <c r="I43" s="8"/>
      <c r="J43" s="7">
        <f>J14</f>
        <v>19.397390215700526</v>
      </c>
      <c r="K43" s="8"/>
      <c r="L43" s="7">
        <f>L14</f>
        <v>19.363213648874527</v>
      </c>
      <c r="N43" s="7">
        <v>1</v>
      </c>
      <c r="O43" s="5">
        <f>D14</f>
        <v>19.548055881838</v>
      </c>
      <c r="P43" s="5">
        <f>D44</f>
        <v>187.48667500000002</v>
      </c>
    </row>
    <row r="44" spans="2:16" ht="14.4" customHeight="1" x14ac:dyDescent="0.3">
      <c r="B44" s="43"/>
      <c r="C44" s="3" t="s">
        <v>36</v>
      </c>
      <c r="D44" s="9">
        <f t="shared" ref="D44:L44" si="5">D13</f>
        <v>187.48667500000002</v>
      </c>
      <c r="E44" s="10">
        <f t="shared" si="5"/>
        <v>276.80542700000001</v>
      </c>
      <c r="F44" s="10">
        <f t="shared" si="5"/>
        <v>329.84715300000005</v>
      </c>
      <c r="G44" s="9">
        <f t="shared" si="5"/>
        <v>442.18275999999997</v>
      </c>
      <c r="H44" s="10">
        <f t="shared" si="5"/>
        <v>538.671245</v>
      </c>
      <c r="I44" s="10">
        <f t="shared" si="5"/>
        <v>568.96895800000004</v>
      </c>
      <c r="J44" s="9">
        <f t="shared" si="5"/>
        <v>814.54256599999997</v>
      </c>
      <c r="K44" s="10">
        <f t="shared" si="5"/>
        <v>1221.8289100000002</v>
      </c>
      <c r="L44" s="9">
        <f t="shared" si="5"/>
        <v>1255.9898599999997</v>
      </c>
      <c r="N44" s="7">
        <v>3</v>
      </c>
      <c r="O44" s="5">
        <f>G14</f>
        <v>19.4354026828183</v>
      </c>
      <c r="P44" s="5">
        <f>G44</f>
        <v>442.18275999999997</v>
      </c>
    </row>
    <row r="45" spans="2:16" x14ac:dyDescent="0.3">
      <c r="B45" s="43"/>
      <c r="C45" s="6" t="s">
        <v>37</v>
      </c>
      <c r="D45" s="11"/>
      <c r="E45" s="12">
        <f>(E44*E44*0.0000002-E44*0.00045312+19.61661582)*E44/1000</f>
        <v>5.3995089353355858</v>
      </c>
      <c r="F45" s="12">
        <f>(F44*F44*0.0000002-F44*0.00045312+19.61661582)*F44/1000</f>
        <v>6.4283632290394435</v>
      </c>
      <c r="G45" s="11"/>
      <c r="H45" s="12">
        <f>(H44*H44*0.0000002-H44*0.00045312+19.61661582)*H44/1000</f>
        <v>10.466687419331974</v>
      </c>
      <c r="I45" s="12">
        <f>(I44*I44*0.0000002-I44*0.00045312+19.61661582)*I44/1000</f>
        <v>11.051396856675362</v>
      </c>
      <c r="J45" s="11"/>
      <c r="K45" s="12">
        <f>(K44*K44*0.0000002-K44*0.00045312+19.61661582)*K44/1000</f>
        <v>23.656506274772219</v>
      </c>
      <c r="L45" s="11"/>
      <c r="N45" s="7">
        <v>6</v>
      </c>
      <c r="O45" s="5">
        <f>J14</f>
        <v>19.397390215700526</v>
      </c>
      <c r="P45" s="5">
        <f>J44</f>
        <v>814.54256599999997</v>
      </c>
    </row>
    <row r="46" spans="2:16" x14ac:dyDescent="0.3">
      <c r="B46" s="43"/>
      <c r="C46" s="3" t="s">
        <v>38</v>
      </c>
      <c r="D46" s="7"/>
      <c r="E46" s="8">
        <f>ABS(E45-E42)*1000</f>
        <v>1.508935335586159</v>
      </c>
      <c r="F46" s="8">
        <f>ABS(F45-F42)*1000</f>
        <v>2.6367709605565892</v>
      </c>
      <c r="G46" s="7"/>
      <c r="H46" s="8">
        <f>ABS(H45-H42)*1000</f>
        <v>8.6874193319737003</v>
      </c>
      <c r="I46" s="8">
        <f>ABS(I45-I42)*1000</f>
        <v>5.3968566753628266</v>
      </c>
      <c r="J46" s="7"/>
      <c r="K46" s="8">
        <f>ABS(K45-K42)*1000</f>
        <v>11.493725227779805</v>
      </c>
      <c r="L46" s="7"/>
      <c r="N46" s="7">
        <v>12</v>
      </c>
      <c r="O46" s="5">
        <f>L14</f>
        <v>19.363213648874527</v>
      </c>
      <c r="P46" s="5">
        <f>L44</f>
        <v>1255.9898599999997</v>
      </c>
    </row>
    <row r="47" spans="2:16" x14ac:dyDescent="0.3">
      <c r="C47" s="3" t="s">
        <v>39</v>
      </c>
      <c r="D47" s="7"/>
      <c r="E47" s="8">
        <f>E46/E42/10</f>
        <v>2.7953600140536477E-2</v>
      </c>
      <c r="F47" s="8">
        <f>F46/F42/10</f>
        <v>4.1000947917222655E-2</v>
      </c>
      <c r="G47" s="7"/>
      <c r="H47" s="8">
        <f>H46/H42/10</f>
        <v>8.3069605392749088E-2</v>
      </c>
      <c r="I47" s="8">
        <f>I46/I42/10</f>
        <v>4.8858018064121198E-2</v>
      </c>
      <c r="J47" s="7"/>
      <c r="K47" s="8">
        <f>K46/K42/10</f>
        <v>4.8562300269476957E-2</v>
      </c>
      <c r="L47" s="7"/>
    </row>
    <row r="49" spans="2:24" x14ac:dyDescent="0.3">
      <c r="N49" s="13"/>
      <c r="O49" s="13"/>
      <c r="P49" s="13"/>
      <c r="Q49" s="13"/>
      <c r="R49" s="13"/>
      <c r="S49" s="13"/>
      <c r="V49" s="13"/>
      <c r="W49" s="13"/>
    </row>
    <row r="50" spans="2:24" x14ac:dyDescent="0.3">
      <c r="B50" s="43" t="s">
        <v>43</v>
      </c>
      <c r="D50" s="7">
        <v>3.665</v>
      </c>
      <c r="E50" s="8">
        <v>5.3979999999999997</v>
      </c>
      <c r="F50" s="8">
        <v>6.431</v>
      </c>
      <c r="G50" s="7">
        <v>8.5939999999999994</v>
      </c>
      <c r="H50" s="8">
        <v>10.458</v>
      </c>
      <c r="I50" s="8">
        <v>11.045999999999999</v>
      </c>
      <c r="J50" s="7">
        <v>15.8</v>
      </c>
      <c r="K50" s="8">
        <v>23.667999999999999</v>
      </c>
      <c r="L50" s="7">
        <v>24.32</v>
      </c>
      <c r="N50" s="13"/>
      <c r="O50" s="43" t="s">
        <v>44</v>
      </c>
      <c r="P50" s="43"/>
      <c r="Q50" s="13"/>
      <c r="R50" s="13"/>
      <c r="S50" s="43" t="s">
        <v>45</v>
      </c>
      <c r="T50" s="43"/>
      <c r="V50" s="13"/>
      <c r="W50" s="44" t="s">
        <v>46</v>
      </c>
      <c r="X50" s="44"/>
    </row>
    <row r="51" spans="2:24" x14ac:dyDescent="0.3">
      <c r="B51" s="43"/>
      <c r="C51" s="1" t="s">
        <v>22</v>
      </c>
      <c r="D51" s="7">
        <f>D14</f>
        <v>19.548055881838</v>
      </c>
      <c r="E51" s="8"/>
      <c r="F51" s="8"/>
      <c r="G51" s="7">
        <f>G14</f>
        <v>19.4354026828183</v>
      </c>
      <c r="H51" s="8"/>
      <c r="I51" s="8"/>
      <c r="J51" s="7">
        <f>J14</f>
        <v>19.397390215700526</v>
      </c>
      <c r="K51" s="8"/>
      <c r="L51" s="7">
        <f>L14</f>
        <v>19.363213648874527</v>
      </c>
      <c r="N51" s="7">
        <v>1</v>
      </c>
      <c r="O51" s="14">
        <f>D13</f>
        <v>187.48667500000002</v>
      </c>
      <c r="P51" s="5">
        <v>3.665</v>
      </c>
      <c r="R51" s="7">
        <v>3</v>
      </c>
      <c r="S51" s="14">
        <f>G13</f>
        <v>442.18275999999997</v>
      </c>
      <c r="T51" s="5">
        <v>8.5939999999999994</v>
      </c>
      <c r="V51" s="7">
        <v>6</v>
      </c>
      <c r="W51" s="14">
        <f>J13</f>
        <v>814.54256599999997</v>
      </c>
      <c r="X51" s="5">
        <v>15.8</v>
      </c>
    </row>
    <row r="52" spans="2:24" x14ac:dyDescent="0.3">
      <c r="B52" s="43"/>
      <c r="C52" s="3" t="s">
        <v>36</v>
      </c>
      <c r="D52" s="9">
        <f t="shared" ref="D52:L52" si="6">D13</f>
        <v>187.48667500000002</v>
      </c>
      <c r="E52" s="10">
        <f t="shared" si="6"/>
        <v>276.80542700000001</v>
      </c>
      <c r="F52" s="10">
        <f t="shared" si="6"/>
        <v>329.84715300000005</v>
      </c>
      <c r="G52" s="9">
        <f t="shared" si="6"/>
        <v>442.18275999999997</v>
      </c>
      <c r="H52" s="10">
        <f t="shared" si="6"/>
        <v>538.671245</v>
      </c>
      <c r="I52" s="10">
        <f t="shared" si="6"/>
        <v>568.96895800000004</v>
      </c>
      <c r="J52" s="9">
        <f t="shared" si="6"/>
        <v>814.54256599999997</v>
      </c>
      <c r="K52" s="10">
        <f t="shared" si="6"/>
        <v>1221.8289100000002</v>
      </c>
      <c r="L52" s="9">
        <f t="shared" si="6"/>
        <v>1255.9898599999997</v>
      </c>
      <c r="N52" s="7">
        <v>3</v>
      </c>
      <c r="O52" s="14">
        <f>G13</f>
        <v>442.18275999999997</v>
      </c>
      <c r="P52" s="5">
        <v>8.5939999999999994</v>
      </c>
      <c r="R52" s="7">
        <v>6</v>
      </c>
      <c r="S52" s="14">
        <f>J13</f>
        <v>814.54256599999997</v>
      </c>
      <c r="T52" s="5">
        <v>15.8</v>
      </c>
      <c r="V52" s="7">
        <v>12</v>
      </c>
      <c r="W52" s="14">
        <f>L13</f>
        <v>1255.9898599999997</v>
      </c>
      <c r="X52" s="5">
        <v>24.32</v>
      </c>
    </row>
    <row r="53" spans="2:24" x14ac:dyDescent="0.3">
      <c r="B53" s="43"/>
      <c r="C53" s="6" t="s">
        <v>37</v>
      </c>
      <c r="D53" s="11"/>
      <c r="E53" s="12">
        <f>E52*0.019352 + 0.036669</f>
        <v>5.3934076233040003</v>
      </c>
      <c r="F53" s="12">
        <f>F52*0.019352 + 0.036669</f>
        <v>6.4198711048560009</v>
      </c>
      <c r="G53" s="11"/>
      <c r="H53" s="12">
        <f>H52* 0.019352 + 0.036769</f>
        <v>10.46113493324</v>
      </c>
      <c r="I53" s="12">
        <f>I52* 0.019352 + 0.036769</f>
        <v>11.047456275216001</v>
      </c>
      <c r="J53" s="11"/>
      <c r="K53" s="12">
        <f>K52*0.0193 + 0.079204</f>
        <v>23.660501963000005</v>
      </c>
      <c r="L53" s="11"/>
    </row>
    <row r="54" spans="2:24" x14ac:dyDescent="0.3">
      <c r="B54" s="43"/>
      <c r="C54" s="3" t="s">
        <v>38</v>
      </c>
      <c r="D54" s="7"/>
      <c r="E54" s="8">
        <f>ABS(E50-E53)*1000</f>
        <v>4.5923766959994339</v>
      </c>
      <c r="F54" s="8">
        <f>ABS(F50-F53)*1000</f>
        <v>11.128895143999173</v>
      </c>
      <c r="G54" s="7"/>
      <c r="H54" s="8">
        <f>ABS(H50-H53)*1000</f>
        <v>3.1349332400001373</v>
      </c>
      <c r="I54" s="8">
        <f>ABS(I50-I53)*1000</f>
        <v>1.456275216002112</v>
      </c>
      <c r="J54" s="7"/>
      <c r="K54" s="8">
        <f>ABS(K50-K53)*1000</f>
        <v>7.4980369999941843</v>
      </c>
      <c r="L54" s="7"/>
    </row>
    <row r="55" spans="2:24" x14ac:dyDescent="0.3">
      <c r="C55" s="3" t="s">
        <v>39</v>
      </c>
      <c r="D55" s="7"/>
      <c r="E55" s="8">
        <f>E54/E50/10</f>
        <v>8.5075522341597515E-2</v>
      </c>
      <c r="F55" s="8">
        <f>F54/F50/10</f>
        <v>0.17305077194836221</v>
      </c>
      <c r="G55" s="7"/>
      <c r="H55" s="8">
        <f>H54/H50/10</f>
        <v>2.9976412698414012E-2</v>
      </c>
      <c r="I55" s="8">
        <f>I54/I50/10</f>
        <v>1.3183733623050082E-2</v>
      </c>
      <c r="J55" s="7"/>
      <c r="K55" s="8">
        <f>K54/K50/10</f>
        <v>3.1680061686640969E-2</v>
      </c>
      <c r="L55" s="7"/>
    </row>
    <row r="57" spans="2:24" x14ac:dyDescent="0.3">
      <c r="G57" s="3" t="s">
        <v>47</v>
      </c>
      <c r="H57" s="3">
        <f>(E55+F55+H55+I55+K55)/5</f>
        <v>6.6593300459612953E-2</v>
      </c>
    </row>
    <row r="63" spans="2:24" x14ac:dyDescent="0.3">
      <c r="B63" s="43" t="s">
        <v>48</v>
      </c>
      <c r="D63" s="7">
        <v>3.665</v>
      </c>
      <c r="E63" s="8">
        <v>5.3979999999999997</v>
      </c>
      <c r="F63" s="8">
        <v>6.431</v>
      </c>
      <c r="G63" s="7">
        <v>8.5939999999999994</v>
      </c>
      <c r="H63" s="8">
        <v>10.458</v>
      </c>
      <c r="I63" s="8">
        <v>11.045999999999999</v>
      </c>
      <c r="J63" s="7">
        <v>15.8</v>
      </c>
      <c r="K63" s="8">
        <v>23.667999999999999</v>
      </c>
      <c r="L63" s="7">
        <v>24.32</v>
      </c>
      <c r="O63" s="44" t="s">
        <v>49</v>
      </c>
      <c r="P63" s="44"/>
    </row>
    <row r="64" spans="2:24" x14ac:dyDescent="0.3">
      <c r="B64" s="43"/>
      <c r="C64" s="1" t="s">
        <v>22</v>
      </c>
      <c r="D64" s="7">
        <f>D14</f>
        <v>19.548055881838</v>
      </c>
      <c r="E64" s="8"/>
      <c r="F64" s="8"/>
      <c r="G64" s="7">
        <f>G14</f>
        <v>19.4354026828183</v>
      </c>
      <c r="H64" s="8"/>
      <c r="I64" s="8"/>
      <c r="J64" s="7">
        <f>J14</f>
        <v>19.397390215700526</v>
      </c>
      <c r="K64" s="8"/>
      <c r="L64" s="7">
        <f>L14</f>
        <v>19.363213648874527</v>
      </c>
      <c r="N64" s="7">
        <v>1</v>
      </c>
      <c r="O64" s="5">
        <f>D13</f>
        <v>187.48667500000002</v>
      </c>
      <c r="P64" s="3">
        <v>3.665</v>
      </c>
    </row>
    <row r="65" spans="2:16" x14ac:dyDescent="0.3">
      <c r="B65" s="43"/>
      <c r="C65" s="3" t="s">
        <v>36</v>
      </c>
      <c r="D65" s="9">
        <f t="shared" ref="D65:L65" si="7">D13</f>
        <v>187.48667500000002</v>
      </c>
      <c r="E65" s="10">
        <f t="shared" si="7"/>
        <v>276.80542700000001</v>
      </c>
      <c r="F65" s="10">
        <f t="shared" si="7"/>
        <v>329.84715300000005</v>
      </c>
      <c r="G65" s="9">
        <f t="shared" si="7"/>
        <v>442.18275999999997</v>
      </c>
      <c r="H65" s="10">
        <f t="shared" si="7"/>
        <v>538.671245</v>
      </c>
      <c r="I65" s="10">
        <f t="shared" si="7"/>
        <v>568.96895800000004</v>
      </c>
      <c r="J65" s="9">
        <f t="shared" si="7"/>
        <v>814.54256599999997</v>
      </c>
      <c r="K65" s="10">
        <f t="shared" si="7"/>
        <v>1221.8289100000002</v>
      </c>
      <c r="L65" s="9">
        <f t="shared" si="7"/>
        <v>1255.9898599999997</v>
      </c>
      <c r="N65" s="7">
        <v>3</v>
      </c>
      <c r="O65" s="5">
        <f>G13</f>
        <v>442.18275999999997</v>
      </c>
      <c r="P65" s="3">
        <v>8.5939999999999994</v>
      </c>
    </row>
    <row r="66" spans="2:16" x14ac:dyDescent="0.3">
      <c r="B66" s="43"/>
      <c r="C66" s="6" t="s">
        <v>37</v>
      </c>
      <c r="D66" s="11"/>
      <c r="E66" s="12">
        <f>E65*0.019332 + 0.044875</f>
        <v>5.3960775147640003</v>
      </c>
      <c r="F66" s="12">
        <f>F65*0.019332 + 0.044875</f>
        <v>6.4214801617960005</v>
      </c>
      <c r="G66" s="11"/>
      <c r="H66" s="12">
        <f>H65*0.019332 + 0.044875</f>
        <v>10.458467508339998</v>
      </c>
      <c r="I66" s="12">
        <f>I65*0.019332 + 0.044875</f>
        <v>11.044182896055998</v>
      </c>
      <c r="J66" s="11"/>
      <c r="K66" s="12">
        <f>K65*0.019332 + 0.044875</f>
        <v>23.665271488120002</v>
      </c>
      <c r="L66" s="11"/>
      <c r="N66" s="7">
        <v>6</v>
      </c>
      <c r="O66" s="5">
        <f>J13</f>
        <v>814.54256599999997</v>
      </c>
      <c r="P66" s="3">
        <v>15.8</v>
      </c>
    </row>
    <row r="67" spans="2:16" x14ac:dyDescent="0.3">
      <c r="B67" s="43"/>
      <c r="C67" s="3" t="s">
        <v>38</v>
      </c>
      <c r="D67" s="7"/>
      <c r="E67" s="8">
        <f>ABS(E63-E66)*1000</f>
        <v>1.9224852359993605</v>
      </c>
      <c r="F67" s="8">
        <f>ABS(F63-F66)*1000</f>
        <v>9.5198382039995977</v>
      </c>
      <c r="G67" s="7"/>
      <c r="H67" s="8">
        <f>ABS(H63-H66)*1000</f>
        <v>0.46750833999809061</v>
      </c>
      <c r="I67" s="8">
        <f>ABS(I63-I66)*1000</f>
        <v>1.8171039440009196</v>
      </c>
      <c r="J67" s="7"/>
      <c r="K67" s="8">
        <f>ABS(K63-K66)*1000</f>
        <v>2.7285118799973418</v>
      </c>
      <c r="L67" s="7"/>
      <c r="N67" s="7">
        <v>12</v>
      </c>
      <c r="O67" s="5">
        <f>L13</f>
        <v>1255.9898599999997</v>
      </c>
      <c r="P67" s="3">
        <v>24.32</v>
      </c>
    </row>
    <row r="68" spans="2:16" x14ac:dyDescent="0.3">
      <c r="C68" s="3" t="s">
        <v>39</v>
      </c>
      <c r="D68" s="7"/>
      <c r="E68" s="8">
        <f>E67/E63/10</f>
        <v>3.5614769099654699E-2</v>
      </c>
      <c r="F68" s="8">
        <f>F67/F63/10</f>
        <v>0.14803044944798005</v>
      </c>
      <c r="G68" s="7"/>
      <c r="H68" s="8">
        <f>H67/H63/10</f>
        <v>4.4703417479258992E-3</v>
      </c>
      <c r="I68" s="8">
        <f>I67/I63/10</f>
        <v>1.6450334455919969E-2</v>
      </c>
      <c r="J68" s="7"/>
      <c r="K68" s="8">
        <f>K67/K63/10</f>
        <v>1.1528273956385591E-2</v>
      </c>
      <c r="L68" s="7"/>
    </row>
    <row r="70" spans="2:16" x14ac:dyDescent="0.3">
      <c r="G70" s="3" t="s">
        <v>47</v>
      </c>
      <c r="H70" s="3">
        <f>(E68+F68+H68+I68+K68)/5</f>
        <v>4.3218833741573245E-2</v>
      </c>
    </row>
    <row r="72" spans="2:16" x14ac:dyDescent="0.3">
      <c r="B72" s="43" t="s">
        <v>50</v>
      </c>
      <c r="D72" s="7">
        <v>3.665</v>
      </c>
      <c r="E72" s="8">
        <v>5.3979999999999997</v>
      </c>
      <c r="F72" s="8">
        <v>6.431</v>
      </c>
      <c r="G72" s="7">
        <v>8.5939999999999994</v>
      </c>
      <c r="H72" s="8">
        <v>10.458</v>
      </c>
      <c r="I72" s="8">
        <v>11.045999999999999</v>
      </c>
      <c r="J72" s="7">
        <v>15.8</v>
      </c>
      <c r="K72" s="8">
        <v>23.667999999999999</v>
      </c>
      <c r="L72" s="7">
        <v>24.32</v>
      </c>
      <c r="O72" s="44" t="s">
        <v>49</v>
      </c>
      <c r="P72" s="44"/>
    </row>
    <row r="73" spans="2:16" x14ac:dyDescent="0.3">
      <c r="B73" s="43"/>
      <c r="C73" s="1" t="s">
        <v>22</v>
      </c>
      <c r="D73" s="7">
        <f>D14</f>
        <v>19.548055881838</v>
      </c>
      <c r="E73" s="8"/>
      <c r="F73" s="8"/>
      <c r="G73" s="7">
        <f>G14</f>
        <v>19.4354026828183</v>
      </c>
      <c r="H73" s="8"/>
      <c r="I73" s="8"/>
      <c r="J73" s="7">
        <f>J14</f>
        <v>19.397390215700526</v>
      </c>
      <c r="K73" s="8"/>
      <c r="L73" s="7">
        <f>L14</f>
        <v>19.363213648874527</v>
      </c>
      <c r="N73" s="7">
        <v>1</v>
      </c>
      <c r="O73" s="5">
        <f>D13</f>
        <v>187.48667500000002</v>
      </c>
      <c r="P73" s="3">
        <v>3.665</v>
      </c>
    </row>
    <row r="74" spans="2:16" ht="14.4" customHeight="1" x14ac:dyDescent="0.3">
      <c r="B74" s="43"/>
      <c r="C74" s="3" t="s">
        <v>36</v>
      </c>
      <c r="D74" s="9">
        <f>D13</f>
        <v>187.48667500000002</v>
      </c>
      <c r="E74" s="10">
        <f t="shared" ref="E74:L74" si="8">E13</f>
        <v>276.80542700000001</v>
      </c>
      <c r="F74" s="10">
        <f t="shared" si="8"/>
        <v>329.84715300000005</v>
      </c>
      <c r="G74" s="9">
        <f t="shared" si="8"/>
        <v>442.18275999999997</v>
      </c>
      <c r="H74" s="10">
        <f t="shared" si="8"/>
        <v>538.671245</v>
      </c>
      <c r="I74" s="10">
        <f t="shared" si="8"/>
        <v>568.96895800000004</v>
      </c>
      <c r="J74" s="9">
        <f t="shared" si="8"/>
        <v>814.54256599999997</v>
      </c>
      <c r="K74" s="10">
        <f t="shared" si="8"/>
        <v>1221.8289100000002</v>
      </c>
      <c r="L74" s="9">
        <f t="shared" si="8"/>
        <v>1255.9898599999997</v>
      </c>
      <c r="N74" s="7">
        <v>3</v>
      </c>
      <c r="O74" s="5">
        <f>G13</f>
        <v>442.18275999999997</v>
      </c>
      <c r="P74" s="3">
        <v>8.5939999999999994</v>
      </c>
    </row>
    <row r="75" spans="2:16" x14ac:dyDescent="0.3">
      <c r="B75" s="43"/>
      <c r="C75" s="6" t="s">
        <v>37</v>
      </c>
      <c r="D75" s="11"/>
      <c r="E75" s="12">
        <f>E74*E74*-0.00000004258895+E74*0.01937699677221+0.02926382372579</f>
        <v>5.3896584708876034</v>
      </c>
      <c r="F75" s="12">
        <f>F74*F74*-0.00000004258895+F74*0.01937699677221+0.02926382372579</f>
        <v>6.416077401411016</v>
      </c>
      <c r="G75" s="11"/>
      <c r="H75" s="12">
        <f>H74*H74*-0.00000004258895+H74*0.01937699677221+0.02926382372579</f>
        <v>10.454736903861193</v>
      </c>
      <c r="I75" s="12">
        <f>I74*I74*-0.00000004258895+I74*0.01937699677221+0.02926382372579</f>
        <v>11.040386349786051</v>
      </c>
      <c r="J75" s="11"/>
      <c r="K75" s="12">
        <f>K74*K74*-0.00000004258895+K74*0.01939381316962+0.02926382372579</f>
        <v>23.661605838959993</v>
      </c>
      <c r="L75" s="11"/>
      <c r="N75" s="7">
        <v>6</v>
      </c>
      <c r="O75" s="5">
        <f>J13</f>
        <v>814.54256599999997</v>
      </c>
      <c r="P75" s="3">
        <v>15.8</v>
      </c>
    </row>
    <row r="76" spans="2:16" x14ac:dyDescent="0.3">
      <c r="B76" s="43"/>
      <c r="C76" s="3" t="s">
        <v>38</v>
      </c>
      <c r="D76" s="7"/>
      <c r="E76" s="8">
        <f>ABS(E72-E75)*1000</f>
        <v>8.3415291123962731</v>
      </c>
      <c r="F76" s="8">
        <f>ABS(F72-F75)*1000</f>
        <v>14.922598588984037</v>
      </c>
      <c r="G76" s="7"/>
      <c r="H76" s="8">
        <f>ABS(H72-H75)*1000</f>
        <v>3.2630961388075974</v>
      </c>
      <c r="I76" s="8">
        <f>ABS(I72-I75)*1000</f>
        <v>5.6136502139487732</v>
      </c>
      <c r="J76" s="7"/>
      <c r="K76" s="8">
        <f>ABS(K72-K75)*1000</f>
        <v>6.3941610400064519</v>
      </c>
      <c r="L76" s="7"/>
      <c r="N76" s="7">
        <v>12</v>
      </c>
      <c r="O76" s="5">
        <f>L13</f>
        <v>1255.9898599999997</v>
      </c>
      <c r="P76" s="3">
        <v>24.32</v>
      </c>
    </row>
    <row r="77" spans="2:16" x14ac:dyDescent="0.3">
      <c r="C77" s="3" t="s">
        <v>39</v>
      </c>
      <c r="D77" s="7"/>
      <c r="E77" s="8">
        <f>E76/E72/10</f>
        <v>0.15452999467203174</v>
      </c>
      <c r="F77" s="8">
        <f>F76/F72/10</f>
        <v>0.23204165120485207</v>
      </c>
      <c r="G77" s="7"/>
      <c r="H77" s="8">
        <f>H76/H72/10</f>
        <v>3.1201913738837229E-2</v>
      </c>
      <c r="I77" s="8">
        <f>I76/I72/10</f>
        <v>5.0820660998993059E-2</v>
      </c>
      <c r="J77" s="7"/>
      <c r="K77" s="8">
        <f>K76/K72/10</f>
        <v>2.7016059827642609E-2</v>
      </c>
      <c r="L77" s="7"/>
    </row>
    <row r="79" spans="2:16" x14ac:dyDescent="0.3">
      <c r="G79" s="3" t="s">
        <v>47</v>
      </c>
      <c r="H79" s="3">
        <f>(E77+F77+H77+I77+K77)/5</f>
        <v>9.9122056088471341E-2</v>
      </c>
    </row>
    <row r="80" spans="2:16" x14ac:dyDescent="0.3">
      <c r="N80" s="44" t="s">
        <v>51</v>
      </c>
      <c r="O80" s="44"/>
    </row>
    <row r="81" spans="2:15" x14ac:dyDescent="0.3">
      <c r="B81" s="43" t="s">
        <v>52</v>
      </c>
      <c r="D81" s="7">
        <v>3.665</v>
      </c>
      <c r="E81" s="8">
        <v>5.3979999999999997</v>
      </c>
      <c r="F81" s="8">
        <v>6.431</v>
      </c>
      <c r="G81" s="7">
        <v>8.5939999999999994</v>
      </c>
      <c r="H81" s="8">
        <v>10.458</v>
      </c>
      <c r="I81" s="8">
        <v>11.045999999999999</v>
      </c>
      <c r="J81" s="7">
        <v>15.8</v>
      </c>
      <c r="K81" s="8">
        <v>23.667999999999999</v>
      </c>
      <c r="L81" s="7">
        <v>24.32</v>
      </c>
      <c r="N81" s="7">
        <v>3.665</v>
      </c>
      <c r="O81" s="3">
        <f>D85</f>
        <v>34.655455657897072</v>
      </c>
    </row>
    <row r="82" spans="2:15" x14ac:dyDescent="0.3">
      <c r="B82" s="43"/>
      <c r="C82" s="1" t="s">
        <v>22</v>
      </c>
      <c r="D82" s="7"/>
      <c r="E82" s="8"/>
      <c r="F82" s="8"/>
      <c r="G82" s="7"/>
      <c r="H82" s="8"/>
      <c r="I82" s="8"/>
      <c r="J82" s="7"/>
      <c r="K82" s="8"/>
      <c r="L82" s="7">
        <f>L14</f>
        <v>19.363213648874527</v>
      </c>
      <c r="N82" s="7">
        <v>8.5939999999999994</v>
      </c>
      <c r="O82" s="3">
        <f>G85</f>
        <v>31.920746270991174</v>
      </c>
    </row>
    <row r="83" spans="2:15" x14ac:dyDescent="0.3">
      <c r="B83" s="43"/>
      <c r="C83" s="3" t="s">
        <v>36</v>
      </c>
      <c r="D83" s="9">
        <f t="shared" ref="D83:L83" si="9">D13</f>
        <v>187.48667500000002</v>
      </c>
      <c r="E83" s="10">
        <f t="shared" si="9"/>
        <v>276.80542700000001</v>
      </c>
      <c r="F83" s="10">
        <f t="shared" si="9"/>
        <v>329.84715300000005</v>
      </c>
      <c r="G83" s="9">
        <f t="shared" si="9"/>
        <v>442.18275999999997</v>
      </c>
      <c r="H83" s="10">
        <f t="shared" si="9"/>
        <v>538.671245</v>
      </c>
      <c r="I83" s="10">
        <f t="shared" si="9"/>
        <v>568.96895800000004</v>
      </c>
      <c r="J83" s="9">
        <f t="shared" si="9"/>
        <v>814.54256599999997</v>
      </c>
      <c r="K83" s="10">
        <f t="shared" si="9"/>
        <v>1221.8289100000002</v>
      </c>
      <c r="L83" s="9">
        <f t="shared" si="9"/>
        <v>1255.9898599999997</v>
      </c>
      <c r="N83" s="7">
        <v>15.8</v>
      </c>
      <c r="O83" s="3">
        <f>J85</f>
        <v>27.838268439520419</v>
      </c>
    </row>
    <row r="84" spans="2:15" x14ac:dyDescent="0.3">
      <c r="B84" s="43"/>
      <c r="C84" s="6" t="s">
        <v>37</v>
      </c>
      <c r="D84" s="11">
        <f>$L$82*D83/1000</f>
        <v>3.630344544342103</v>
      </c>
      <c r="E84" s="12">
        <f>( -1.629475*$L$82*E83/1000+ 44.941179)/1000+$L$82*E83/1000</f>
        <v>5.3960500716121826</v>
      </c>
      <c r="F84" s="12">
        <f>( -1.629475*$L$82*F83/1000+ 44.941179)/1000+$L$82*F83/1000</f>
        <v>6.4214347786761055</v>
      </c>
      <c r="G84" s="11">
        <f t="shared" ref="G84:L84" si="10">$L$82*G83/1000</f>
        <v>8.5620792537290082</v>
      </c>
      <c r="H84" s="12">
        <f>( -1.629475*$L$82*H83/1000+ 44.941179)/1000+$L$82*H83/1000</f>
        <v>10.458351495965989</v>
      </c>
      <c r="I84" s="12">
        <f>( -1.629475*$L$82*I83/1000+ 44.941179)/1000+$L$82*I83/1000</f>
        <v>11.044056636277823</v>
      </c>
      <c r="J84" s="11">
        <f t="shared" si="10"/>
        <v>15.77216173156048</v>
      </c>
      <c r="K84" s="12">
        <f>( -1.629475*$L$82*K83/1000+ 44.941179)/1000+$L$82*K83/1000</f>
        <v>23.664924415642435</v>
      </c>
      <c r="L84" s="11">
        <f t="shared" si="10"/>
        <v>24.32</v>
      </c>
      <c r="N84" s="7">
        <v>24.32</v>
      </c>
      <c r="O84" s="3">
        <f>L85</f>
        <v>0</v>
      </c>
    </row>
    <row r="85" spans="2:15" x14ac:dyDescent="0.3">
      <c r="B85" s="43"/>
      <c r="C85" s="3" t="s">
        <v>38</v>
      </c>
      <c r="D85" s="7">
        <f t="shared" ref="D85:L85" si="11">ABS(D81-D84)*1000</f>
        <v>34.655455657897072</v>
      </c>
      <c r="E85" s="8">
        <f t="shared" si="11"/>
        <v>1.9499283878170459</v>
      </c>
      <c r="F85" s="8">
        <f t="shared" si="11"/>
        <v>9.5652213238945905</v>
      </c>
      <c r="G85" s="7">
        <f t="shared" si="11"/>
        <v>31.920746270991174</v>
      </c>
      <c r="H85" s="8">
        <f t="shared" si="11"/>
        <v>0.35149596598849087</v>
      </c>
      <c r="I85" s="8">
        <f t="shared" si="11"/>
        <v>1.9433637221766276</v>
      </c>
      <c r="J85" s="7">
        <f t="shared" si="11"/>
        <v>27.838268439520419</v>
      </c>
      <c r="K85" s="8">
        <f t="shared" si="11"/>
        <v>3.075584357564054</v>
      </c>
      <c r="L85" s="7">
        <f t="shared" si="11"/>
        <v>0</v>
      </c>
    </row>
    <row r="86" spans="2:15" x14ac:dyDescent="0.3">
      <c r="C86" s="3" t="s">
        <v>39</v>
      </c>
      <c r="D86" s="7"/>
      <c r="E86" s="8">
        <f>E85/E81/10</f>
        <v>3.6123163909170912E-2</v>
      </c>
      <c r="F86" s="8">
        <f>F85/F81/10</f>
        <v>0.14873614249563971</v>
      </c>
      <c r="G86" s="7"/>
      <c r="H86" s="8">
        <f>H85/H81/10</f>
        <v>3.3610247273713027E-3</v>
      </c>
      <c r="I86" s="8">
        <f>I85/I81/10</f>
        <v>1.7593370651608074E-2</v>
      </c>
      <c r="J86" s="7"/>
      <c r="K86" s="8">
        <f>K85/K81/10</f>
        <v>1.299469476746685E-2</v>
      </c>
      <c r="L86" s="7"/>
    </row>
    <row r="88" spans="2:15" x14ac:dyDescent="0.3">
      <c r="G88" s="3" t="s">
        <v>47</v>
      </c>
      <c r="H88" s="3">
        <f>(E86+F86+H86+I86+K86)/5</f>
        <v>4.3761679310251364E-2</v>
      </c>
    </row>
    <row r="92" spans="2:15" x14ac:dyDescent="0.3">
      <c r="D92" s="3">
        <f>D83*$L$82/1000</f>
        <v>3.630344544342103</v>
      </c>
      <c r="E92" s="3">
        <f t="shared" ref="E92:L92" si="12">E83*$L$82/1000</f>
        <v>5.3598426221689417</v>
      </c>
      <c r="F92" s="3">
        <f t="shared" si="12"/>
        <v>6.3869008950120048</v>
      </c>
      <c r="G92" s="3">
        <f t="shared" si="12"/>
        <v>8.5620792537290082</v>
      </c>
      <c r="H92" s="3">
        <f t="shared" si="12"/>
        <v>10.430406403440234</v>
      </c>
      <c r="I92" s="3">
        <f t="shared" si="12"/>
        <v>11.017067493331519</v>
      </c>
      <c r="J92" s="3">
        <f t="shared" si="12"/>
        <v>15.77216173156048</v>
      </c>
      <c r="K92" s="3">
        <f t="shared" si="12"/>
        <v>23.658534226701491</v>
      </c>
      <c r="L92" s="3">
        <f t="shared" si="12"/>
        <v>24.32</v>
      </c>
    </row>
    <row r="93" spans="2:15" x14ac:dyDescent="0.3">
      <c r="D93" s="7">
        <v>3.665</v>
      </c>
      <c r="E93" s="8">
        <v>5.3979999999999997</v>
      </c>
      <c r="F93" s="8">
        <v>6.431</v>
      </c>
      <c r="G93" s="7">
        <v>8.5939999999999994</v>
      </c>
      <c r="H93" s="8">
        <v>10.458</v>
      </c>
      <c r="I93" s="8">
        <v>11.045999999999999</v>
      </c>
      <c r="J93" s="7">
        <v>15.8</v>
      </c>
      <c r="K93" s="8">
        <v>23.667999999999999</v>
      </c>
      <c r="L93" s="7">
        <v>24.32</v>
      </c>
    </row>
  </sheetData>
  <mergeCells count="16">
    <mergeCell ref="S50:T50"/>
    <mergeCell ref="W50:X50"/>
    <mergeCell ref="B63:B67"/>
    <mergeCell ref="O63:P63"/>
    <mergeCell ref="D1:L1"/>
    <mergeCell ref="B3:B12"/>
    <mergeCell ref="B18:B22"/>
    <mergeCell ref="B26:B30"/>
    <mergeCell ref="B34:B38"/>
    <mergeCell ref="B42:B46"/>
    <mergeCell ref="B72:B76"/>
    <mergeCell ref="O72:P72"/>
    <mergeCell ref="N80:O80"/>
    <mergeCell ref="B81:B85"/>
    <mergeCell ref="B50:B54"/>
    <mergeCell ref="O50:P50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7D21-189E-4C39-BB53-04A7200A926E}">
  <dimension ref="B1:U43"/>
  <sheetViews>
    <sheetView topLeftCell="A10" workbookViewId="0">
      <selection activeCell="I30" sqref="I30"/>
    </sheetView>
  </sheetViews>
  <sheetFormatPr defaultRowHeight="14.4" x14ac:dyDescent="0.3"/>
  <cols>
    <col min="5" max="9" width="9.5546875" bestFit="1" customWidth="1"/>
    <col min="10" max="10" width="15.5546875" customWidth="1"/>
    <col min="19" max="19" width="40.5546875" customWidth="1"/>
  </cols>
  <sheetData>
    <row r="1" spans="2:21" x14ac:dyDescent="0.3">
      <c r="E1" s="45" t="s">
        <v>54</v>
      </c>
      <c r="F1" s="45"/>
      <c r="G1" s="45"/>
      <c r="H1" s="45"/>
      <c r="I1" s="46"/>
    </row>
    <row r="2" spans="2:21" x14ac:dyDescent="0.3">
      <c r="E2" s="18">
        <v>5.3979999999999997</v>
      </c>
      <c r="F2" s="19">
        <v>6.431</v>
      </c>
      <c r="G2" s="19">
        <v>10.458</v>
      </c>
      <c r="H2" s="19">
        <v>11.045999999999999</v>
      </c>
      <c r="I2" s="20">
        <v>23.667999999999999</v>
      </c>
      <c r="J2" s="21" t="s">
        <v>55</v>
      </c>
    </row>
    <row r="3" spans="2:21" x14ac:dyDescent="0.3">
      <c r="B3" t="s">
        <v>56</v>
      </c>
      <c r="D3" s="19" t="s">
        <v>57</v>
      </c>
      <c r="E3" s="22">
        <v>0.5108450553020909</v>
      </c>
      <c r="F3" s="22">
        <v>0.38409444238798807</v>
      </c>
      <c r="G3" s="22">
        <v>0.14720669946754233</v>
      </c>
      <c r="H3" s="22">
        <v>0.16678532482423986</v>
      </c>
      <c r="I3" s="23">
        <v>0.44561358820349406</v>
      </c>
      <c r="J3" s="22">
        <f t="shared" ref="J3:J10" si="0">AVERAGE(E3:I3)</f>
        <v>0.33090902203707107</v>
      </c>
      <c r="M3" s="3"/>
      <c r="N3" s="3"/>
      <c r="O3" s="3"/>
      <c r="P3" s="3"/>
      <c r="Q3" s="3"/>
      <c r="R3" s="3"/>
      <c r="S3" s="3"/>
      <c r="T3" s="3"/>
      <c r="U3" s="3"/>
    </row>
    <row r="4" spans="2:21" x14ac:dyDescent="0.3">
      <c r="D4" s="19" t="s">
        <v>58</v>
      </c>
      <c r="E4" s="22">
        <v>0.49514130245437615</v>
      </c>
      <c r="F4" s="22">
        <v>0.38409444238798807</v>
      </c>
      <c r="G4" s="22">
        <v>0.14720669946754233</v>
      </c>
      <c r="H4" s="22">
        <v>0.13013253558641089</v>
      </c>
      <c r="I4" s="23">
        <v>0.14786921538039915</v>
      </c>
      <c r="J4" s="22">
        <f t="shared" si="0"/>
        <v>0.26088883905534332</v>
      </c>
    </row>
    <row r="5" spans="2:21" x14ac:dyDescent="0.3">
      <c r="D5" s="19" t="s">
        <v>59</v>
      </c>
      <c r="E5" s="22">
        <v>0.14221650061532259</v>
      </c>
      <c r="F5" s="22">
        <v>5.9677603587229421E-2</v>
      </c>
      <c r="G5" s="22">
        <v>7.027532771372616E-2</v>
      </c>
      <c r="H5" s="22">
        <v>6.5643257466321533E-2</v>
      </c>
      <c r="I5" s="23">
        <v>3.4502236874366009E-2</v>
      </c>
      <c r="J5" s="22">
        <f t="shared" si="0"/>
        <v>7.4462985251393138E-2</v>
      </c>
    </row>
    <row r="6" spans="2:21" x14ac:dyDescent="0.3">
      <c r="D6" s="19" t="s">
        <v>60</v>
      </c>
      <c r="E6" s="22">
        <v>0.12499828481727022</v>
      </c>
      <c r="F6" s="22">
        <v>9.6483776143183805E-2</v>
      </c>
      <c r="G6" s="22">
        <v>0.12431072530937329</v>
      </c>
      <c r="H6" s="22">
        <v>8.4930626362716158E-2</v>
      </c>
      <c r="I6" s="23">
        <v>8.9868760116952016E-3</v>
      </c>
      <c r="J6" s="22">
        <f t="shared" si="0"/>
        <v>8.7942057728847736E-2</v>
      </c>
    </row>
    <row r="7" spans="2:21" x14ac:dyDescent="0.3">
      <c r="D7" s="19" t="s">
        <v>61</v>
      </c>
      <c r="E7" s="22">
        <v>6.9015477671901554E-2</v>
      </c>
      <c r="F7" s="22">
        <v>0.13214252983804015</v>
      </c>
      <c r="G7" s="22">
        <v>3.276409375980955E-2</v>
      </c>
      <c r="H7" s="22">
        <v>2.3885484880356127E-2</v>
      </c>
      <c r="I7" s="23">
        <v>3.9714003200645734E-2</v>
      </c>
      <c r="J7" s="29">
        <f t="shared" si="0"/>
        <v>5.9504317870150612E-2</v>
      </c>
    </row>
    <row r="8" spans="2:21" x14ac:dyDescent="0.3">
      <c r="D8" s="19" t="s">
        <v>62</v>
      </c>
      <c r="E8" s="22">
        <v>4.3561298075777168E-2</v>
      </c>
      <c r="F8" s="22">
        <v>0.11243257331862558</v>
      </c>
      <c r="G8" s="22">
        <v>2.3175523896092631E-2</v>
      </c>
      <c r="H8" s="22">
        <v>9.3078665689451077E-3</v>
      </c>
      <c r="I8" s="23">
        <v>2.9799321577443982E-2</v>
      </c>
      <c r="J8" s="24">
        <f t="shared" si="0"/>
        <v>4.3655316687376891E-2</v>
      </c>
    </row>
    <row r="9" spans="2:21" x14ac:dyDescent="0.3">
      <c r="D9" s="19" t="s">
        <v>63</v>
      </c>
      <c r="E9" s="22">
        <v>5.9835191569692636E-2</v>
      </c>
      <c r="F9" s="22">
        <v>0.10933859579278513</v>
      </c>
      <c r="G9" s="22">
        <v>5.3192648463970135E-2</v>
      </c>
      <c r="H9" s="22">
        <v>4.0045980981128972E-2</v>
      </c>
      <c r="I9" s="23">
        <v>3.6574907675149586E-2</v>
      </c>
      <c r="J9" s="22">
        <f t="shared" si="0"/>
        <v>5.9797464896545291E-2</v>
      </c>
    </row>
    <row r="10" spans="2:21" x14ac:dyDescent="0.3">
      <c r="D10" s="19" t="s">
        <v>64</v>
      </c>
      <c r="E10" s="22">
        <v>4.0201497561271948E-2</v>
      </c>
      <c r="F10" s="22">
        <v>0.10956182325540247</v>
      </c>
      <c r="G10" s="22">
        <v>2.5063087631988158E-2</v>
      </c>
      <c r="H10" s="22">
        <v>1.1111769374239893E-2</v>
      </c>
      <c r="I10" s="23">
        <v>2.878865107479945E-2</v>
      </c>
      <c r="J10" s="24">
        <f t="shared" si="0"/>
        <v>4.2945365779540383E-2</v>
      </c>
    </row>
    <row r="11" spans="2:21" x14ac:dyDescent="0.3">
      <c r="D11" s="19"/>
      <c r="E11" s="22"/>
      <c r="F11" s="22"/>
      <c r="G11" s="22"/>
      <c r="H11" s="22"/>
      <c r="I11" s="23"/>
      <c r="J11" s="22"/>
    </row>
    <row r="12" spans="2:21" x14ac:dyDescent="0.3">
      <c r="D12" s="19"/>
      <c r="E12" s="47" t="s">
        <v>54</v>
      </c>
      <c r="F12" s="47"/>
      <c r="G12" s="47"/>
      <c r="H12" s="47"/>
      <c r="I12" s="48"/>
      <c r="J12" s="22"/>
    </row>
    <row r="13" spans="2:21" x14ac:dyDescent="0.3">
      <c r="D13" s="19"/>
      <c r="E13" s="18">
        <v>5.3979999999999997</v>
      </c>
      <c r="F13" s="19">
        <v>6.431</v>
      </c>
      <c r="G13" s="19">
        <v>10.458</v>
      </c>
      <c r="H13" s="19">
        <v>11.045999999999999</v>
      </c>
      <c r="I13" s="20">
        <v>23.667999999999999</v>
      </c>
      <c r="J13" s="21" t="s">
        <v>55</v>
      </c>
      <c r="S13" s="25" t="s">
        <v>65</v>
      </c>
    </row>
    <row r="14" spans="2:21" x14ac:dyDescent="0.3">
      <c r="B14" t="s">
        <v>66</v>
      </c>
      <c r="D14" s="19" t="s">
        <v>57</v>
      </c>
      <c r="E14" s="22">
        <v>0.43905993464812731</v>
      </c>
      <c r="F14" s="22">
        <v>0.35291879238525437</v>
      </c>
      <c r="G14" s="22">
        <v>0.13159456022124041</v>
      </c>
      <c r="H14" s="22">
        <v>0.14721819869148939</v>
      </c>
      <c r="I14" s="23">
        <v>0.41473369646578878</v>
      </c>
      <c r="J14" s="22">
        <f t="shared" ref="J14:J21" si="1">AVERAGE(E14:I14)</f>
        <v>0.29710503648238007</v>
      </c>
      <c r="S14" s="26" t="s">
        <v>67</v>
      </c>
    </row>
    <row r="15" spans="2:21" x14ac:dyDescent="0.3">
      <c r="D15" s="19" t="s">
        <v>58</v>
      </c>
      <c r="E15" s="22">
        <v>0.39947821394890498</v>
      </c>
      <c r="F15" s="22">
        <v>0.35291879238525437</v>
      </c>
      <c r="G15" s="22">
        <v>0.13159456022124041</v>
      </c>
      <c r="H15" s="22">
        <v>0.11589859410664087</v>
      </c>
      <c r="I15" s="23">
        <v>0.15091406018316741</v>
      </c>
      <c r="J15" s="22">
        <f t="shared" si="1"/>
        <v>0.23016084416904162</v>
      </c>
      <c r="S15" s="25" t="s">
        <v>68</v>
      </c>
    </row>
    <row r="16" spans="2:21" x14ac:dyDescent="0.3">
      <c r="D16" s="19" t="s">
        <v>59</v>
      </c>
      <c r="E16" s="22">
        <v>0.10530858428102438</v>
      </c>
      <c r="F16" s="22">
        <v>1.6947391406372324E-2</v>
      </c>
      <c r="G16" s="22">
        <v>6.3448058056665591E-2</v>
      </c>
      <c r="H16" s="22">
        <v>5.7624362994181333E-2</v>
      </c>
      <c r="I16" s="23">
        <v>3.8652035682489767E-2</v>
      </c>
      <c r="J16" s="22">
        <f t="shared" si="1"/>
        <v>5.6396086484146679E-2</v>
      </c>
      <c r="S16" s="27" t="s">
        <v>69</v>
      </c>
    </row>
    <row r="17" spans="2:19" x14ac:dyDescent="0.3">
      <c r="D17" s="19" t="s">
        <v>60</v>
      </c>
      <c r="E17" s="22">
        <v>9.0747362606911353E-2</v>
      </c>
      <c r="F17" s="22">
        <v>4.6940122778343515E-2</v>
      </c>
      <c r="G17" s="22">
        <v>0.10572805221723307</v>
      </c>
      <c r="H17" s="22">
        <v>7.0773426409327392E-2</v>
      </c>
      <c r="I17" s="23">
        <v>3.9047630200788185E-2</v>
      </c>
      <c r="J17" s="22">
        <f t="shared" si="1"/>
        <v>7.0647318842520707E-2</v>
      </c>
      <c r="S17" s="28" t="s">
        <v>70</v>
      </c>
    </row>
    <row r="18" spans="2:19" x14ac:dyDescent="0.3">
      <c r="D18" s="19" t="s">
        <v>61</v>
      </c>
      <c r="E18" s="22">
        <v>7.1757187497323641E-2</v>
      </c>
      <c r="F18" s="22">
        <v>0.14398243693527982</v>
      </c>
      <c r="G18" s="22">
        <v>3.1000662315720635E-2</v>
      </c>
      <c r="H18" s="22">
        <v>2.1413955040028607E-2</v>
      </c>
      <c r="I18" s="23">
        <v>4.3333441844953656E-2</v>
      </c>
      <c r="J18" s="22">
        <f t="shared" si="1"/>
        <v>6.2297536726661273E-2</v>
      </c>
      <c r="S18" s="27" t="s">
        <v>71</v>
      </c>
    </row>
    <row r="19" spans="2:19" x14ac:dyDescent="0.3">
      <c r="D19" s="19" t="s">
        <v>62</v>
      </c>
      <c r="E19" s="22">
        <v>2.9577662443628288E-2</v>
      </c>
      <c r="F19" s="22">
        <v>0.12014758771662044</v>
      </c>
      <c r="G19" s="22">
        <v>6.6452643138315446E-3</v>
      </c>
      <c r="H19" s="22">
        <v>7.9644678992813068E-3</v>
      </c>
      <c r="I19" s="23">
        <v>2.8036190915142416E-2</v>
      </c>
      <c r="J19" s="24">
        <f t="shared" si="1"/>
        <v>3.8474234657700807E-2</v>
      </c>
      <c r="S19" s="28" t="s">
        <v>72</v>
      </c>
    </row>
    <row r="20" spans="2:19" x14ac:dyDescent="0.3">
      <c r="D20" s="19" t="s">
        <v>63</v>
      </c>
      <c r="E20" s="22">
        <v>5.7089227994688754E-2</v>
      </c>
      <c r="F20" s="22">
        <v>0.11611242255100451</v>
      </c>
      <c r="G20" s="22">
        <v>5.4590592665404038E-2</v>
      </c>
      <c r="H20" s="22">
        <v>4.1159872159405878E-2</v>
      </c>
      <c r="I20" s="23">
        <v>4.0034893484138037E-2</v>
      </c>
      <c r="J20" s="22">
        <f t="shared" si="1"/>
        <v>6.179740177092824E-2</v>
      </c>
      <c r="S20" s="26" t="s">
        <v>73</v>
      </c>
    </row>
    <row r="21" spans="2:19" x14ac:dyDescent="0.3">
      <c r="D21" s="19" t="s">
        <v>64</v>
      </c>
      <c r="E21" s="22">
        <v>2.7109067204194055E-2</v>
      </c>
      <c r="F21" s="22">
        <v>0.11805661147571664</v>
      </c>
      <c r="G21" s="22">
        <v>7.9767713199184933E-3</v>
      </c>
      <c r="H21" s="22">
        <v>6.6975533088721676E-3</v>
      </c>
      <c r="I21" s="23">
        <v>2.7381795904403521E-2</v>
      </c>
      <c r="J21" s="24">
        <f t="shared" si="1"/>
        <v>3.7444359842620976E-2</v>
      </c>
      <c r="S21" s="25" t="s">
        <v>74</v>
      </c>
    </row>
    <row r="22" spans="2:19" x14ac:dyDescent="0.3">
      <c r="D22" s="19"/>
      <c r="E22" s="22"/>
      <c r="F22" s="22"/>
      <c r="G22" s="22"/>
      <c r="H22" s="22"/>
      <c r="I22" s="23"/>
      <c r="J22" s="22"/>
      <c r="S22" s="27" t="s">
        <v>75</v>
      </c>
    </row>
    <row r="23" spans="2:19" x14ac:dyDescent="0.3">
      <c r="D23" s="19"/>
      <c r="E23" s="47" t="s">
        <v>54</v>
      </c>
      <c r="F23" s="47"/>
      <c r="G23" s="47"/>
      <c r="H23" s="47"/>
      <c r="I23" s="48"/>
      <c r="J23" s="22"/>
      <c r="S23" s="28" t="s">
        <v>62</v>
      </c>
    </row>
    <row r="24" spans="2:19" x14ac:dyDescent="0.3">
      <c r="D24" s="19"/>
      <c r="E24" s="18">
        <v>5.3979999999999997</v>
      </c>
      <c r="F24" s="19">
        <v>6.431</v>
      </c>
      <c r="G24" s="19">
        <v>10.458</v>
      </c>
      <c r="H24" s="19">
        <v>11.045999999999999</v>
      </c>
      <c r="I24" s="20">
        <v>23.667999999999999</v>
      </c>
      <c r="J24" s="21" t="s">
        <v>55</v>
      </c>
      <c r="S24" s="27" t="s">
        <v>76</v>
      </c>
    </row>
    <row r="25" spans="2:19" x14ac:dyDescent="0.3">
      <c r="B25" t="s">
        <v>77</v>
      </c>
      <c r="D25" s="19" t="s">
        <v>57</v>
      </c>
      <c r="E25" s="22">
        <v>0.50077383255091867</v>
      </c>
      <c r="F25" s="22">
        <v>0.38864012252270264</v>
      </c>
      <c r="G25" s="22">
        <v>0.14948610749737867</v>
      </c>
      <c r="H25" s="22">
        <v>0.17305628095505748</v>
      </c>
      <c r="I25" s="23">
        <v>0.48271755002822514</v>
      </c>
      <c r="J25" s="22">
        <f t="shared" ref="J25:J32" si="2">AVERAGE(E25:I25)</f>
        <v>0.33893477871085648</v>
      </c>
      <c r="S25" s="28" t="s">
        <v>63</v>
      </c>
    </row>
    <row r="26" spans="2:19" x14ac:dyDescent="0.3">
      <c r="D26" s="19" t="s">
        <v>58</v>
      </c>
      <c r="E26" s="22">
        <v>0.4842068293553784</v>
      </c>
      <c r="F26" s="22">
        <v>0.38864012252270264</v>
      </c>
      <c r="G26" s="22">
        <v>0.14948610749737867</v>
      </c>
      <c r="H26" s="22">
        <v>0.13917382123630898</v>
      </c>
      <c r="I26" s="23">
        <v>0.16952226245391505</v>
      </c>
      <c r="J26" s="22">
        <f t="shared" si="2"/>
        <v>0.26620582861313674</v>
      </c>
      <c r="S26" s="26" t="s">
        <v>78</v>
      </c>
    </row>
    <row r="27" spans="2:19" x14ac:dyDescent="0.3">
      <c r="D27" s="19" t="s">
        <v>59</v>
      </c>
      <c r="E27" s="22">
        <v>0.13864041491075493</v>
      </c>
      <c r="F27" s="22">
        <v>4.5925124575792141E-2</v>
      </c>
      <c r="G27" s="22">
        <v>6.8625589264121989E-2</v>
      </c>
      <c r="H27" s="22">
        <v>6.6723278135336378E-2</v>
      </c>
      <c r="I27" s="23">
        <v>3.8983136563189344E-2</v>
      </c>
      <c r="J27" s="22">
        <f t="shared" si="2"/>
        <v>7.1779508689838969E-2</v>
      </c>
      <c r="S27" s="25" t="s">
        <v>64</v>
      </c>
    </row>
    <row r="28" spans="2:19" x14ac:dyDescent="0.3">
      <c r="D28" s="19" t="s">
        <v>60</v>
      </c>
      <c r="E28" s="22">
        <v>0.12066919457271619</v>
      </c>
      <c r="F28" s="22">
        <v>7.9353415202555705E-2</v>
      </c>
      <c r="G28" s="22">
        <v>0.11504621336776899</v>
      </c>
      <c r="H28" s="22">
        <v>7.8989421961407583E-2</v>
      </c>
      <c r="I28" s="23">
        <v>4.5679547857933406E-2</v>
      </c>
      <c r="J28" s="22">
        <f t="shared" si="2"/>
        <v>8.7947558592476355E-2</v>
      </c>
      <c r="S28" s="26" t="s">
        <v>79</v>
      </c>
    </row>
    <row r="29" spans="2:19" x14ac:dyDescent="0.3">
      <c r="D29" s="19" t="s">
        <v>61</v>
      </c>
      <c r="E29" s="22">
        <v>6.9224927619073978E-2</v>
      </c>
      <c r="F29" s="22">
        <v>0.14294696655551042</v>
      </c>
      <c r="G29" s="22">
        <v>2.4987246909790022E-2</v>
      </c>
      <c r="H29" s="22">
        <v>1.8611898298284392E-2</v>
      </c>
      <c r="I29" s="23">
        <v>4.3560869602687145E-2</v>
      </c>
      <c r="J29" s="22">
        <f t="shared" si="2"/>
        <v>5.9866381797069192E-2</v>
      </c>
    </row>
    <row r="30" spans="2:19" x14ac:dyDescent="0.3">
      <c r="D30" s="19" t="s">
        <v>62</v>
      </c>
      <c r="E30" s="22">
        <v>2.6817133505275655E-2</v>
      </c>
      <c r="F30" s="22">
        <v>0.11892032382588638</v>
      </c>
      <c r="G30" s="22">
        <v>5.7583804944012478E-3</v>
      </c>
      <c r="H30" s="22">
        <v>5.6420403761849348E-3</v>
      </c>
      <c r="I30" s="23">
        <v>2.8362615755632349E-2</v>
      </c>
      <c r="J30" s="24">
        <f t="shared" si="2"/>
        <v>3.7100098791476112E-2</v>
      </c>
    </row>
    <row r="31" spans="2:19" x14ac:dyDescent="0.3">
      <c r="D31" s="19" t="s">
        <v>63</v>
      </c>
      <c r="E31" s="22">
        <v>5.4881787103411572E-2</v>
      </c>
      <c r="F31" s="22">
        <v>0.11540888604916222</v>
      </c>
      <c r="G31" s="22">
        <v>5.3221562086321762E-2</v>
      </c>
      <c r="H31" s="22">
        <v>4.300367620097794E-2</v>
      </c>
      <c r="I31" s="23">
        <v>4.0899836993573621E-2</v>
      </c>
      <c r="J31" s="29">
        <f t="shared" si="2"/>
        <v>6.1483149686689421E-2</v>
      </c>
      <c r="L31" s="3"/>
      <c r="M31" s="3"/>
      <c r="N31" s="3"/>
      <c r="O31" s="3"/>
      <c r="Q31" s="3"/>
    </row>
    <row r="32" spans="2:19" x14ac:dyDescent="0.3">
      <c r="D32" s="19" t="s">
        <v>64</v>
      </c>
      <c r="E32" s="22">
        <v>2.4200423715288223E-2</v>
      </c>
      <c r="F32" s="22">
        <v>0.11681848242612961</v>
      </c>
      <c r="G32" s="22">
        <v>6.8223812464730917E-3</v>
      </c>
      <c r="H32" s="22">
        <v>4.6661360079040285E-3</v>
      </c>
      <c r="I32" s="23">
        <v>2.8222812527580458E-2</v>
      </c>
      <c r="J32" s="24">
        <f t="shared" si="2"/>
        <v>3.6146047184675081E-2</v>
      </c>
      <c r="L32" s="3"/>
      <c r="M32" s="3"/>
      <c r="N32" s="3"/>
      <c r="O32" s="3"/>
      <c r="P32" s="3"/>
      <c r="Q32" s="3"/>
    </row>
    <row r="33" spans="2:17" x14ac:dyDescent="0.3">
      <c r="D33" s="19"/>
      <c r="E33" s="22"/>
      <c r="F33" s="22"/>
      <c r="G33" s="22"/>
      <c r="H33" s="22"/>
      <c r="I33" s="23"/>
      <c r="J33" s="22"/>
      <c r="L33" s="3"/>
      <c r="M33" s="3"/>
      <c r="N33" s="3"/>
      <c r="O33" s="3"/>
      <c r="P33" s="3"/>
      <c r="Q33" s="3"/>
    </row>
    <row r="34" spans="2:17" x14ac:dyDescent="0.3">
      <c r="D34" s="19"/>
      <c r="E34" s="47" t="s">
        <v>54</v>
      </c>
      <c r="F34" s="47"/>
      <c r="G34" s="47"/>
      <c r="H34" s="47"/>
      <c r="I34" s="48"/>
      <c r="J34" s="22"/>
      <c r="L34" s="3"/>
      <c r="M34" s="3"/>
      <c r="N34" s="3"/>
      <c r="O34" s="3"/>
      <c r="P34" s="3"/>
      <c r="Q34" s="3"/>
    </row>
    <row r="35" spans="2:17" x14ac:dyDescent="0.3">
      <c r="D35" s="19"/>
      <c r="E35" s="18">
        <v>5.3979999999999997</v>
      </c>
      <c r="F35" s="19">
        <v>6.431</v>
      </c>
      <c r="G35" s="19">
        <v>10.458</v>
      </c>
      <c r="H35" s="19">
        <v>11.045999999999999</v>
      </c>
      <c r="I35" s="20">
        <v>23.667999999999999</v>
      </c>
      <c r="J35" s="21" t="s">
        <v>55</v>
      </c>
      <c r="K35" s="17"/>
      <c r="L35" s="3"/>
      <c r="M35" s="3"/>
      <c r="N35" s="3"/>
      <c r="O35" s="3"/>
      <c r="P35" s="3"/>
      <c r="Q35" s="3"/>
    </row>
    <row r="36" spans="2:17" x14ac:dyDescent="0.3">
      <c r="B36" t="s">
        <v>80</v>
      </c>
      <c r="D36" s="19" t="s">
        <v>57</v>
      </c>
      <c r="E36" s="14">
        <v>0.33669991599730031</v>
      </c>
      <c r="F36" s="14">
        <v>0.31546816457504556</v>
      </c>
      <c r="G36" s="14">
        <v>0.10798011311984201</v>
      </c>
      <c r="H36" s="14">
        <v>0.10991139555977292</v>
      </c>
      <c r="I36" s="14">
        <v>0.33267228054319431</v>
      </c>
      <c r="J36" s="22">
        <f t="shared" ref="J36:J43" si="3">AVERAGE(E36:I36)</f>
        <v>0.240546373959031</v>
      </c>
      <c r="K36" s="22"/>
      <c r="L36" s="3"/>
      <c r="M36" s="3"/>
      <c r="N36" s="3"/>
      <c r="O36" s="3"/>
      <c r="Q36" s="3"/>
    </row>
    <row r="37" spans="2:17" x14ac:dyDescent="0.3">
      <c r="D37" s="19" t="s">
        <v>58</v>
      </c>
      <c r="E37" s="14">
        <v>0.24097731367227643</v>
      </c>
      <c r="F37" s="14">
        <v>0.31546816457504556</v>
      </c>
      <c r="G37" s="14">
        <v>0.10798011311984201</v>
      </c>
      <c r="H37" s="14">
        <v>8.5887208523220585E-2</v>
      </c>
      <c r="I37" s="14">
        <v>0.136437992623134</v>
      </c>
      <c r="J37" s="22">
        <f t="shared" si="3"/>
        <v>0.17735015850270375</v>
      </c>
      <c r="K37" s="22"/>
      <c r="L37" s="3"/>
      <c r="M37" s="3"/>
      <c r="N37" s="3"/>
      <c r="O37" s="3"/>
      <c r="Q37" s="3"/>
    </row>
    <row r="38" spans="2:17" x14ac:dyDescent="0.3">
      <c r="D38" s="19" t="s">
        <v>59</v>
      </c>
      <c r="E38" s="14">
        <v>3.8399317194421259E-2</v>
      </c>
      <c r="F38" s="14">
        <v>6.0617609352855227E-2</v>
      </c>
      <c r="G38" s="14">
        <v>5.7231388184325015E-2</v>
      </c>
      <c r="H38" s="14">
        <v>4.3229460934121375E-2</v>
      </c>
      <c r="I38" s="14">
        <v>2.6345000598516261E-2</v>
      </c>
      <c r="J38" s="22">
        <f t="shared" si="3"/>
        <v>4.5164555252847835E-2</v>
      </c>
      <c r="K38" s="22"/>
      <c r="L38" s="3"/>
      <c r="M38" s="3"/>
      <c r="N38" s="3"/>
      <c r="O38" s="3"/>
      <c r="Q38" s="3"/>
    </row>
    <row r="39" spans="2:17" x14ac:dyDescent="0.3">
      <c r="D39" s="19" t="s">
        <v>60</v>
      </c>
      <c r="E39" s="14">
        <v>2.7953600140536477E-2</v>
      </c>
      <c r="F39" s="14">
        <v>4.1000947917222655E-2</v>
      </c>
      <c r="G39" s="14">
        <v>8.3069605392749088E-2</v>
      </c>
      <c r="H39" s="14">
        <v>4.8858018064121198E-2</v>
      </c>
      <c r="I39" s="14">
        <v>4.8562300269476957E-2</v>
      </c>
      <c r="J39" s="22">
        <f t="shared" si="3"/>
        <v>4.9888894356821277E-2</v>
      </c>
      <c r="K39" s="22"/>
      <c r="L39" s="3"/>
      <c r="M39" s="3"/>
      <c r="N39" s="3"/>
      <c r="O39" s="3"/>
      <c r="P39" s="3"/>
      <c r="Q39" s="3"/>
    </row>
    <row r="40" spans="2:17" x14ac:dyDescent="0.3">
      <c r="D40" s="19" t="s">
        <v>61</v>
      </c>
      <c r="E40" s="14">
        <v>8.5075522341597515E-2</v>
      </c>
      <c r="F40" s="14">
        <v>0.17305077194836221</v>
      </c>
      <c r="G40" s="14">
        <v>2.9976412698414012E-2</v>
      </c>
      <c r="H40" s="14">
        <v>1.3183733623050082E-2</v>
      </c>
      <c r="I40" s="14">
        <v>3.1680061686640969E-2</v>
      </c>
      <c r="J40" s="29">
        <f t="shared" si="3"/>
        <v>6.6593300459612953E-2</v>
      </c>
      <c r="K40" s="22"/>
    </row>
    <row r="41" spans="2:17" x14ac:dyDescent="0.3">
      <c r="D41" s="19" t="s">
        <v>62</v>
      </c>
      <c r="E41" s="14">
        <v>3.5614769099654699E-2</v>
      </c>
      <c r="F41" s="14">
        <v>0.14803044944798005</v>
      </c>
      <c r="G41" s="14">
        <v>4.4703417479258992E-3</v>
      </c>
      <c r="H41" s="14">
        <v>1.6450334455919969E-2</v>
      </c>
      <c r="I41" s="14">
        <v>1.1528273956385591E-2</v>
      </c>
      <c r="J41" s="24">
        <f t="shared" si="3"/>
        <v>4.3218833741573245E-2</v>
      </c>
      <c r="K41" s="22"/>
    </row>
    <row r="42" spans="2:17" x14ac:dyDescent="0.3">
      <c r="D42" s="19" t="s">
        <v>63</v>
      </c>
      <c r="E42" s="14">
        <v>0.15452999467203174</v>
      </c>
      <c r="F42" s="14">
        <v>0.23204165120485207</v>
      </c>
      <c r="G42" s="14">
        <v>3.1201913738837229E-2</v>
      </c>
      <c r="H42" s="14">
        <v>5.0820660998993059E-2</v>
      </c>
      <c r="I42" s="14">
        <v>2.7016059827642609E-2</v>
      </c>
      <c r="J42" s="22">
        <f t="shared" si="3"/>
        <v>9.9122056088471341E-2</v>
      </c>
      <c r="K42" s="22"/>
    </row>
    <row r="43" spans="2:17" x14ac:dyDescent="0.3">
      <c r="D43" s="19" t="s">
        <v>64</v>
      </c>
      <c r="E43" s="14">
        <v>3.6123163909170912E-2</v>
      </c>
      <c r="F43" s="14">
        <v>0.14873614249563971</v>
      </c>
      <c r="G43" s="14">
        <v>3.3610247273713027E-3</v>
      </c>
      <c r="H43" s="14">
        <v>1.7593370651608074E-2</v>
      </c>
      <c r="I43" s="14">
        <v>1.299469476746685E-2</v>
      </c>
      <c r="J43" s="24">
        <f t="shared" si="3"/>
        <v>4.3761679310251364E-2</v>
      </c>
      <c r="K43" s="22"/>
    </row>
  </sheetData>
  <mergeCells count="4">
    <mergeCell ref="E1:I1"/>
    <mergeCell ref="E12:I12"/>
    <mergeCell ref="E23:I23"/>
    <mergeCell ref="E34:I3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DDC1-DBB9-4CB8-9890-B0DFB3B9A0D8}">
  <dimension ref="B1:BJ43"/>
  <sheetViews>
    <sheetView tabSelected="1" topLeftCell="AK9" workbookViewId="0">
      <selection activeCell="AX13" sqref="AX13"/>
    </sheetView>
  </sheetViews>
  <sheetFormatPr defaultRowHeight="14.4" x14ac:dyDescent="0.3"/>
  <cols>
    <col min="5" max="9" width="9.5546875" bestFit="1" customWidth="1"/>
    <col min="10" max="10" width="15.5546875" customWidth="1"/>
    <col min="33" max="33" width="16.88671875" bestFit="1" customWidth="1"/>
  </cols>
  <sheetData>
    <row r="1" spans="2:62" ht="28.8" x14ac:dyDescent="0.3">
      <c r="E1" s="45" t="s">
        <v>54</v>
      </c>
      <c r="F1" s="45"/>
      <c r="G1" s="45"/>
      <c r="H1" s="45"/>
      <c r="I1" s="46"/>
      <c r="W1" s="6"/>
      <c r="X1" s="30" t="s">
        <v>82</v>
      </c>
      <c r="Y1" s="49" t="s">
        <v>83</v>
      </c>
      <c r="Z1" s="49"/>
      <c r="AA1" s="49"/>
      <c r="AB1" s="49" t="s">
        <v>84</v>
      </c>
      <c r="AC1" s="49"/>
      <c r="AD1" s="49"/>
    </row>
    <row r="2" spans="2:62" x14ac:dyDescent="0.3">
      <c r="E2" s="18">
        <v>5.3979999999999997</v>
      </c>
      <c r="F2" s="19">
        <v>6.431</v>
      </c>
      <c r="G2" s="19">
        <v>10.458</v>
      </c>
      <c r="H2" s="19">
        <v>11.045999999999999</v>
      </c>
      <c r="I2" s="20">
        <v>23.667999999999999</v>
      </c>
      <c r="J2" s="21" t="s">
        <v>55</v>
      </c>
      <c r="N2" t="s">
        <v>81</v>
      </c>
      <c r="O2" s="18">
        <v>5.3979999999999997</v>
      </c>
      <c r="P2" s="19">
        <v>6.431</v>
      </c>
      <c r="Q2" s="19">
        <v>10.458</v>
      </c>
      <c r="R2" s="19">
        <v>11.045999999999999</v>
      </c>
      <c r="S2" s="20">
        <v>23.667999999999999</v>
      </c>
      <c r="T2" s="21" t="s">
        <v>47</v>
      </c>
      <c r="W2" s="33" t="s">
        <v>85</v>
      </c>
      <c r="X2" s="32">
        <v>1</v>
      </c>
      <c r="Y2" s="33">
        <v>1.1000000000000001</v>
      </c>
      <c r="Z2" s="33">
        <v>1.2</v>
      </c>
      <c r="AA2" s="33">
        <v>1.3</v>
      </c>
      <c r="AB2" s="33">
        <v>2.1</v>
      </c>
      <c r="AC2" s="33">
        <v>2.2000000000000002</v>
      </c>
      <c r="AD2" s="33">
        <v>2.2999999999999998</v>
      </c>
    </row>
    <row r="3" spans="2:62" x14ac:dyDescent="0.3">
      <c r="B3" t="s">
        <v>56</v>
      </c>
      <c r="D3" s="19" t="s">
        <v>57</v>
      </c>
      <c r="E3" s="22">
        <v>0.5108450553020909</v>
      </c>
      <c r="F3" s="22">
        <v>0.38409444238798807</v>
      </c>
      <c r="G3" s="22">
        <v>0.14720669946754233</v>
      </c>
      <c r="H3" s="22">
        <v>0.16678532482423986</v>
      </c>
      <c r="I3" s="23">
        <v>0.44561358820349406</v>
      </c>
      <c r="J3" s="22">
        <f t="shared" ref="J3:J10" si="0">AVERAGE(E3:I3)</f>
        <v>0.33090902203707107</v>
      </c>
      <c r="M3" s="3"/>
      <c r="N3">
        <v>1</v>
      </c>
      <c r="O3" s="22">
        <v>0.5108450553020909</v>
      </c>
      <c r="P3" s="22">
        <v>0.38409444238798807</v>
      </c>
      <c r="Q3" s="22">
        <v>0.14720669946754233</v>
      </c>
      <c r="R3" s="22">
        <v>0.16678532482423986</v>
      </c>
      <c r="S3" s="23">
        <v>0.44561358820349406</v>
      </c>
      <c r="T3" s="22">
        <f t="shared" ref="T3:T9" si="1">AVERAGE(O3:S3)</f>
        <v>0.33090902203707107</v>
      </c>
      <c r="W3" s="34">
        <v>5.3979999999999997</v>
      </c>
      <c r="X3" s="14">
        <v>0.5108450553020909</v>
      </c>
      <c r="Y3" s="14">
        <v>0.49514130245437615</v>
      </c>
      <c r="Z3" s="14">
        <v>0.14221650061532259</v>
      </c>
      <c r="AA3" s="14">
        <v>0.12499828481727022</v>
      </c>
      <c r="AB3" s="14">
        <v>6.9015477671901554E-2</v>
      </c>
      <c r="AC3" s="14">
        <v>4.3561298075777168E-2</v>
      </c>
      <c r="AD3" s="14">
        <v>5.9835191569692636E-2</v>
      </c>
    </row>
    <row r="4" spans="2:62" x14ac:dyDescent="0.3">
      <c r="D4" s="19" t="s">
        <v>58</v>
      </c>
      <c r="E4" s="22">
        <v>0.49514130245437615</v>
      </c>
      <c r="F4" s="22">
        <v>0.38409444238798807</v>
      </c>
      <c r="G4" s="22">
        <v>0.14720669946754233</v>
      </c>
      <c r="H4" s="22">
        <v>0.13013253558641089</v>
      </c>
      <c r="I4" s="23">
        <v>0.14786921538039915</v>
      </c>
      <c r="J4" s="22">
        <f t="shared" si="0"/>
        <v>0.26088883905534332</v>
      </c>
      <c r="N4">
        <v>1.1000000000000001</v>
      </c>
      <c r="O4" s="22">
        <v>0.49514130245437615</v>
      </c>
      <c r="P4" s="22">
        <v>0.38409444238798807</v>
      </c>
      <c r="Q4" s="22">
        <v>0.14720669946754233</v>
      </c>
      <c r="R4" s="22">
        <v>0.13013253558641089</v>
      </c>
      <c r="S4" s="23">
        <v>0.14786921538039915</v>
      </c>
      <c r="T4" s="22">
        <f t="shared" si="1"/>
        <v>0.26088883905534332</v>
      </c>
      <c r="W4" s="35">
        <v>6.431</v>
      </c>
      <c r="X4" s="14">
        <v>0.38409444238798807</v>
      </c>
      <c r="Y4" s="14">
        <v>0.38409444238798807</v>
      </c>
      <c r="Z4" s="14">
        <v>5.9677603587229421E-2</v>
      </c>
      <c r="AA4" s="14">
        <v>9.6483776143183805E-2</v>
      </c>
      <c r="AB4" s="14">
        <v>0.13214252983804015</v>
      </c>
      <c r="AC4" s="14">
        <v>0.11243257331862558</v>
      </c>
      <c r="AD4" s="14">
        <v>0.10933859579278513</v>
      </c>
    </row>
    <row r="5" spans="2:62" x14ac:dyDescent="0.3">
      <c r="D5" s="19" t="s">
        <v>59</v>
      </c>
      <c r="E5" s="22">
        <v>0.14221650061532259</v>
      </c>
      <c r="F5" s="22">
        <v>5.9677603587229421E-2</v>
      </c>
      <c r="G5" s="22">
        <v>7.027532771372616E-2</v>
      </c>
      <c r="H5" s="22">
        <v>6.5643257466321533E-2</v>
      </c>
      <c r="I5" s="23">
        <v>3.4502236874366009E-2</v>
      </c>
      <c r="J5" s="22">
        <f t="shared" si="0"/>
        <v>7.4462985251393138E-2</v>
      </c>
      <c r="N5">
        <v>1.2</v>
      </c>
      <c r="O5" s="22">
        <v>0.14221650061532259</v>
      </c>
      <c r="P5" s="22">
        <v>5.9677603587229421E-2</v>
      </c>
      <c r="Q5" s="22">
        <v>7.027532771372616E-2</v>
      </c>
      <c r="R5" s="22">
        <v>6.5643257466321533E-2</v>
      </c>
      <c r="S5" s="23">
        <v>3.4502236874366009E-2</v>
      </c>
      <c r="T5" s="22">
        <f t="shared" si="1"/>
        <v>7.4462985251393138E-2</v>
      </c>
      <c r="W5" s="35">
        <v>10.458</v>
      </c>
      <c r="X5" s="14">
        <v>0.14720669946754233</v>
      </c>
      <c r="Y5" s="14">
        <v>0.14720669946754233</v>
      </c>
      <c r="Z5" s="14">
        <v>7.027532771372616E-2</v>
      </c>
      <c r="AA5" s="14">
        <v>0.12431072530937329</v>
      </c>
      <c r="AB5" s="14">
        <v>3.276409375980955E-2</v>
      </c>
      <c r="AC5" s="14">
        <v>2.3175523896092631E-2</v>
      </c>
      <c r="AD5" s="14">
        <v>5.3192648463970135E-2</v>
      </c>
    </row>
    <row r="6" spans="2:62" x14ac:dyDescent="0.3">
      <c r="D6" s="19" t="s">
        <v>60</v>
      </c>
      <c r="E6" s="22">
        <v>0.12499828481727022</v>
      </c>
      <c r="F6" s="22">
        <v>9.6483776143183805E-2</v>
      </c>
      <c r="G6" s="22">
        <v>0.12431072530937329</v>
      </c>
      <c r="H6" s="22">
        <v>8.4930626362716158E-2</v>
      </c>
      <c r="I6" s="23">
        <v>8.9868760116952016E-3</v>
      </c>
      <c r="J6" s="22">
        <f t="shared" si="0"/>
        <v>8.7942057728847736E-2</v>
      </c>
      <c r="N6">
        <v>1.3</v>
      </c>
      <c r="O6" s="22">
        <v>0.12499828481727022</v>
      </c>
      <c r="P6" s="22">
        <v>9.6483776143183805E-2</v>
      </c>
      <c r="Q6" s="22">
        <v>0.12431072530937329</v>
      </c>
      <c r="R6" s="22">
        <v>8.4930626362716158E-2</v>
      </c>
      <c r="S6" s="23">
        <v>8.9868760116952016E-3</v>
      </c>
      <c r="T6" s="22">
        <f t="shared" si="1"/>
        <v>8.7942057728847736E-2</v>
      </c>
      <c r="W6" s="35">
        <v>11.045999999999999</v>
      </c>
      <c r="X6" s="14">
        <v>0.16678532482423986</v>
      </c>
      <c r="Y6" s="14">
        <v>0.13013253558641089</v>
      </c>
      <c r="Z6" s="14">
        <v>6.5643257466321533E-2</v>
      </c>
      <c r="AA6" s="14">
        <v>8.4930626362716158E-2</v>
      </c>
      <c r="AB6" s="14">
        <v>2.3885484880356127E-2</v>
      </c>
      <c r="AC6" s="14">
        <v>9.3078665689451077E-3</v>
      </c>
      <c r="AD6" s="14">
        <v>4.0045980981128972E-2</v>
      </c>
    </row>
    <row r="7" spans="2:62" x14ac:dyDescent="0.3">
      <c r="D7" s="19" t="s">
        <v>61</v>
      </c>
      <c r="E7" s="22">
        <v>6.9015477671901554E-2</v>
      </c>
      <c r="F7" s="22">
        <v>0.13214252983804015</v>
      </c>
      <c r="G7" s="22">
        <v>3.276409375980955E-2</v>
      </c>
      <c r="H7" s="22">
        <v>2.3885484880356127E-2</v>
      </c>
      <c r="I7" s="23">
        <v>3.9714003200645734E-2</v>
      </c>
      <c r="J7" s="29">
        <f t="shared" si="0"/>
        <v>5.9504317870150612E-2</v>
      </c>
      <c r="N7">
        <v>2.1</v>
      </c>
      <c r="O7" s="22">
        <v>6.9015477671901554E-2</v>
      </c>
      <c r="P7" s="22">
        <v>0.13214252983804015</v>
      </c>
      <c r="Q7" s="22">
        <v>3.276409375980955E-2</v>
      </c>
      <c r="R7" s="22">
        <v>2.3885484880356127E-2</v>
      </c>
      <c r="S7" s="23">
        <v>3.9714003200645734E-2</v>
      </c>
      <c r="T7" s="29">
        <f t="shared" si="1"/>
        <v>5.9504317870150612E-2</v>
      </c>
      <c r="W7" s="38">
        <v>23.667999999999999</v>
      </c>
      <c r="X7" s="39">
        <v>0.44561358820349406</v>
      </c>
      <c r="Y7" s="39">
        <v>0.14786921538039915</v>
      </c>
      <c r="Z7" s="39">
        <v>3.4502236874366009E-2</v>
      </c>
      <c r="AA7" s="39">
        <v>8.9868760116952016E-3</v>
      </c>
      <c r="AB7" s="39">
        <v>3.9714003200645734E-2</v>
      </c>
      <c r="AC7" s="39">
        <v>2.9799321577443982E-2</v>
      </c>
      <c r="AD7" s="39">
        <v>3.6574907675149586E-2</v>
      </c>
    </row>
    <row r="8" spans="2:62" x14ac:dyDescent="0.3">
      <c r="D8" s="19" t="s">
        <v>62</v>
      </c>
      <c r="E8" s="22">
        <v>4.3561298075777168E-2</v>
      </c>
      <c r="F8" s="22">
        <v>0.11243257331862558</v>
      </c>
      <c r="G8" s="22">
        <v>2.3175523896092631E-2</v>
      </c>
      <c r="H8" s="22">
        <v>9.3078665689451077E-3</v>
      </c>
      <c r="I8" s="23">
        <v>2.9799321577443982E-2</v>
      </c>
      <c r="J8" s="24">
        <f t="shared" si="0"/>
        <v>4.3655316687376891E-2</v>
      </c>
      <c r="N8">
        <v>2.2000000000000002</v>
      </c>
      <c r="O8" s="22">
        <v>4.3561298075777168E-2</v>
      </c>
      <c r="P8" s="22">
        <v>0.11243257331862558</v>
      </c>
      <c r="Q8" s="22">
        <v>2.3175523896092631E-2</v>
      </c>
      <c r="R8" s="22">
        <v>9.3078665689451077E-3</v>
      </c>
      <c r="S8" s="23">
        <v>2.9799321577443982E-2</v>
      </c>
      <c r="T8" s="24">
        <f t="shared" si="1"/>
        <v>4.3655316687376891E-2</v>
      </c>
      <c r="W8" s="35" t="s">
        <v>47</v>
      </c>
      <c r="X8" s="14">
        <f t="shared" ref="X8:AD8" si="2">AVERAGE(X3:X7)</f>
        <v>0.33090902203707107</v>
      </c>
      <c r="Y8" s="14">
        <f t="shared" si="2"/>
        <v>0.26088883905534332</v>
      </c>
      <c r="Z8" s="14">
        <f t="shared" si="2"/>
        <v>7.4462985251393138E-2</v>
      </c>
      <c r="AA8" s="14">
        <f t="shared" si="2"/>
        <v>8.7942057728847736E-2</v>
      </c>
      <c r="AB8" s="36">
        <f t="shared" si="2"/>
        <v>5.9504317870150612E-2</v>
      </c>
      <c r="AC8" s="37">
        <f t="shared" si="2"/>
        <v>4.3655316687376891E-2</v>
      </c>
      <c r="AD8" s="14">
        <f t="shared" si="2"/>
        <v>5.9797464896545291E-2</v>
      </c>
    </row>
    <row r="9" spans="2:62" x14ac:dyDescent="0.3">
      <c r="D9" s="19" t="s">
        <v>63</v>
      </c>
      <c r="E9" s="22">
        <v>5.9835191569692636E-2</v>
      </c>
      <c r="F9" s="22">
        <v>0.10933859579278513</v>
      </c>
      <c r="G9" s="22">
        <v>5.3192648463970135E-2</v>
      </c>
      <c r="H9" s="22">
        <v>4.0045980981128972E-2</v>
      </c>
      <c r="I9" s="23">
        <v>3.6574907675149586E-2</v>
      </c>
      <c r="J9" s="22">
        <f t="shared" si="0"/>
        <v>5.9797464896545291E-2</v>
      </c>
      <c r="N9">
        <v>2.2999999999999998</v>
      </c>
      <c r="O9" s="22">
        <v>5.9835191569692636E-2</v>
      </c>
      <c r="P9" s="22">
        <v>0.10933859579278513</v>
      </c>
      <c r="Q9" s="22">
        <v>5.3192648463970135E-2</v>
      </c>
      <c r="R9" s="22">
        <v>4.0045980981128972E-2</v>
      </c>
      <c r="S9" s="23">
        <v>3.6574907675149586E-2</v>
      </c>
      <c r="T9" s="22">
        <f t="shared" si="1"/>
        <v>5.9797464896545291E-2</v>
      </c>
      <c r="W9" s="3"/>
      <c r="X9" s="3"/>
      <c r="Y9" s="3"/>
      <c r="Z9" s="3"/>
      <c r="AA9" s="3"/>
      <c r="AB9" s="3"/>
      <c r="AC9" s="3"/>
      <c r="AD9" s="3"/>
    </row>
    <row r="10" spans="2:62" x14ac:dyDescent="0.3">
      <c r="D10" s="19" t="s">
        <v>64</v>
      </c>
      <c r="E10" s="22">
        <v>4.0201497561271948E-2</v>
      </c>
      <c r="F10" s="22">
        <v>0.10956182325540247</v>
      </c>
      <c r="G10" s="22">
        <v>2.5063087631988158E-2</v>
      </c>
      <c r="H10" s="22">
        <v>1.1111769374239893E-2</v>
      </c>
      <c r="I10" s="23">
        <v>2.878865107479945E-2</v>
      </c>
      <c r="J10" s="24">
        <f t="shared" si="0"/>
        <v>4.2945365779540383E-2</v>
      </c>
      <c r="W10" s="3"/>
      <c r="X10" s="3"/>
      <c r="Y10" s="3"/>
      <c r="Z10" s="3"/>
      <c r="AA10" s="3"/>
      <c r="AB10" s="3"/>
      <c r="AC10" s="3"/>
      <c r="AD10" s="3"/>
    </row>
    <row r="11" spans="2:62" x14ac:dyDescent="0.3">
      <c r="D11" s="19"/>
      <c r="E11" s="22"/>
      <c r="F11" s="22"/>
      <c r="G11" s="22"/>
      <c r="H11" s="22"/>
      <c r="I11" s="23"/>
      <c r="J11" s="22"/>
      <c r="W11" s="3"/>
      <c r="X11" s="3"/>
      <c r="Y11" s="3"/>
      <c r="Z11" s="3"/>
      <c r="AA11" s="3"/>
      <c r="AB11" s="3"/>
      <c r="AC11" s="3"/>
      <c r="AD11" s="3"/>
    </row>
    <row r="12" spans="2:62" ht="28.8" x14ac:dyDescent="0.3">
      <c r="D12" s="19"/>
      <c r="E12" s="47" t="s">
        <v>54</v>
      </c>
      <c r="F12" s="47"/>
      <c r="G12" s="47"/>
      <c r="H12" s="47"/>
      <c r="I12" s="48"/>
      <c r="J12" s="22"/>
      <c r="W12" s="6"/>
      <c r="X12" s="30" t="s">
        <v>82</v>
      </c>
      <c r="Y12" s="49" t="s">
        <v>83</v>
      </c>
      <c r="Z12" s="49"/>
      <c r="AA12" s="49"/>
      <c r="AB12" s="49" t="s">
        <v>84</v>
      </c>
      <c r="AC12" s="49"/>
      <c r="AD12" s="49"/>
      <c r="AQ12" s="6"/>
      <c r="AR12" s="49" t="s">
        <v>85</v>
      </c>
      <c r="AS12" s="49"/>
      <c r="AT12" s="49"/>
      <c r="AU12" s="49"/>
      <c r="AV12" s="49"/>
      <c r="AZ12" s="57"/>
      <c r="BA12" s="49" t="s">
        <v>95</v>
      </c>
      <c r="BB12" s="49"/>
      <c r="BC12" s="49"/>
      <c r="BD12" s="49"/>
      <c r="BE12" s="49"/>
      <c r="BF12" s="49" t="s">
        <v>94</v>
      </c>
      <c r="BG12" s="49"/>
      <c r="BH12" s="49"/>
      <c r="BI12" s="49"/>
      <c r="BJ12" s="49"/>
    </row>
    <row r="13" spans="2:62" x14ac:dyDescent="0.3">
      <c r="D13" s="19"/>
      <c r="E13" s="18">
        <v>5.3979999999999997</v>
      </c>
      <c r="F13" s="19">
        <v>6.431</v>
      </c>
      <c r="G13" s="19">
        <v>10.458</v>
      </c>
      <c r="H13" s="19">
        <v>11.045999999999999</v>
      </c>
      <c r="I13" s="20">
        <v>23.667999999999999</v>
      </c>
      <c r="J13" s="21" t="s">
        <v>55</v>
      </c>
      <c r="N13" t="s">
        <v>81</v>
      </c>
      <c r="O13" s="18">
        <v>5.3979999999999997</v>
      </c>
      <c r="P13" s="19">
        <v>6.431</v>
      </c>
      <c r="Q13" s="19">
        <v>10.458</v>
      </c>
      <c r="R13" s="19">
        <v>11.045999999999999</v>
      </c>
      <c r="S13" s="20">
        <v>23.667999999999999</v>
      </c>
      <c r="T13" s="21" t="s">
        <v>47</v>
      </c>
      <c r="W13" s="33" t="s">
        <v>85</v>
      </c>
      <c r="X13" s="32">
        <v>1</v>
      </c>
      <c r="Y13" s="33">
        <v>1.1000000000000001</v>
      </c>
      <c r="Z13" s="33">
        <v>1.2</v>
      </c>
      <c r="AA13" s="33">
        <v>1.3</v>
      </c>
      <c r="AB13" s="33">
        <v>2.1</v>
      </c>
      <c r="AC13" s="33">
        <v>2.2000000000000002</v>
      </c>
      <c r="AD13" s="33">
        <v>2.2999999999999998</v>
      </c>
      <c r="AH13" s="32">
        <v>1</v>
      </c>
      <c r="AI13" s="31">
        <v>1.1000000000000001</v>
      </c>
      <c r="AJ13" s="31">
        <v>1.2</v>
      </c>
      <c r="AK13" s="31">
        <v>1.3</v>
      </c>
      <c r="AL13" s="31">
        <v>2.1</v>
      </c>
      <c r="AM13" s="31">
        <v>2.2000000000000002</v>
      </c>
      <c r="AN13" s="31">
        <v>2.2999999999999998</v>
      </c>
      <c r="AP13" t="s">
        <v>66</v>
      </c>
      <c r="AQ13" s="6" t="s">
        <v>81</v>
      </c>
      <c r="AR13" s="33">
        <v>5.3979999999999997</v>
      </c>
      <c r="AS13" s="33">
        <v>6.431</v>
      </c>
      <c r="AT13" s="33">
        <v>10.458</v>
      </c>
      <c r="AU13" s="33">
        <v>11.045999999999999</v>
      </c>
      <c r="AV13" s="33">
        <v>23.667999999999999</v>
      </c>
      <c r="AZ13" s="6" t="s">
        <v>81</v>
      </c>
      <c r="BA13" s="58">
        <v>5.3979999999999997</v>
      </c>
      <c r="BB13" s="58">
        <v>6.431</v>
      </c>
      <c r="BC13" s="58">
        <v>10.458</v>
      </c>
      <c r="BD13" s="58">
        <v>11.045999999999999</v>
      </c>
      <c r="BE13" s="58">
        <v>23.667999999999999</v>
      </c>
      <c r="BF13" s="58">
        <v>1.5</v>
      </c>
      <c r="BG13" s="58">
        <v>2</v>
      </c>
      <c r="BH13" s="58">
        <v>4</v>
      </c>
      <c r="BI13" s="58">
        <v>6</v>
      </c>
      <c r="BJ13" s="58">
        <v>8</v>
      </c>
    </row>
    <row r="14" spans="2:62" x14ac:dyDescent="0.3">
      <c r="B14" t="s">
        <v>66</v>
      </c>
      <c r="D14" s="19" t="s">
        <v>57</v>
      </c>
      <c r="E14" s="22">
        <v>0.43905993464812731</v>
      </c>
      <c r="F14" s="22">
        <v>0.35291879238525437</v>
      </c>
      <c r="G14" s="22">
        <v>0.13159456022124041</v>
      </c>
      <c r="H14" s="22">
        <v>0.14721819869148939</v>
      </c>
      <c r="I14" s="23">
        <v>0.41473369646578878</v>
      </c>
      <c r="J14" s="22">
        <f t="shared" ref="J14:J21" si="3">AVERAGE(E14:I14)</f>
        <v>0.29710503648238007</v>
      </c>
      <c r="N14">
        <v>1</v>
      </c>
      <c r="O14" s="22">
        <v>0.43905993464812731</v>
      </c>
      <c r="P14" s="22">
        <v>0.35291879238525437</v>
      </c>
      <c r="Q14" s="22">
        <v>0.13159456022124041</v>
      </c>
      <c r="R14" s="22">
        <v>0.14721819869148939</v>
      </c>
      <c r="S14" s="23">
        <v>0.41473369646578878</v>
      </c>
      <c r="T14" s="22">
        <f t="shared" ref="T14:T20" si="4">AVERAGE(O14:S14)</f>
        <v>0.29710503648238007</v>
      </c>
      <c r="W14" s="34">
        <v>5.3979999999999997</v>
      </c>
      <c r="X14" s="14">
        <v>0.43905993464812731</v>
      </c>
      <c r="Y14" s="14">
        <v>0.39947821394890498</v>
      </c>
      <c r="Z14" s="14">
        <v>0.10530858428102438</v>
      </c>
      <c r="AA14" s="14">
        <v>9.0747362606911353E-2</v>
      </c>
      <c r="AB14" s="14">
        <v>7.1757187497323641E-2</v>
      </c>
      <c r="AC14" s="14">
        <v>2.9577662443628288E-2</v>
      </c>
      <c r="AD14" s="14">
        <v>5.7089227994688754E-2</v>
      </c>
      <c r="AG14" t="s">
        <v>66</v>
      </c>
      <c r="AH14" s="22">
        <v>0.89319030824273826</v>
      </c>
      <c r="AI14" s="22">
        <v>0.62139861248974815</v>
      </c>
      <c r="AJ14" s="22">
        <v>0.40423977344942613</v>
      </c>
      <c r="AK14" s="22">
        <v>0.60542340169693487</v>
      </c>
      <c r="AL14" s="22">
        <v>2.2326840258076221E-2</v>
      </c>
      <c r="AM14" s="24">
        <v>2.0760461023905531E-2</v>
      </c>
      <c r="AN14" s="22">
        <v>2.4010857826324429E-2</v>
      </c>
      <c r="AP14" s="44" t="s">
        <v>86</v>
      </c>
      <c r="AQ14" s="50" t="s">
        <v>87</v>
      </c>
      <c r="AR14" s="40">
        <v>0.43905993464812731</v>
      </c>
      <c r="AS14" s="40">
        <v>0.35291879238525437</v>
      </c>
      <c r="AT14" s="40">
        <v>0.13159456022124041</v>
      </c>
      <c r="AU14" s="40">
        <v>0.14721819869148939</v>
      </c>
      <c r="AV14" s="51">
        <v>0.41473369646578878</v>
      </c>
      <c r="AY14" s="44" t="s">
        <v>86</v>
      </c>
      <c r="AZ14" s="54" t="s">
        <v>87</v>
      </c>
      <c r="BA14" s="59">
        <v>0.43905993464812731</v>
      </c>
      <c r="BB14" s="59">
        <v>0.35291879238525437</v>
      </c>
      <c r="BC14" s="59">
        <v>0.13159456022124041</v>
      </c>
      <c r="BD14" s="59">
        <v>0.14721819869148939</v>
      </c>
      <c r="BE14" s="59">
        <v>0.41473369646578878</v>
      </c>
      <c r="BF14" s="59">
        <v>1.1687175756673294</v>
      </c>
      <c r="BG14" s="59">
        <v>0.3724814004332444</v>
      </c>
      <c r="BH14" s="59">
        <v>0.71719909093386214</v>
      </c>
      <c r="BI14" s="59">
        <v>0.93096269489111094</v>
      </c>
      <c r="BJ14" s="59">
        <v>1.2765907792881448</v>
      </c>
    </row>
    <row r="15" spans="2:62" x14ac:dyDescent="0.3">
      <c r="D15" s="19" t="s">
        <v>58</v>
      </c>
      <c r="E15" s="22">
        <v>0.39947821394890498</v>
      </c>
      <c r="F15" s="22">
        <v>0.35291879238525437</v>
      </c>
      <c r="G15" s="22">
        <v>0.13159456022124041</v>
      </c>
      <c r="H15" s="22">
        <v>0.11589859410664087</v>
      </c>
      <c r="I15" s="23">
        <v>0.15091406018316741</v>
      </c>
      <c r="J15" s="22">
        <f t="shared" si="3"/>
        <v>0.23016084416904162</v>
      </c>
      <c r="N15">
        <v>1.1000000000000001</v>
      </c>
      <c r="O15" s="22">
        <v>0.39947821394890498</v>
      </c>
      <c r="P15" s="22">
        <v>0.35291879238525437</v>
      </c>
      <c r="Q15" s="22">
        <v>0.13159456022124041</v>
      </c>
      <c r="R15" s="22">
        <v>0.11589859410664087</v>
      </c>
      <c r="S15" s="23">
        <v>0.15091406018316741</v>
      </c>
      <c r="T15" s="22">
        <f t="shared" si="4"/>
        <v>0.23016084416904162</v>
      </c>
      <c r="W15" s="35">
        <v>6.431</v>
      </c>
      <c r="X15" s="14">
        <v>0.35291879238525437</v>
      </c>
      <c r="Y15" s="14">
        <v>0.35291879238525437</v>
      </c>
      <c r="Z15" s="14">
        <v>1.6947391406372324E-2</v>
      </c>
      <c r="AA15" s="14">
        <v>4.6940122778343515E-2</v>
      </c>
      <c r="AB15" s="14">
        <v>0.14398243693527982</v>
      </c>
      <c r="AC15" s="14">
        <v>0.12014758771662044</v>
      </c>
      <c r="AD15" s="14">
        <v>0.11611242255100451</v>
      </c>
      <c r="AG15" t="s">
        <v>77</v>
      </c>
      <c r="AH15" s="22">
        <v>0.9940490792127733</v>
      </c>
      <c r="AI15" s="22">
        <v>0.68527641034455067</v>
      </c>
      <c r="AJ15" s="22">
        <v>0.23761465742353879</v>
      </c>
      <c r="AK15" s="22">
        <v>0.65522710515915417</v>
      </c>
      <c r="AL15" s="22">
        <v>1.8997254938238818E-2</v>
      </c>
      <c r="AM15" s="22">
        <v>1.9381859894897158E-2</v>
      </c>
      <c r="AN15" s="24">
        <v>1.8256429339788958E-2</v>
      </c>
      <c r="AP15" s="44"/>
      <c r="AQ15" s="3" t="s">
        <v>88</v>
      </c>
      <c r="AR15" s="40">
        <v>2.9577662443628288E-2</v>
      </c>
      <c r="AS15" s="40">
        <v>0.12014758771662044</v>
      </c>
      <c r="AT15" s="40">
        <v>6.6452643138315446E-3</v>
      </c>
      <c r="AU15" s="40">
        <v>7.9644678992813068E-3</v>
      </c>
      <c r="AV15" s="51">
        <v>2.8036190915142416E-2</v>
      </c>
      <c r="AY15" s="44"/>
      <c r="AZ15" s="6" t="s">
        <v>88</v>
      </c>
      <c r="BA15" s="60">
        <v>2.9577662443628288E-2</v>
      </c>
      <c r="BB15" s="60">
        <v>0.12014758771662044</v>
      </c>
      <c r="BC15" s="60">
        <v>6.6452643138315446E-3</v>
      </c>
      <c r="BD15" s="60">
        <v>7.9644678992813068E-3</v>
      </c>
      <c r="BE15" s="60">
        <v>2.8036190915142416E-2</v>
      </c>
      <c r="BF15" s="60">
        <v>2.7356361449267414E-2</v>
      </c>
      <c r="BG15" s="60">
        <v>6.1897792511578231E-2</v>
      </c>
      <c r="BH15" s="60">
        <v>1.0935083919494382E-2</v>
      </c>
      <c r="BI15" s="60">
        <v>3.3542577233802717E-3</v>
      </c>
      <c r="BJ15" s="60">
        <v>2.5880951580736777E-4</v>
      </c>
    </row>
    <row r="16" spans="2:62" x14ac:dyDescent="0.3">
      <c r="D16" s="19" t="s">
        <v>59</v>
      </c>
      <c r="E16" s="22">
        <v>0.10530858428102438</v>
      </c>
      <c r="F16" s="22">
        <v>1.6947391406372324E-2</v>
      </c>
      <c r="G16" s="22">
        <v>6.3448058056665591E-2</v>
      </c>
      <c r="H16" s="22">
        <v>5.7624362994181333E-2</v>
      </c>
      <c r="I16" s="23">
        <v>3.8652035682489767E-2</v>
      </c>
      <c r="J16" s="22">
        <f t="shared" si="3"/>
        <v>5.6396086484146679E-2</v>
      </c>
      <c r="N16">
        <v>1.2</v>
      </c>
      <c r="O16" s="22">
        <v>0.10530858428102438</v>
      </c>
      <c r="P16" s="22">
        <v>1.6947391406372324E-2</v>
      </c>
      <c r="Q16" s="22">
        <v>6.3448058056665591E-2</v>
      </c>
      <c r="R16" s="22">
        <v>5.7624362994181333E-2</v>
      </c>
      <c r="S16" s="23">
        <v>3.8652035682489767E-2</v>
      </c>
      <c r="T16" s="22">
        <f t="shared" si="4"/>
        <v>5.6396086484146679E-2</v>
      </c>
      <c r="W16" s="35">
        <v>10.458</v>
      </c>
      <c r="X16" s="14">
        <v>0.13159456022124041</v>
      </c>
      <c r="Y16" s="14">
        <v>0.13159456022124041</v>
      </c>
      <c r="Z16" s="14">
        <v>6.3448058056665591E-2</v>
      </c>
      <c r="AA16" s="14">
        <v>0.10572805221723307</v>
      </c>
      <c r="AB16" s="14">
        <v>3.1000662315720635E-2</v>
      </c>
      <c r="AC16" s="14">
        <v>6.6452643138315446E-3</v>
      </c>
      <c r="AD16" s="14">
        <v>5.4590592665404038E-2</v>
      </c>
      <c r="AG16" t="s">
        <v>80</v>
      </c>
      <c r="AH16" s="22">
        <v>0.65967252647110319</v>
      </c>
      <c r="AI16" s="22">
        <v>0.45916224641485365</v>
      </c>
      <c r="AJ16" s="22">
        <v>0.33256469067740169</v>
      </c>
      <c r="AK16" s="14">
        <v>0.48341093027709975</v>
      </c>
      <c r="AL16" s="24">
        <v>3.847527221333398E-2</v>
      </c>
      <c r="AM16" s="22">
        <v>3.9700436238325601E-2</v>
      </c>
      <c r="AN16" s="22">
        <v>4.1808526653922762E-2</v>
      </c>
      <c r="AP16" s="43" t="s">
        <v>89</v>
      </c>
      <c r="AQ16" s="50" t="s">
        <v>87</v>
      </c>
      <c r="AR16" s="40">
        <v>23.700455272305909</v>
      </c>
      <c r="AS16" s="40">
        <v>22.69620753829571</v>
      </c>
      <c r="AT16" s="40">
        <v>13.762159107937322</v>
      </c>
      <c r="AU16" s="40">
        <v>16.261722227461917</v>
      </c>
      <c r="AV16" s="51">
        <v>98.159171279522894</v>
      </c>
      <c r="AY16" s="44"/>
      <c r="AZ16" s="54" t="s">
        <v>90</v>
      </c>
      <c r="BA16" s="59">
        <v>0.50077383255091867</v>
      </c>
      <c r="BB16" s="59">
        <v>0.38864012252270264</v>
      </c>
      <c r="BC16" s="59">
        <v>0.14948610749737867</v>
      </c>
      <c r="BD16" s="59">
        <v>0.17305628095505748</v>
      </c>
      <c r="BE16" s="59">
        <v>0.48271755002822514</v>
      </c>
      <c r="BF16" s="59">
        <v>1.3079061836459203</v>
      </c>
      <c r="BG16" s="59">
        <v>0.43777268359861399</v>
      </c>
      <c r="BH16" s="59">
        <v>0.78064401114843474</v>
      </c>
      <c r="BI16" s="59">
        <v>1.027002903657408</v>
      </c>
      <c r="BJ16" s="59">
        <v>1.4169196140134899</v>
      </c>
    </row>
    <row r="17" spans="2:62" x14ac:dyDescent="0.3">
      <c r="D17" s="19" t="s">
        <v>60</v>
      </c>
      <c r="E17" s="22">
        <v>9.0747362606911353E-2</v>
      </c>
      <c r="F17" s="22">
        <v>4.6940122778343515E-2</v>
      </c>
      <c r="G17" s="22">
        <v>0.10572805221723307</v>
      </c>
      <c r="H17" s="22">
        <v>7.0773426409327392E-2</v>
      </c>
      <c r="I17" s="23">
        <v>3.9047630200788185E-2</v>
      </c>
      <c r="J17" s="22">
        <f t="shared" si="3"/>
        <v>7.0647318842520707E-2</v>
      </c>
      <c r="N17">
        <v>1.3</v>
      </c>
      <c r="O17" s="22">
        <v>9.0747362606911353E-2</v>
      </c>
      <c r="P17" s="22">
        <v>4.6940122778343515E-2</v>
      </c>
      <c r="Q17" s="22">
        <v>0.10572805221723307</v>
      </c>
      <c r="R17" s="22">
        <v>7.0773426409327392E-2</v>
      </c>
      <c r="S17" s="23">
        <v>3.9047630200788185E-2</v>
      </c>
      <c r="T17" s="22">
        <f t="shared" si="4"/>
        <v>7.0647318842520707E-2</v>
      </c>
      <c r="W17" s="35">
        <v>11.045999999999999</v>
      </c>
      <c r="X17" s="14">
        <v>0.14721819869148939</v>
      </c>
      <c r="Y17" s="14">
        <v>0.11589859410664087</v>
      </c>
      <c r="Z17" s="14">
        <v>5.7624362994181333E-2</v>
      </c>
      <c r="AA17" s="14">
        <v>7.0773426409327392E-2</v>
      </c>
      <c r="AB17" s="14">
        <v>2.1413955040028607E-2</v>
      </c>
      <c r="AC17" s="14">
        <v>7.9644678992813068E-3</v>
      </c>
      <c r="AD17" s="14">
        <v>4.1159872159405878E-2</v>
      </c>
      <c r="AP17" s="43"/>
      <c r="AQ17" s="3" t="s">
        <v>88</v>
      </c>
      <c r="AR17" s="40">
        <v>1.596602218707055</v>
      </c>
      <c r="AS17" s="40">
        <v>7.72669136605586</v>
      </c>
      <c r="AT17" s="40">
        <v>0.69496174194050298</v>
      </c>
      <c r="AU17" s="40">
        <v>0.8797551241546131</v>
      </c>
      <c r="AV17" s="51">
        <v>6.6356056657959073</v>
      </c>
      <c r="AY17" s="44"/>
      <c r="AZ17" s="6" t="s">
        <v>91</v>
      </c>
      <c r="BA17" s="60">
        <v>2.6817133505275655E-2</v>
      </c>
      <c r="BB17" s="60">
        <v>0.11892032382588638</v>
      </c>
      <c r="BC17" s="60">
        <v>5.7583804944012478E-3</v>
      </c>
      <c r="BD17" s="60">
        <v>5.6420403761849348E-3</v>
      </c>
      <c r="BE17" s="60">
        <v>2.8362615755632349E-2</v>
      </c>
      <c r="BF17" s="60">
        <v>3.0765475834648726E-2</v>
      </c>
      <c r="BG17" s="60">
        <v>5.1667758981555068E-2</v>
      </c>
      <c r="BH17" s="60">
        <v>2.0141291134700978E-3</v>
      </c>
      <c r="BI17" s="60">
        <v>1.0128851822805984E-2</v>
      </c>
      <c r="BJ17" s="60">
        <v>2.3330837220059131E-3</v>
      </c>
    </row>
    <row r="18" spans="2:62" x14ac:dyDescent="0.3">
      <c r="D18" s="19" t="s">
        <v>61</v>
      </c>
      <c r="E18" s="22">
        <v>7.1757187497323641E-2</v>
      </c>
      <c r="F18" s="22">
        <v>0.14398243693527982</v>
      </c>
      <c r="G18" s="22">
        <v>3.1000662315720635E-2</v>
      </c>
      <c r="H18" s="22">
        <v>2.1413955040028607E-2</v>
      </c>
      <c r="I18" s="23">
        <v>4.3333441844953656E-2</v>
      </c>
      <c r="J18" s="22">
        <f t="shared" si="3"/>
        <v>6.2297536726661273E-2</v>
      </c>
      <c r="N18">
        <v>2.1</v>
      </c>
      <c r="O18" s="22">
        <v>7.1757187497323641E-2</v>
      </c>
      <c r="P18" s="22">
        <v>0.14398243693527982</v>
      </c>
      <c r="Q18" s="22">
        <v>3.1000662315720635E-2</v>
      </c>
      <c r="R18" s="22">
        <v>2.1413955040028607E-2</v>
      </c>
      <c r="S18" s="23">
        <v>4.3333441844953656E-2</v>
      </c>
      <c r="T18" s="22">
        <f t="shared" si="4"/>
        <v>6.2297536726661273E-2</v>
      </c>
      <c r="W18" s="38">
        <v>23.667999999999999</v>
      </c>
      <c r="X18" s="39">
        <v>0.41473369646578878</v>
      </c>
      <c r="Y18" s="39">
        <v>0.15091406018316741</v>
      </c>
      <c r="Z18" s="39">
        <v>3.8652035682489767E-2</v>
      </c>
      <c r="AA18" s="39">
        <v>3.9047630200788185E-2</v>
      </c>
      <c r="AB18" s="39">
        <v>4.3333441844953656E-2</v>
      </c>
      <c r="AC18" s="39">
        <v>2.8036190915142416E-2</v>
      </c>
      <c r="AD18" s="39">
        <v>4.0034893484138037E-2</v>
      </c>
      <c r="AR18" s="52"/>
      <c r="AS18" s="52"/>
      <c r="AT18" s="52"/>
      <c r="AU18" s="52"/>
      <c r="AV18" s="52"/>
      <c r="AY18" s="44"/>
      <c r="AZ18" s="54" t="s">
        <v>92</v>
      </c>
      <c r="BA18" s="59">
        <v>0.33669991599730031</v>
      </c>
      <c r="BB18" s="59">
        <v>0.31546816457504556</v>
      </c>
      <c r="BC18" s="59">
        <v>0.10798011311984201</v>
      </c>
      <c r="BD18" s="59">
        <v>0.10991139555977292</v>
      </c>
      <c r="BE18" s="59">
        <v>0.33267228054319431</v>
      </c>
      <c r="BF18" s="59">
        <v>0.87256505457569133</v>
      </c>
      <c r="BG18" s="59">
        <v>0.27733969445439266</v>
      </c>
      <c r="BH18" s="59">
        <v>0.52758629594231721</v>
      </c>
      <c r="BI18" s="59">
        <v>0.6799376947891389</v>
      </c>
      <c r="BJ18" s="59">
        <v>0.94093389259397586</v>
      </c>
    </row>
    <row r="19" spans="2:62" ht="15" thickBot="1" x14ac:dyDescent="0.35">
      <c r="D19" s="19" t="s">
        <v>62</v>
      </c>
      <c r="E19" s="22">
        <v>2.9577662443628288E-2</v>
      </c>
      <c r="F19" s="22">
        <v>0.12014758771662044</v>
      </c>
      <c r="G19" s="22">
        <v>6.6452643138315446E-3</v>
      </c>
      <c r="H19" s="22">
        <v>7.9644678992813068E-3</v>
      </c>
      <c r="I19" s="23">
        <v>2.8036190915142416E-2</v>
      </c>
      <c r="J19" s="24">
        <f t="shared" si="3"/>
        <v>3.8474234657700807E-2</v>
      </c>
      <c r="N19">
        <v>2.2000000000000002</v>
      </c>
      <c r="O19" s="22">
        <v>2.9577662443628288E-2</v>
      </c>
      <c r="P19" s="22">
        <v>0.12014758771662044</v>
      </c>
      <c r="Q19" s="22">
        <v>6.6452643138315446E-3</v>
      </c>
      <c r="R19" s="22">
        <v>7.9644678992813068E-3</v>
      </c>
      <c r="S19" s="23">
        <v>2.8036190915142416E-2</v>
      </c>
      <c r="T19" s="24">
        <f t="shared" si="4"/>
        <v>3.8474234657700807E-2</v>
      </c>
      <c r="W19" s="35" t="s">
        <v>47</v>
      </c>
      <c r="X19" s="14">
        <f t="shared" ref="X19:AD19" si="5">AVERAGE(X14:X18)</f>
        <v>0.29710503648238007</v>
      </c>
      <c r="Y19" s="14">
        <f t="shared" si="5"/>
        <v>0.23016084416904162</v>
      </c>
      <c r="Z19" s="14">
        <f t="shared" si="5"/>
        <v>5.6396086484146679E-2</v>
      </c>
      <c r="AA19" s="14">
        <f t="shared" si="5"/>
        <v>7.0647318842520707E-2</v>
      </c>
      <c r="AB19" s="14">
        <f t="shared" si="5"/>
        <v>6.2297536726661273E-2</v>
      </c>
      <c r="AC19" s="37">
        <f t="shared" si="5"/>
        <v>3.8474234657700807E-2</v>
      </c>
      <c r="AD19" s="14">
        <f t="shared" si="5"/>
        <v>6.179740177092824E-2</v>
      </c>
      <c r="AH19" s="32">
        <v>1</v>
      </c>
      <c r="AI19" s="31">
        <v>1.1000000000000001</v>
      </c>
      <c r="AJ19" s="31">
        <v>1.2</v>
      </c>
      <c r="AK19" s="31">
        <v>1.3</v>
      </c>
      <c r="AL19" s="31">
        <v>2.1</v>
      </c>
      <c r="AM19" s="31">
        <v>2.2000000000000002</v>
      </c>
      <c r="AN19" s="31">
        <v>2.2999999999999998</v>
      </c>
      <c r="AY19" s="44"/>
      <c r="AZ19" s="55" t="s">
        <v>93</v>
      </c>
      <c r="BA19" s="61">
        <v>3.5614769099654699E-2</v>
      </c>
      <c r="BB19" s="61">
        <v>0.14803044944798005</v>
      </c>
      <c r="BC19" s="61">
        <v>4.4703417479258992E-3</v>
      </c>
      <c r="BD19" s="61">
        <v>1.6450334455919969E-2</v>
      </c>
      <c r="BE19" s="61">
        <v>1.1528273956385591E-2</v>
      </c>
      <c r="BF19" s="61">
        <v>8.0695348266660943E-2</v>
      </c>
      <c r="BG19" s="61">
        <v>9.1434518999999881E-2</v>
      </c>
      <c r="BH19" s="61">
        <v>2.083044149998603E-2</v>
      </c>
      <c r="BI19" s="61">
        <v>1.8063987999816788E-3</v>
      </c>
      <c r="BJ19" s="61">
        <v>3.7354736249994858E-3</v>
      </c>
    </row>
    <row r="20" spans="2:62" ht="15" thickTop="1" x14ac:dyDescent="0.3">
      <c r="D20" s="19" t="s">
        <v>63</v>
      </c>
      <c r="E20" s="22">
        <v>5.7089227994688754E-2</v>
      </c>
      <c r="F20" s="22">
        <v>0.11611242255100451</v>
      </c>
      <c r="G20" s="22">
        <v>5.4590592665404038E-2</v>
      </c>
      <c r="H20" s="22">
        <v>4.1159872159405878E-2</v>
      </c>
      <c r="I20" s="23">
        <v>4.0034893484138037E-2</v>
      </c>
      <c r="J20" s="22">
        <f t="shared" si="3"/>
        <v>6.179740177092824E-2</v>
      </c>
      <c r="N20">
        <v>2.2999999999999998</v>
      </c>
      <c r="O20" s="22">
        <v>5.7089227994688754E-2</v>
      </c>
      <c r="P20" s="22">
        <v>0.11611242255100451</v>
      </c>
      <c r="Q20" s="22">
        <v>5.4590592665404038E-2</v>
      </c>
      <c r="R20" s="22">
        <v>4.1159872159405878E-2</v>
      </c>
      <c r="S20" s="23">
        <v>4.0034893484138037E-2</v>
      </c>
      <c r="T20" s="22">
        <f t="shared" si="4"/>
        <v>6.179740177092824E-2</v>
      </c>
      <c r="W20" s="3"/>
      <c r="X20" s="3"/>
      <c r="Y20" s="3"/>
      <c r="Z20" s="3"/>
      <c r="AA20" s="3"/>
      <c r="AB20" s="3"/>
      <c r="AC20" s="3"/>
      <c r="AD20" s="3"/>
      <c r="AG20" t="s">
        <v>66</v>
      </c>
      <c r="AH20" s="14">
        <v>0.29710503648238007</v>
      </c>
      <c r="AI20" s="14">
        <v>0.23016084416904162</v>
      </c>
      <c r="AJ20" s="14">
        <v>5.6396086484146679E-2</v>
      </c>
      <c r="AK20" s="14">
        <v>7.0647318842520707E-2</v>
      </c>
      <c r="AL20" s="14">
        <v>6.2297536726661273E-2</v>
      </c>
      <c r="AM20" s="37">
        <v>3.8474234657700807E-2</v>
      </c>
      <c r="AN20" s="14">
        <v>6.179740177092824E-2</v>
      </c>
      <c r="AY20" s="43" t="s">
        <v>89</v>
      </c>
      <c r="AZ20" s="56" t="s">
        <v>87</v>
      </c>
      <c r="BA20" s="62">
        <v>23.700455272305909</v>
      </c>
      <c r="BB20" s="62">
        <v>22.69620753829571</v>
      </c>
      <c r="BC20" s="62">
        <v>13.762159107937322</v>
      </c>
      <c r="BD20" s="62">
        <v>16.261722227461917</v>
      </c>
      <c r="BE20" s="62">
        <v>98.159171279522894</v>
      </c>
      <c r="BF20" s="62">
        <v>17.53076363500994</v>
      </c>
      <c r="BG20" s="62">
        <v>7.4496280086648881</v>
      </c>
      <c r="BH20" s="62">
        <v>28.687963637354486</v>
      </c>
      <c r="BI20" s="62">
        <v>46.548134744555547</v>
      </c>
      <c r="BJ20" s="62">
        <v>102.12726234305158</v>
      </c>
    </row>
    <row r="21" spans="2:62" x14ac:dyDescent="0.3">
      <c r="D21" s="19" t="s">
        <v>64</v>
      </c>
      <c r="E21" s="22">
        <v>2.7109067204194055E-2</v>
      </c>
      <c r="F21" s="22">
        <v>0.11805661147571664</v>
      </c>
      <c r="G21" s="22">
        <v>7.9767713199184933E-3</v>
      </c>
      <c r="H21" s="22">
        <v>6.6975533088721676E-3</v>
      </c>
      <c r="I21" s="23">
        <v>2.7381795904403521E-2</v>
      </c>
      <c r="J21" s="24">
        <f t="shared" si="3"/>
        <v>3.7444359842620976E-2</v>
      </c>
      <c r="O21" s="22"/>
      <c r="P21" s="22"/>
      <c r="Q21" s="22"/>
      <c r="R21" s="22"/>
      <c r="S21" s="23"/>
      <c r="W21" s="3"/>
      <c r="X21" s="3"/>
      <c r="Y21" s="3"/>
      <c r="Z21" s="3"/>
      <c r="AA21" s="3"/>
      <c r="AB21" s="3"/>
      <c r="AC21" s="3"/>
      <c r="AD21" s="3"/>
      <c r="AG21" t="s">
        <v>77</v>
      </c>
      <c r="AH21" s="14">
        <v>0.33893477871085648</v>
      </c>
      <c r="AI21" s="14">
        <v>0.26620582861313674</v>
      </c>
      <c r="AJ21" s="14">
        <v>7.1779508689838969E-2</v>
      </c>
      <c r="AK21" s="14">
        <v>8.7947558592476355E-2</v>
      </c>
      <c r="AL21" s="14">
        <v>5.9866381797069192E-2</v>
      </c>
      <c r="AM21" s="37">
        <v>3.7100098791476112E-2</v>
      </c>
      <c r="AN21" s="36">
        <v>6.1483149686689421E-2</v>
      </c>
      <c r="AY21" s="43"/>
      <c r="AZ21" s="6" t="s">
        <v>88</v>
      </c>
      <c r="BA21" s="60">
        <v>1.596602218707055</v>
      </c>
      <c r="BB21" s="60">
        <v>7.72669136605586</v>
      </c>
      <c r="BC21" s="60">
        <v>0.69496174194050298</v>
      </c>
      <c r="BD21" s="60">
        <v>0.8797551241546131</v>
      </c>
      <c r="BE21" s="60">
        <v>6.6356056657959073</v>
      </c>
      <c r="BF21" s="60">
        <v>0.41034542173901123</v>
      </c>
      <c r="BG21" s="60">
        <v>1.2379558502315646</v>
      </c>
      <c r="BH21" s="60">
        <v>0.43740335677977527</v>
      </c>
      <c r="BI21" s="60">
        <v>0.16771288616901359</v>
      </c>
      <c r="BJ21" s="60">
        <v>2.0704761264589422E-2</v>
      </c>
    </row>
    <row r="22" spans="2:62" x14ac:dyDescent="0.3">
      <c r="D22" s="19"/>
      <c r="E22" s="22"/>
      <c r="F22" s="22"/>
      <c r="G22" s="22"/>
      <c r="H22" s="22"/>
      <c r="I22" s="23"/>
      <c r="J22" s="22"/>
      <c r="W22" s="3"/>
      <c r="X22" s="3"/>
      <c r="Y22" s="3"/>
      <c r="Z22" s="3"/>
      <c r="AA22" s="3"/>
      <c r="AB22" s="3"/>
      <c r="AC22" s="3"/>
      <c r="AD22" s="3"/>
      <c r="AG22" t="s">
        <v>80</v>
      </c>
      <c r="AH22" s="14">
        <v>0.240546373959031</v>
      </c>
      <c r="AI22" s="14">
        <v>0.17735015850270375</v>
      </c>
      <c r="AJ22" s="14">
        <v>4.5164555252847835E-2</v>
      </c>
      <c r="AK22" s="14">
        <v>4.9888894356821277E-2</v>
      </c>
      <c r="AL22" s="36">
        <v>6.6593300459612953E-2</v>
      </c>
      <c r="AM22" s="37">
        <v>4.3218833741573245E-2</v>
      </c>
      <c r="AN22" s="14">
        <v>9.9122056088471341E-2</v>
      </c>
      <c r="AY22" s="43"/>
      <c r="AZ22" s="54" t="s">
        <v>90</v>
      </c>
      <c r="BA22" s="53">
        <v>27.031771481098588</v>
      </c>
      <c r="BB22" s="53">
        <v>24.993446279435005</v>
      </c>
      <c r="BC22" s="53">
        <v>15.633257122075861</v>
      </c>
      <c r="BD22" s="53">
        <v>19.115796794295647</v>
      </c>
      <c r="BE22" s="53">
        <v>114.24958974068034</v>
      </c>
      <c r="BF22" s="53">
        <v>19.618592754688802</v>
      </c>
      <c r="BG22" s="53">
        <v>8.7554536719722797</v>
      </c>
      <c r="BH22" s="53">
        <v>31.225760445937389</v>
      </c>
      <c r="BI22" s="53">
        <v>51.350145182870399</v>
      </c>
      <c r="BJ22" s="53">
        <v>113.35356912107919</v>
      </c>
    </row>
    <row r="23" spans="2:62" ht="28.8" x14ac:dyDescent="0.3">
      <c r="D23" s="19"/>
      <c r="E23" s="47" t="s">
        <v>54</v>
      </c>
      <c r="F23" s="47"/>
      <c r="G23" s="47"/>
      <c r="H23" s="47"/>
      <c r="I23" s="48"/>
      <c r="J23" s="22"/>
      <c r="W23" s="6"/>
      <c r="X23" s="30" t="s">
        <v>82</v>
      </c>
      <c r="Y23" s="49" t="s">
        <v>83</v>
      </c>
      <c r="Z23" s="49"/>
      <c r="AA23" s="49"/>
      <c r="AB23" s="49" t="s">
        <v>84</v>
      </c>
      <c r="AC23" s="49"/>
      <c r="AD23" s="49"/>
      <c r="AQ23" s="6"/>
      <c r="AR23" s="49" t="s">
        <v>85</v>
      </c>
      <c r="AS23" s="49"/>
      <c r="AT23" s="49"/>
      <c r="AU23" s="49"/>
      <c r="AV23" s="49"/>
      <c r="AY23" s="43"/>
      <c r="AZ23" s="6" t="s">
        <v>91</v>
      </c>
      <c r="BA23" s="60">
        <v>1.4475888666147796</v>
      </c>
      <c r="BB23" s="60">
        <v>7.6477660252427526</v>
      </c>
      <c r="BC23" s="60">
        <v>0.60221143210448247</v>
      </c>
      <c r="BD23" s="60">
        <v>0.62321977995338784</v>
      </c>
      <c r="BE23" s="60">
        <v>6.7128638970430643</v>
      </c>
      <c r="BF23" s="60">
        <v>0.46148213751973088</v>
      </c>
      <c r="BG23" s="60">
        <v>1.0333551796311014</v>
      </c>
      <c r="BH23" s="60">
        <v>8.0565164538803913E-2</v>
      </c>
      <c r="BI23" s="60">
        <v>0.50644259114029921</v>
      </c>
      <c r="BJ23" s="60">
        <v>0.18664669776047305</v>
      </c>
    </row>
    <row r="24" spans="2:62" x14ac:dyDescent="0.3">
      <c r="D24" s="19"/>
      <c r="E24" s="18">
        <v>5.3979999999999997</v>
      </c>
      <c r="F24" s="19">
        <v>6.431</v>
      </c>
      <c r="G24" s="19">
        <v>10.458</v>
      </c>
      <c r="H24" s="19">
        <v>11.045999999999999</v>
      </c>
      <c r="I24" s="20">
        <v>23.667999999999999</v>
      </c>
      <c r="J24" s="21" t="s">
        <v>55</v>
      </c>
      <c r="N24" t="s">
        <v>81</v>
      </c>
      <c r="O24" s="18">
        <v>5.3979999999999997</v>
      </c>
      <c r="P24" s="19">
        <v>6.431</v>
      </c>
      <c r="Q24" s="19">
        <v>10.458</v>
      </c>
      <c r="R24" s="19">
        <v>11.045999999999999</v>
      </c>
      <c r="S24" s="20">
        <v>23.667999999999999</v>
      </c>
      <c r="T24" s="21" t="s">
        <v>47</v>
      </c>
      <c r="W24" s="33" t="s">
        <v>85</v>
      </c>
      <c r="X24" s="32">
        <v>1</v>
      </c>
      <c r="Y24" s="33">
        <v>1.1000000000000001</v>
      </c>
      <c r="Z24" s="33">
        <v>1.2</v>
      </c>
      <c r="AA24" s="33">
        <v>1.3</v>
      </c>
      <c r="AB24" s="33">
        <v>2.1</v>
      </c>
      <c r="AC24" s="33">
        <v>2.2000000000000002</v>
      </c>
      <c r="AD24" s="33">
        <v>2.2999999999999998</v>
      </c>
      <c r="AP24" t="s">
        <v>66</v>
      </c>
      <c r="AQ24" s="6" t="s">
        <v>81</v>
      </c>
      <c r="AR24" s="33">
        <v>5.3979999999999997</v>
      </c>
      <c r="AS24" s="33">
        <v>6.431</v>
      </c>
      <c r="AT24" s="33">
        <v>10.458</v>
      </c>
      <c r="AU24" s="33">
        <v>11.045999999999999</v>
      </c>
      <c r="AV24" s="33">
        <v>23.667999999999999</v>
      </c>
      <c r="AY24" s="43"/>
      <c r="AZ24" s="50" t="s">
        <v>92</v>
      </c>
      <c r="BA24" s="5">
        <v>18.17506146553427</v>
      </c>
      <c r="BB24" s="5">
        <v>20.287757663821182</v>
      </c>
      <c r="BC24" s="5">
        <v>11.292560230073079</v>
      </c>
      <c r="BD24" s="5">
        <v>12.140812753532515</v>
      </c>
      <c r="BE24" s="53">
        <v>78.736875358963232</v>
      </c>
      <c r="BF24" s="5">
        <v>13.08847581863537</v>
      </c>
      <c r="BG24" s="5">
        <v>5.5467938890878532</v>
      </c>
      <c r="BH24" s="5">
        <v>21.103451837692688</v>
      </c>
      <c r="BI24" s="5">
        <v>33.996884739456945</v>
      </c>
      <c r="BJ24" s="5">
        <v>75.274711407518069</v>
      </c>
    </row>
    <row r="25" spans="2:62" x14ac:dyDescent="0.3">
      <c r="B25" t="s">
        <v>77</v>
      </c>
      <c r="D25" s="19" t="s">
        <v>57</v>
      </c>
      <c r="E25" s="22">
        <v>0.50077383255091867</v>
      </c>
      <c r="F25" s="22">
        <v>0.38864012252270264</v>
      </c>
      <c r="G25" s="22">
        <v>0.14948610749737867</v>
      </c>
      <c r="H25" s="22">
        <v>0.17305628095505748</v>
      </c>
      <c r="I25" s="23">
        <v>0.48271755002822514</v>
      </c>
      <c r="J25" s="22">
        <f t="shared" ref="J25:J32" si="6">AVERAGE(E25:I25)</f>
        <v>0.33893477871085648</v>
      </c>
      <c r="N25">
        <v>1</v>
      </c>
      <c r="O25" s="22">
        <v>0.50077383255091867</v>
      </c>
      <c r="P25" s="22">
        <v>0.38864012252270264</v>
      </c>
      <c r="Q25" s="22">
        <v>0.14948610749737867</v>
      </c>
      <c r="R25" s="22">
        <v>0.17305628095505748</v>
      </c>
      <c r="S25" s="23">
        <v>0.48271755002822514</v>
      </c>
      <c r="T25" s="22">
        <f t="shared" ref="T25:T31" si="7">AVERAGE(O25:S25)</f>
        <v>0.33893477871085648</v>
      </c>
      <c r="W25" s="34">
        <v>5.3979999999999997</v>
      </c>
      <c r="X25" s="14">
        <v>0.50077383255091867</v>
      </c>
      <c r="Y25" s="14">
        <v>0.4842068293553784</v>
      </c>
      <c r="Z25" s="14">
        <v>0.13864041491075493</v>
      </c>
      <c r="AA25" s="14">
        <v>0.12066919457271619</v>
      </c>
      <c r="AB25" s="14">
        <v>6.9224927619073978E-2</v>
      </c>
      <c r="AC25" s="14">
        <v>2.6817133505275655E-2</v>
      </c>
      <c r="AD25" s="14">
        <v>5.4881787103411572E-2</v>
      </c>
      <c r="AP25" s="44" t="s">
        <v>86</v>
      </c>
      <c r="AQ25" s="50" t="s">
        <v>90</v>
      </c>
      <c r="AR25" s="40">
        <v>0.50077383255091867</v>
      </c>
      <c r="AS25" s="40">
        <v>0.38864012252270264</v>
      </c>
      <c r="AT25" s="40">
        <v>0.14948610749737867</v>
      </c>
      <c r="AU25" s="40">
        <v>0.17305628095505748</v>
      </c>
      <c r="AV25" s="51">
        <v>0.48271755002822514</v>
      </c>
      <c r="AY25" s="43"/>
      <c r="AZ25" s="3" t="s">
        <v>93</v>
      </c>
      <c r="BA25" s="5">
        <v>1.9224852359993605</v>
      </c>
      <c r="BB25" s="5">
        <v>9.5198382039995977</v>
      </c>
      <c r="BC25" s="5">
        <v>0.46750833999809061</v>
      </c>
      <c r="BD25" s="5">
        <v>1.8171039440009196</v>
      </c>
      <c r="BE25" s="5">
        <v>2.7285118799973418</v>
      </c>
      <c r="BF25" s="5">
        <v>1.2104302239999143</v>
      </c>
      <c r="BG25" s="5">
        <v>1.8286903799999976</v>
      </c>
      <c r="BH25" s="5">
        <v>0.8332176599994412</v>
      </c>
      <c r="BI25" s="5">
        <v>9.0319939999083942E-2</v>
      </c>
      <c r="BJ25" s="5">
        <v>0.29883788999995886</v>
      </c>
    </row>
    <row r="26" spans="2:62" x14ac:dyDescent="0.3">
      <c r="D26" s="19" t="s">
        <v>58</v>
      </c>
      <c r="E26" s="22">
        <v>0.4842068293553784</v>
      </c>
      <c r="F26" s="22">
        <v>0.38864012252270264</v>
      </c>
      <c r="G26" s="22">
        <v>0.14948610749737867</v>
      </c>
      <c r="H26" s="22">
        <v>0.13917382123630898</v>
      </c>
      <c r="I26" s="23">
        <v>0.16952226245391505</v>
      </c>
      <c r="J26" s="22">
        <f t="shared" si="6"/>
        <v>0.26620582861313674</v>
      </c>
      <c r="N26">
        <v>1.1000000000000001</v>
      </c>
      <c r="O26" s="22">
        <v>0.4842068293553784</v>
      </c>
      <c r="P26" s="22">
        <v>0.38864012252270264</v>
      </c>
      <c r="Q26" s="22">
        <v>0.14948610749737867</v>
      </c>
      <c r="R26" s="22">
        <v>0.13917382123630898</v>
      </c>
      <c r="S26" s="23">
        <v>0.16952226245391505</v>
      </c>
      <c r="T26" s="22">
        <f t="shared" si="7"/>
        <v>0.26620582861313674</v>
      </c>
      <c r="W26" s="35">
        <v>6.431</v>
      </c>
      <c r="X26" s="14">
        <v>0.38864012252270264</v>
      </c>
      <c r="Y26" s="14">
        <v>0.38864012252270264</v>
      </c>
      <c r="Z26" s="14">
        <v>4.5925124575792141E-2</v>
      </c>
      <c r="AA26" s="14">
        <v>7.9353415202555705E-2</v>
      </c>
      <c r="AB26" s="14">
        <v>0.14294696655551042</v>
      </c>
      <c r="AC26" s="14">
        <v>0.11892032382588638</v>
      </c>
      <c r="AD26" s="14">
        <v>0.11540888604916222</v>
      </c>
      <c r="AP26" s="44"/>
      <c r="AQ26" s="3" t="s">
        <v>91</v>
      </c>
      <c r="AR26" s="40">
        <v>2.6817133505275655E-2</v>
      </c>
      <c r="AS26" s="40">
        <v>0.11892032382588638</v>
      </c>
      <c r="AT26" s="40">
        <v>5.7583804944012478E-3</v>
      </c>
      <c r="AU26" s="40">
        <v>5.6420403761849348E-3</v>
      </c>
      <c r="AV26" s="51">
        <v>2.8362615755632349E-2</v>
      </c>
    </row>
    <row r="27" spans="2:62" x14ac:dyDescent="0.3">
      <c r="D27" s="19" t="s">
        <v>59</v>
      </c>
      <c r="E27" s="22">
        <v>0.13864041491075493</v>
      </c>
      <c r="F27" s="22">
        <v>4.5925124575792141E-2</v>
      </c>
      <c r="G27" s="22">
        <v>6.8625589264121989E-2</v>
      </c>
      <c r="H27" s="22">
        <v>6.6723278135336378E-2</v>
      </c>
      <c r="I27" s="23">
        <v>3.8983136563189344E-2</v>
      </c>
      <c r="J27" s="22">
        <f t="shared" si="6"/>
        <v>7.1779508689838969E-2</v>
      </c>
      <c r="N27">
        <v>1.2</v>
      </c>
      <c r="O27" s="22">
        <v>0.13864041491075493</v>
      </c>
      <c r="P27" s="22">
        <v>4.5925124575792141E-2</v>
      </c>
      <c r="Q27" s="22">
        <v>6.8625589264121989E-2</v>
      </c>
      <c r="R27" s="22">
        <v>6.6723278135336378E-2</v>
      </c>
      <c r="S27" s="23">
        <v>3.8983136563189344E-2</v>
      </c>
      <c r="T27" s="22">
        <f t="shared" si="7"/>
        <v>7.1779508689838969E-2</v>
      </c>
      <c r="W27" s="35">
        <v>10.458</v>
      </c>
      <c r="X27" s="14">
        <v>0.14948610749737867</v>
      </c>
      <c r="Y27" s="14">
        <v>0.14948610749737867</v>
      </c>
      <c r="Z27" s="14">
        <v>6.8625589264121989E-2</v>
      </c>
      <c r="AA27" s="14">
        <v>0.11504621336776899</v>
      </c>
      <c r="AB27" s="14">
        <v>2.4987246909790022E-2</v>
      </c>
      <c r="AC27" s="14">
        <v>5.7583804944012478E-3</v>
      </c>
      <c r="AD27" s="14">
        <v>5.3221562086321762E-2</v>
      </c>
      <c r="AP27" s="43" t="s">
        <v>89</v>
      </c>
      <c r="AQ27" s="50" t="s">
        <v>90</v>
      </c>
      <c r="AR27" s="40">
        <v>27.031771481098588</v>
      </c>
      <c r="AS27" s="40">
        <v>24.993446279435005</v>
      </c>
      <c r="AT27" s="40">
        <v>15.633257122075861</v>
      </c>
      <c r="AU27" s="40">
        <v>19.115796794295647</v>
      </c>
      <c r="AV27" s="51">
        <v>114.24958974068034</v>
      </c>
    </row>
    <row r="28" spans="2:62" x14ac:dyDescent="0.3">
      <c r="D28" s="19" t="s">
        <v>60</v>
      </c>
      <c r="E28" s="22">
        <v>0.12066919457271619</v>
      </c>
      <c r="F28" s="22">
        <v>7.9353415202555705E-2</v>
      </c>
      <c r="G28" s="22">
        <v>0.11504621336776899</v>
      </c>
      <c r="H28" s="22">
        <v>7.8989421961407583E-2</v>
      </c>
      <c r="I28" s="23">
        <v>4.5679547857933406E-2</v>
      </c>
      <c r="J28" s="22">
        <f t="shared" si="6"/>
        <v>8.7947558592476355E-2</v>
      </c>
      <c r="N28">
        <v>1.3</v>
      </c>
      <c r="O28" s="22">
        <v>0.12066919457271619</v>
      </c>
      <c r="P28" s="22">
        <v>7.9353415202555705E-2</v>
      </c>
      <c r="Q28" s="22">
        <v>0.11504621336776899</v>
      </c>
      <c r="R28" s="22">
        <v>7.8989421961407583E-2</v>
      </c>
      <c r="S28" s="23">
        <v>4.5679547857933406E-2</v>
      </c>
      <c r="T28" s="22">
        <f t="shared" si="7"/>
        <v>8.7947558592476355E-2</v>
      </c>
      <c r="W28" s="35">
        <v>11.045999999999999</v>
      </c>
      <c r="X28" s="14">
        <v>0.17305628095505748</v>
      </c>
      <c r="Y28" s="14">
        <v>0.13917382123630898</v>
      </c>
      <c r="Z28" s="14">
        <v>6.6723278135336378E-2</v>
      </c>
      <c r="AA28" s="14">
        <v>7.8989421961407583E-2</v>
      </c>
      <c r="AB28" s="14">
        <v>1.8611898298284392E-2</v>
      </c>
      <c r="AC28" s="14">
        <v>5.6420403761849348E-3</v>
      </c>
      <c r="AD28" s="14">
        <v>4.300367620097794E-2</v>
      </c>
      <c r="AP28" s="43"/>
      <c r="AQ28" s="3" t="s">
        <v>91</v>
      </c>
      <c r="AR28" s="40">
        <v>1.4475888666147796</v>
      </c>
      <c r="AS28" s="40">
        <v>7.6477660252427526</v>
      </c>
      <c r="AT28" s="40">
        <v>0.60221143210448247</v>
      </c>
      <c r="AU28" s="40">
        <v>0.62321977995338784</v>
      </c>
      <c r="AV28" s="40">
        <v>6.7128638970430643</v>
      </c>
    </row>
    <row r="29" spans="2:62" x14ac:dyDescent="0.3">
      <c r="D29" s="19" t="s">
        <v>61</v>
      </c>
      <c r="E29" s="22">
        <v>6.9224927619073978E-2</v>
      </c>
      <c r="F29" s="22">
        <v>0.14294696655551042</v>
      </c>
      <c r="G29" s="22">
        <v>2.4987246909790022E-2</v>
      </c>
      <c r="H29" s="22">
        <v>1.8611898298284392E-2</v>
      </c>
      <c r="I29" s="23">
        <v>4.3560869602687145E-2</v>
      </c>
      <c r="J29" s="22">
        <f t="shared" si="6"/>
        <v>5.9866381797069192E-2</v>
      </c>
      <c r="N29">
        <v>2.1</v>
      </c>
      <c r="O29" s="22">
        <v>6.9224927619073978E-2</v>
      </c>
      <c r="P29" s="22">
        <v>0.14294696655551042</v>
      </c>
      <c r="Q29" s="22">
        <v>2.4987246909790022E-2</v>
      </c>
      <c r="R29" s="22">
        <v>1.8611898298284392E-2</v>
      </c>
      <c r="S29" s="23">
        <v>4.3560869602687145E-2</v>
      </c>
      <c r="T29" s="22">
        <f t="shared" si="7"/>
        <v>5.9866381797069192E-2</v>
      </c>
      <c r="W29" s="38">
        <v>23.667999999999999</v>
      </c>
      <c r="X29" s="39">
        <v>0.48271755002822514</v>
      </c>
      <c r="Y29" s="39">
        <v>0.16952226245391505</v>
      </c>
      <c r="Z29" s="39">
        <v>3.8983136563189344E-2</v>
      </c>
      <c r="AA29" s="39">
        <v>4.5679547857933406E-2</v>
      </c>
      <c r="AB29" s="39">
        <v>4.3560869602687145E-2</v>
      </c>
      <c r="AC29" s="39">
        <v>2.8362615755632349E-2</v>
      </c>
      <c r="AD29" s="39">
        <v>4.0899836993573621E-2</v>
      </c>
    </row>
    <row r="30" spans="2:62" x14ac:dyDescent="0.3">
      <c r="D30" s="19" t="s">
        <v>62</v>
      </c>
      <c r="E30" s="22">
        <v>2.6817133505275655E-2</v>
      </c>
      <c r="F30" s="22">
        <v>0.11892032382588638</v>
      </c>
      <c r="G30" s="22">
        <v>5.7583804944012478E-3</v>
      </c>
      <c r="H30" s="22">
        <v>5.6420403761849348E-3</v>
      </c>
      <c r="I30" s="23">
        <v>2.8362615755632349E-2</v>
      </c>
      <c r="J30" s="24">
        <f t="shared" si="6"/>
        <v>3.7100098791476112E-2</v>
      </c>
      <c r="N30">
        <v>2.2000000000000002</v>
      </c>
      <c r="O30" s="22">
        <v>2.6817133505275655E-2</v>
      </c>
      <c r="P30" s="22">
        <v>0.11892032382588638</v>
      </c>
      <c r="Q30" s="22">
        <v>5.7583804944012478E-3</v>
      </c>
      <c r="R30" s="22">
        <v>5.6420403761849348E-3</v>
      </c>
      <c r="S30" s="23">
        <v>2.8362615755632349E-2</v>
      </c>
      <c r="T30" s="24">
        <f t="shared" si="7"/>
        <v>3.7100098791476112E-2</v>
      </c>
      <c r="W30" s="35" t="s">
        <v>47</v>
      </c>
      <c r="X30" s="14">
        <f t="shared" ref="X30:AD30" si="8">AVERAGE(X25:X29)</f>
        <v>0.33893477871085648</v>
      </c>
      <c r="Y30" s="14">
        <f t="shared" si="8"/>
        <v>0.26620582861313674</v>
      </c>
      <c r="Z30" s="14">
        <f t="shared" si="8"/>
        <v>7.1779508689838969E-2</v>
      </c>
      <c r="AA30" s="14">
        <f t="shared" si="8"/>
        <v>8.7947558592476355E-2</v>
      </c>
      <c r="AB30" s="14">
        <f t="shared" si="8"/>
        <v>5.9866381797069192E-2</v>
      </c>
      <c r="AC30" s="37">
        <f t="shared" si="8"/>
        <v>3.7100098791476112E-2</v>
      </c>
      <c r="AD30" s="36">
        <f t="shared" si="8"/>
        <v>6.1483149686689421E-2</v>
      </c>
    </row>
    <row r="31" spans="2:62" x14ac:dyDescent="0.3">
      <c r="D31" s="19" t="s">
        <v>63</v>
      </c>
      <c r="E31" s="22">
        <v>5.4881787103411572E-2</v>
      </c>
      <c r="F31" s="22">
        <v>0.11540888604916222</v>
      </c>
      <c r="G31" s="22">
        <v>5.3221562086321762E-2</v>
      </c>
      <c r="H31" s="22">
        <v>4.300367620097794E-2</v>
      </c>
      <c r="I31" s="23">
        <v>4.0899836993573621E-2</v>
      </c>
      <c r="J31" s="29">
        <f t="shared" si="6"/>
        <v>6.1483149686689421E-2</v>
      </c>
      <c r="L31" s="3"/>
      <c r="M31" s="3"/>
      <c r="N31">
        <v>2.2999999999999998</v>
      </c>
      <c r="O31" s="22">
        <v>5.4881787103411572E-2</v>
      </c>
      <c r="P31" s="22">
        <v>0.11540888604916222</v>
      </c>
      <c r="Q31" s="22">
        <v>5.3221562086321762E-2</v>
      </c>
      <c r="R31" s="22">
        <v>4.300367620097794E-2</v>
      </c>
      <c r="S31" s="23">
        <v>4.0899836993573621E-2</v>
      </c>
      <c r="T31" s="29">
        <f t="shared" si="7"/>
        <v>6.1483149686689421E-2</v>
      </c>
      <c r="W31" s="3"/>
      <c r="X31" s="3"/>
      <c r="Y31" s="3"/>
      <c r="Z31" s="3"/>
      <c r="AA31" s="3"/>
      <c r="AB31" s="3"/>
      <c r="AC31" s="3"/>
      <c r="AD31" s="3"/>
    </row>
    <row r="32" spans="2:62" x14ac:dyDescent="0.3">
      <c r="D32" s="19" t="s">
        <v>64</v>
      </c>
      <c r="E32" s="22">
        <v>2.4200423715288223E-2</v>
      </c>
      <c r="F32" s="22">
        <v>0.11681848242612961</v>
      </c>
      <c r="G32" s="22">
        <v>6.8223812464730917E-3</v>
      </c>
      <c r="H32" s="22">
        <v>4.6661360079040285E-3</v>
      </c>
      <c r="I32" s="23">
        <v>2.8222812527580458E-2</v>
      </c>
      <c r="J32" s="24">
        <f t="shared" si="6"/>
        <v>3.6146047184675081E-2</v>
      </c>
      <c r="L32" s="3"/>
      <c r="M32" s="3"/>
      <c r="N32" s="3"/>
      <c r="O32" s="22"/>
      <c r="P32" s="22"/>
      <c r="Q32" s="22"/>
      <c r="R32" s="22"/>
      <c r="S32" s="23"/>
      <c r="W32" s="3"/>
      <c r="X32" s="3"/>
      <c r="Y32" s="3"/>
      <c r="Z32" s="3"/>
      <c r="AA32" s="3"/>
      <c r="AB32" s="3"/>
      <c r="AC32" s="3"/>
      <c r="AD32" s="3"/>
    </row>
    <row r="33" spans="2:48" x14ac:dyDescent="0.3">
      <c r="D33" s="19"/>
      <c r="E33" s="22"/>
      <c r="F33" s="22"/>
      <c r="G33" s="22"/>
      <c r="H33" s="22"/>
      <c r="I33" s="23"/>
      <c r="J33" s="22"/>
      <c r="L33" s="3"/>
      <c r="M33" s="3"/>
      <c r="N33" s="3"/>
      <c r="O33" s="3"/>
      <c r="P33" s="3"/>
      <c r="Q33" s="3"/>
      <c r="W33" s="3"/>
      <c r="X33" s="3"/>
      <c r="Y33" s="3"/>
      <c r="Z33" s="3"/>
      <c r="AA33" s="3"/>
      <c r="AB33" s="3"/>
      <c r="AC33" s="3"/>
      <c r="AD33" s="3"/>
    </row>
    <row r="34" spans="2:48" ht="28.8" x14ac:dyDescent="0.3">
      <c r="D34" s="19"/>
      <c r="E34" s="47" t="s">
        <v>54</v>
      </c>
      <c r="F34" s="47"/>
      <c r="G34" s="47"/>
      <c r="H34" s="47"/>
      <c r="I34" s="48"/>
      <c r="J34" s="22"/>
      <c r="L34" s="3"/>
      <c r="M34" s="3"/>
      <c r="N34" s="3"/>
      <c r="O34" s="3"/>
      <c r="P34" s="3"/>
      <c r="Q34" s="3"/>
      <c r="W34" s="6"/>
      <c r="X34" s="30" t="s">
        <v>82</v>
      </c>
      <c r="Y34" s="49" t="s">
        <v>83</v>
      </c>
      <c r="Z34" s="49"/>
      <c r="AA34" s="49"/>
      <c r="AB34" s="49" t="s">
        <v>84</v>
      </c>
      <c r="AC34" s="49"/>
      <c r="AD34" s="49"/>
      <c r="AQ34" s="6"/>
      <c r="AR34" s="49" t="s">
        <v>85</v>
      </c>
      <c r="AS34" s="49"/>
      <c r="AT34" s="49"/>
      <c r="AU34" s="49"/>
      <c r="AV34" s="49"/>
    </row>
    <row r="35" spans="2:48" x14ac:dyDescent="0.3">
      <c r="D35" s="19"/>
      <c r="E35" s="18">
        <v>5.3979999999999997</v>
      </c>
      <c r="F35" s="19">
        <v>6.431</v>
      </c>
      <c r="G35" s="19">
        <v>10.458</v>
      </c>
      <c r="H35" s="19">
        <v>11.045999999999999</v>
      </c>
      <c r="I35" s="20">
        <v>23.667999999999999</v>
      </c>
      <c r="J35" s="21" t="s">
        <v>55</v>
      </c>
      <c r="K35" s="17"/>
      <c r="L35" s="3"/>
      <c r="M35" s="3"/>
      <c r="N35" t="s">
        <v>81</v>
      </c>
      <c r="O35" s="18">
        <v>5.3979999999999997</v>
      </c>
      <c r="P35" s="19">
        <v>6.431</v>
      </c>
      <c r="Q35" s="19">
        <v>10.458</v>
      </c>
      <c r="R35" s="19">
        <v>11.045999999999999</v>
      </c>
      <c r="S35" s="20">
        <v>23.667999999999999</v>
      </c>
      <c r="T35" s="21" t="s">
        <v>47</v>
      </c>
      <c r="W35" s="33" t="s">
        <v>85</v>
      </c>
      <c r="X35" s="32">
        <v>1</v>
      </c>
      <c r="Y35" s="33">
        <v>1.1000000000000001</v>
      </c>
      <c r="Z35" s="33">
        <v>1.2</v>
      </c>
      <c r="AA35" s="33">
        <v>1.3</v>
      </c>
      <c r="AB35" s="33">
        <v>2.1</v>
      </c>
      <c r="AC35" s="33">
        <v>2.2000000000000002</v>
      </c>
      <c r="AD35" s="33">
        <v>2.2999999999999998</v>
      </c>
      <c r="AP35" t="s">
        <v>66</v>
      </c>
      <c r="AQ35" s="6" t="s">
        <v>81</v>
      </c>
      <c r="AR35" s="33">
        <v>5.3979999999999997</v>
      </c>
      <c r="AS35" s="33">
        <v>6.431</v>
      </c>
      <c r="AT35" s="33">
        <v>10.458</v>
      </c>
      <c r="AU35" s="33">
        <v>11.045999999999999</v>
      </c>
      <c r="AV35" s="33">
        <v>23.667999999999999</v>
      </c>
    </row>
    <row r="36" spans="2:48" x14ac:dyDescent="0.3">
      <c r="B36" t="s">
        <v>80</v>
      </c>
      <c r="D36" s="19" t="s">
        <v>57</v>
      </c>
      <c r="E36" s="14">
        <v>0.33669991599730031</v>
      </c>
      <c r="F36" s="14">
        <v>0.31546816457504556</v>
      </c>
      <c r="G36" s="14">
        <v>0.10798011311984201</v>
      </c>
      <c r="H36" s="14">
        <v>0.10991139555977292</v>
      </c>
      <c r="I36" s="14">
        <v>0.33267228054319431</v>
      </c>
      <c r="J36" s="22">
        <f t="shared" ref="J36:J43" si="9">AVERAGE(E36:I36)</f>
        <v>0.240546373959031</v>
      </c>
      <c r="K36" s="22"/>
      <c r="L36" s="3"/>
      <c r="M36" s="3"/>
      <c r="N36">
        <v>1</v>
      </c>
      <c r="O36" s="14">
        <v>0.33669991599730031</v>
      </c>
      <c r="P36" s="14">
        <v>0.31546816457504556</v>
      </c>
      <c r="Q36" s="14">
        <v>0.10798011311984201</v>
      </c>
      <c r="R36" s="14">
        <v>0.10991139555977292</v>
      </c>
      <c r="S36" s="14">
        <v>0.33267228054319431</v>
      </c>
      <c r="T36" s="22">
        <f t="shared" ref="T36:T42" si="10">AVERAGE(O36:S36)</f>
        <v>0.240546373959031</v>
      </c>
      <c r="W36" s="34">
        <v>5.3979999999999997</v>
      </c>
      <c r="X36" s="14">
        <v>0.33669991599730031</v>
      </c>
      <c r="Y36" s="14">
        <v>0.24097731367227643</v>
      </c>
      <c r="Z36" s="14">
        <v>3.8399317194421259E-2</v>
      </c>
      <c r="AA36" s="14">
        <v>2.7953600140536477E-2</v>
      </c>
      <c r="AB36" s="14">
        <v>8.5075522341597515E-2</v>
      </c>
      <c r="AC36" s="14">
        <v>3.5614769099654699E-2</v>
      </c>
      <c r="AD36" s="14">
        <v>0.15452999467203174</v>
      </c>
      <c r="AP36" s="44" t="s">
        <v>86</v>
      </c>
      <c r="AQ36" s="50" t="s">
        <v>92</v>
      </c>
      <c r="AR36" s="40">
        <v>0.33669991599730031</v>
      </c>
      <c r="AS36" s="40">
        <v>0.31546816457504556</v>
      </c>
      <c r="AT36" s="40">
        <v>0.10798011311984201</v>
      </c>
      <c r="AU36" s="40">
        <v>0.10991139555977292</v>
      </c>
      <c r="AV36" s="51">
        <v>0.33267228054319431</v>
      </c>
    </row>
    <row r="37" spans="2:48" x14ac:dyDescent="0.3">
      <c r="D37" s="19" t="s">
        <v>58</v>
      </c>
      <c r="E37" s="14">
        <v>0.24097731367227643</v>
      </c>
      <c r="F37" s="14">
        <v>0.31546816457504556</v>
      </c>
      <c r="G37" s="14">
        <v>0.10798011311984201</v>
      </c>
      <c r="H37" s="14">
        <v>8.5887208523220585E-2</v>
      </c>
      <c r="I37" s="14">
        <v>0.136437992623134</v>
      </c>
      <c r="J37" s="22">
        <f t="shared" si="9"/>
        <v>0.17735015850270375</v>
      </c>
      <c r="K37" s="22"/>
      <c r="L37" s="3"/>
      <c r="M37" s="3"/>
      <c r="N37">
        <v>1.1000000000000001</v>
      </c>
      <c r="O37" s="14">
        <v>0.24097731367227643</v>
      </c>
      <c r="P37" s="14">
        <v>0.31546816457504556</v>
      </c>
      <c r="Q37" s="14">
        <v>0.10798011311984201</v>
      </c>
      <c r="R37" s="14">
        <v>8.5887208523220585E-2</v>
      </c>
      <c r="S37" s="14">
        <v>0.136437992623134</v>
      </c>
      <c r="T37" s="22">
        <f t="shared" si="10"/>
        <v>0.17735015850270375</v>
      </c>
      <c r="W37" s="35">
        <v>6.431</v>
      </c>
      <c r="X37" s="14">
        <v>0.31546816457504556</v>
      </c>
      <c r="Y37" s="14">
        <v>0.31546816457504556</v>
      </c>
      <c r="Z37" s="14">
        <v>6.0617609352855227E-2</v>
      </c>
      <c r="AA37" s="14">
        <v>4.1000947917222655E-2</v>
      </c>
      <c r="AB37" s="14">
        <v>0.17305077194836221</v>
      </c>
      <c r="AC37" s="14">
        <v>0.14803044944798005</v>
      </c>
      <c r="AD37" s="14">
        <v>0.23204165120485207</v>
      </c>
      <c r="AP37" s="44"/>
      <c r="AQ37" s="3" t="s">
        <v>93</v>
      </c>
      <c r="AR37" s="40">
        <v>3.5614769099654699E-2</v>
      </c>
      <c r="AS37" s="40">
        <v>0.14803044944798005</v>
      </c>
      <c r="AT37" s="40">
        <v>4.4703417479258992E-3</v>
      </c>
      <c r="AU37" s="40">
        <v>1.6450334455919969E-2</v>
      </c>
      <c r="AV37" s="51">
        <v>1.1528273956385591E-2</v>
      </c>
    </row>
    <row r="38" spans="2:48" x14ac:dyDescent="0.3">
      <c r="D38" s="19" t="s">
        <v>59</v>
      </c>
      <c r="E38" s="14">
        <v>3.8399317194421259E-2</v>
      </c>
      <c r="F38" s="14">
        <v>6.0617609352855227E-2</v>
      </c>
      <c r="G38" s="14">
        <v>5.7231388184325015E-2</v>
      </c>
      <c r="H38" s="14">
        <v>4.3229460934121375E-2</v>
      </c>
      <c r="I38" s="14">
        <v>2.6345000598516261E-2</v>
      </c>
      <c r="J38" s="22">
        <f t="shared" si="9"/>
        <v>4.5164555252847835E-2</v>
      </c>
      <c r="K38" s="22"/>
      <c r="L38" s="3"/>
      <c r="M38" s="3"/>
      <c r="N38">
        <v>1.2</v>
      </c>
      <c r="O38" s="14">
        <v>3.8399317194421259E-2</v>
      </c>
      <c r="P38" s="14">
        <v>6.0617609352855227E-2</v>
      </c>
      <c r="Q38" s="14">
        <v>5.7231388184325015E-2</v>
      </c>
      <c r="R38" s="14">
        <v>4.3229460934121375E-2</v>
      </c>
      <c r="S38" s="14">
        <v>2.6345000598516261E-2</v>
      </c>
      <c r="T38" s="22">
        <f t="shared" si="10"/>
        <v>4.5164555252847835E-2</v>
      </c>
      <c r="W38" s="35">
        <v>10.458</v>
      </c>
      <c r="X38" s="14">
        <v>0.10798011311984201</v>
      </c>
      <c r="Y38" s="14">
        <v>0.10798011311984201</v>
      </c>
      <c r="Z38" s="14">
        <v>5.7231388184325015E-2</v>
      </c>
      <c r="AA38" s="14">
        <v>8.3069605392749088E-2</v>
      </c>
      <c r="AB38" s="14">
        <v>2.9976412698414012E-2</v>
      </c>
      <c r="AC38" s="14">
        <v>4.4703417479258992E-3</v>
      </c>
      <c r="AD38" s="14">
        <v>3.1201913738837229E-2</v>
      </c>
      <c r="AP38" s="43" t="s">
        <v>89</v>
      </c>
      <c r="AQ38" s="50" t="s">
        <v>92</v>
      </c>
      <c r="AR38" s="40">
        <v>18.17506146553427</v>
      </c>
      <c r="AS38" s="40">
        <v>20.287757663821182</v>
      </c>
      <c r="AT38" s="40">
        <v>11.292560230073079</v>
      </c>
      <c r="AU38" s="40">
        <v>12.140812753532515</v>
      </c>
      <c r="AV38" s="51">
        <v>78.736875358963232</v>
      </c>
    </row>
    <row r="39" spans="2:48" x14ac:dyDescent="0.3">
      <c r="D39" s="19" t="s">
        <v>60</v>
      </c>
      <c r="E39" s="14">
        <v>2.7953600140536477E-2</v>
      </c>
      <c r="F39" s="14">
        <v>4.1000947917222655E-2</v>
      </c>
      <c r="G39" s="14">
        <v>8.3069605392749088E-2</v>
      </c>
      <c r="H39" s="14">
        <v>4.8858018064121198E-2</v>
      </c>
      <c r="I39" s="14">
        <v>4.8562300269476957E-2</v>
      </c>
      <c r="J39" s="22">
        <f t="shared" si="9"/>
        <v>4.9888894356821277E-2</v>
      </c>
      <c r="K39" s="22"/>
      <c r="L39" s="3"/>
      <c r="M39" s="3"/>
      <c r="N39">
        <v>1.3</v>
      </c>
      <c r="O39" s="14">
        <v>2.7953600140536477E-2</v>
      </c>
      <c r="P39" s="14">
        <v>4.1000947917222655E-2</v>
      </c>
      <c r="Q39" s="14">
        <v>8.3069605392749088E-2</v>
      </c>
      <c r="R39" s="14">
        <v>4.8858018064121198E-2</v>
      </c>
      <c r="S39" s="14">
        <v>4.8562300269476957E-2</v>
      </c>
      <c r="T39" s="22">
        <f t="shared" si="10"/>
        <v>4.9888894356821277E-2</v>
      </c>
      <c r="W39" s="35">
        <v>11.045999999999999</v>
      </c>
      <c r="X39" s="14">
        <v>0.10991139555977292</v>
      </c>
      <c r="Y39" s="14">
        <v>8.5887208523220585E-2</v>
      </c>
      <c r="Z39" s="14">
        <v>4.3229460934121375E-2</v>
      </c>
      <c r="AA39" s="14">
        <v>4.8858018064121198E-2</v>
      </c>
      <c r="AB39" s="14">
        <v>1.3183733623050082E-2</v>
      </c>
      <c r="AC39" s="14">
        <v>1.6450334455919969E-2</v>
      </c>
      <c r="AD39" s="14">
        <v>5.0820660998993059E-2</v>
      </c>
      <c r="AP39" s="43"/>
      <c r="AQ39" s="3" t="s">
        <v>93</v>
      </c>
      <c r="AR39" s="40">
        <v>1.9224852359993605</v>
      </c>
      <c r="AS39" s="40">
        <v>9.5198382039995977</v>
      </c>
      <c r="AT39" s="40">
        <v>0.46750833999809061</v>
      </c>
      <c r="AU39" s="40">
        <v>1.8171039440009196</v>
      </c>
      <c r="AV39" s="40">
        <v>2.7285118799973418</v>
      </c>
    </row>
    <row r="40" spans="2:48" x14ac:dyDescent="0.3">
      <c r="D40" s="19" t="s">
        <v>61</v>
      </c>
      <c r="E40" s="14">
        <v>8.5075522341597515E-2</v>
      </c>
      <c r="F40" s="14">
        <v>0.17305077194836221</v>
      </c>
      <c r="G40" s="14">
        <v>2.9976412698414012E-2</v>
      </c>
      <c r="H40" s="14">
        <v>1.3183733623050082E-2</v>
      </c>
      <c r="I40" s="14">
        <v>3.1680061686640969E-2</v>
      </c>
      <c r="J40" s="29">
        <f t="shared" si="9"/>
        <v>6.6593300459612953E-2</v>
      </c>
      <c r="K40" s="22"/>
      <c r="N40">
        <v>2.1</v>
      </c>
      <c r="O40" s="14">
        <v>8.5075522341597515E-2</v>
      </c>
      <c r="P40" s="14">
        <v>0.17305077194836221</v>
      </c>
      <c r="Q40" s="14">
        <v>2.9976412698414012E-2</v>
      </c>
      <c r="R40" s="14">
        <v>1.3183733623050082E-2</v>
      </c>
      <c r="S40" s="14">
        <v>3.1680061686640969E-2</v>
      </c>
      <c r="T40" s="29">
        <f t="shared" si="10"/>
        <v>6.6593300459612953E-2</v>
      </c>
      <c r="W40" s="38">
        <v>23.667999999999999</v>
      </c>
      <c r="X40" s="39">
        <v>0.33267228054319431</v>
      </c>
      <c r="Y40" s="39">
        <v>0.136437992623134</v>
      </c>
      <c r="Z40" s="39">
        <v>2.6345000598516261E-2</v>
      </c>
      <c r="AA40" s="39">
        <v>4.8562300269476957E-2</v>
      </c>
      <c r="AB40" s="39">
        <v>3.1680061686640969E-2</v>
      </c>
      <c r="AC40" s="39">
        <v>1.1528273956385591E-2</v>
      </c>
      <c r="AD40" s="39">
        <v>2.7016059827642609E-2</v>
      </c>
    </row>
    <row r="41" spans="2:48" x14ac:dyDescent="0.3">
      <c r="D41" s="19" t="s">
        <v>62</v>
      </c>
      <c r="E41" s="14">
        <v>3.5614769099654699E-2</v>
      </c>
      <c r="F41" s="14">
        <v>0.14803044944798005</v>
      </c>
      <c r="G41" s="14">
        <v>4.4703417479258992E-3</v>
      </c>
      <c r="H41" s="14">
        <v>1.6450334455919969E-2</v>
      </c>
      <c r="I41" s="14">
        <v>1.1528273956385591E-2</v>
      </c>
      <c r="J41" s="24">
        <f t="shared" si="9"/>
        <v>4.3218833741573245E-2</v>
      </c>
      <c r="K41" s="22"/>
      <c r="N41">
        <v>2.2000000000000002</v>
      </c>
      <c r="O41" s="14">
        <v>3.5614769099654699E-2</v>
      </c>
      <c r="P41" s="14">
        <v>0.14803044944798005</v>
      </c>
      <c r="Q41" s="14">
        <v>4.4703417479258992E-3</v>
      </c>
      <c r="R41" s="14">
        <v>1.6450334455919969E-2</v>
      </c>
      <c r="S41" s="14">
        <v>1.1528273956385591E-2</v>
      </c>
      <c r="T41" s="24">
        <f t="shared" si="10"/>
        <v>4.3218833741573245E-2</v>
      </c>
      <c r="W41" s="35" t="s">
        <v>47</v>
      </c>
      <c r="X41" s="14">
        <f t="shared" ref="X41:AD41" si="11">AVERAGE(X36:X40)</f>
        <v>0.240546373959031</v>
      </c>
      <c r="Y41" s="14">
        <f t="shared" si="11"/>
        <v>0.17735015850270375</v>
      </c>
      <c r="Z41" s="14">
        <f t="shared" si="11"/>
        <v>4.5164555252847835E-2</v>
      </c>
      <c r="AA41" s="14">
        <f t="shared" si="11"/>
        <v>4.9888894356821277E-2</v>
      </c>
      <c r="AB41" s="36">
        <f t="shared" si="11"/>
        <v>6.6593300459612953E-2</v>
      </c>
      <c r="AC41" s="37">
        <f t="shared" si="11"/>
        <v>4.3218833741573245E-2</v>
      </c>
      <c r="AD41" s="14">
        <f t="shared" si="11"/>
        <v>9.9122056088471341E-2</v>
      </c>
    </row>
    <row r="42" spans="2:48" x14ac:dyDescent="0.3">
      <c r="D42" s="19" t="s">
        <v>63</v>
      </c>
      <c r="E42" s="14">
        <v>0.15452999467203174</v>
      </c>
      <c r="F42" s="14">
        <v>0.23204165120485207</v>
      </c>
      <c r="G42" s="14">
        <v>3.1201913738837229E-2</v>
      </c>
      <c r="H42" s="14">
        <v>5.0820660998993059E-2</v>
      </c>
      <c r="I42" s="14">
        <v>2.7016059827642609E-2</v>
      </c>
      <c r="J42" s="22">
        <f t="shared" si="9"/>
        <v>9.9122056088471341E-2</v>
      </c>
      <c r="K42" s="22"/>
      <c r="N42">
        <v>2.2999999999999998</v>
      </c>
      <c r="O42" s="14">
        <v>0.15452999467203174</v>
      </c>
      <c r="P42" s="14">
        <v>0.23204165120485207</v>
      </c>
      <c r="Q42" s="14">
        <v>3.1201913738837229E-2</v>
      </c>
      <c r="R42" s="14">
        <v>5.0820660998993059E-2</v>
      </c>
      <c r="S42" s="14">
        <v>2.7016059827642609E-2</v>
      </c>
      <c r="T42" s="22">
        <f t="shared" si="10"/>
        <v>9.9122056088471341E-2</v>
      </c>
    </row>
    <row r="43" spans="2:48" x14ac:dyDescent="0.3">
      <c r="D43" s="19" t="s">
        <v>64</v>
      </c>
      <c r="E43" s="14">
        <v>3.6123163909170912E-2</v>
      </c>
      <c r="F43" s="14">
        <v>0.14873614249563971</v>
      </c>
      <c r="G43" s="14">
        <v>3.3610247273713027E-3</v>
      </c>
      <c r="H43" s="14">
        <v>1.7593370651608074E-2</v>
      </c>
      <c r="I43" s="14">
        <v>1.299469476746685E-2</v>
      </c>
      <c r="J43" s="24">
        <f t="shared" si="9"/>
        <v>4.3761679310251364E-2</v>
      </c>
      <c r="K43" s="22"/>
    </row>
  </sheetData>
  <mergeCells count="25">
    <mergeCell ref="AY14:AY19"/>
    <mergeCell ref="AY20:AY25"/>
    <mergeCell ref="BA12:BE12"/>
    <mergeCell ref="BF12:BJ12"/>
    <mergeCell ref="AP27:AP28"/>
    <mergeCell ref="AR34:AV34"/>
    <mergeCell ref="AP36:AP37"/>
    <mergeCell ref="AP38:AP39"/>
    <mergeCell ref="AP25:AP26"/>
    <mergeCell ref="AR12:AV12"/>
    <mergeCell ref="AP14:AP15"/>
    <mergeCell ref="AP16:AP17"/>
    <mergeCell ref="AR23:AV23"/>
    <mergeCell ref="Y23:AA23"/>
    <mergeCell ref="AB23:AD23"/>
    <mergeCell ref="Y34:AA34"/>
    <mergeCell ref="AB34:AD34"/>
    <mergeCell ref="E1:I1"/>
    <mergeCell ref="E12:I12"/>
    <mergeCell ref="E23:I23"/>
    <mergeCell ref="E34:I34"/>
    <mergeCell ref="Y1:AA1"/>
    <mergeCell ref="AB1:AD1"/>
    <mergeCell ref="Y12:AA12"/>
    <mergeCell ref="AB12:AD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Ground Truth</vt:lpstr>
      <vt:lpstr>Measurements(Px)_Set1</vt:lpstr>
      <vt:lpstr>Measurements(Px)_Set2</vt:lpstr>
      <vt:lpstr>Saha Testi CC</vt:lpstr>
      <vt:lpstr>Saha Testi Devernay</vt:lpstr>
      <vt:lpstr>Saha Testi SubPixelEdges</vt:lpstr>
      <vt:lpstr>Saha Testi SubPixelCounting</vt:lpstr>
      <vt:lpstr>Analiz</vt:lpstr>
      <vt:lpstr>Analiz-Comparison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Mehmet KACMAZ</dc:creator>
  <cp:keywords/>
  <dc:description/>
  <cp:lastModifiedBy>Gokhan POYRAZ</cp:lastModifiedBy>
  <cp:revision/>
  <dcterms:created xsi:type="dcterms:W3CDTF">2023-12-15T06:31:27Z</dcterms:created>
  <dcterms:modified xsi:type="dcterms:W3CDTF">2024-02-08T14:53:59Z</dcterms:modified>
  <cp:category/>
  <cp:contentStatus/>
</cp:coreProperties>
</file>