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Austin\Documents\"/>
    </mc:Choice>
  </mc:AlternateContent>
  <bookViews>
    <workbookView xWindow="0" yWindow="0" windowWidth="16410" windowHeight="7530" tabRatio="646" firstSheet="2" activeTab="2" xr2:uid="{00000000-000D-0000-FFFF-FFFF00000000}"/>
  </bookViews>
  <sheets>
    <sheet name="Vine &amp; Branches" sheetId="1" state="hidden" r:id="rId1"/>
    <sheet name="Pinnacle Custom Home Builders" sheetId="2" state="hidden" r:id="rId2"/>
    <sheet name="Walnut Grove" sheetId="3" r:id="rId3"/>
    <sheet name="Proj Income Statement" sheetId="7" r:id="rId4"/>
    <sheet name="Proj Balance Sheet" sheetId="6" r:id="rId5"/>
    <sheet name="Proj Cash Flows" sheetId="8" r:id="rId6"/>
    <sheet name="Sunflower Designs" sheetId="4" state="hidden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6" l="1"/>
  <c r="G26" i="3"/>
  <c r="C25" i="7"/>
  <c r="C24" i="7"/>
  <c r="C26" i="6"/>
  <c r="F9" i="3"/>
  <c r="B12" i="8" s="1"/>
  <c r="D20" i="3"/>
  <c r="B11" i="8"/>
  <c r="B10" i="8"/>
  <c r="B18" i="8"/>
  <c r="C27" i="8"/>
  <c r="C25" i="8"/>
  <c r="B21" i="8"/>
  <c r="C22" i="8" s="1"/>
  <c r="B24" i="8"/>
  <c r="G19" i="3"/>
  <c r="B17" i="8"/>
  <c r="B16" i="8"/>
  <c r="B15" i="8"/>
  <c r="B14" i="8"/>
  <c r="B13" i="8"/>
  <c r="B8" i="8"/>
  <c r="B5" i="8"/>
  <c r="B25" i="6"/>
  <c r="F42" i="3"/>
  <c r="G17" i="3"/>
  <c r="B21" i="6" s="1"/>
  <c r="F39" i="3"/>
  <c r="F36" i="3"/>
  <c r="G19" i="7" s="1"/>
  <c r="F35" i="3"/>
  <c r="G14" i="7" s="1"/>
  <c r="G16" i="3" s="1"/>
  <c r="B6" i="6"/>
  <c r="G18" i="3"/>
  <c r="B22" i="6" s="1"/>
  <c r="B36" i="6"/>
  <c r="B35" i="6"/>
  <c r="B23" i="6"/>
  <c r="B15" i="6"/>
  <c r="B7" i="6"/>
  <c r="F7" i="3"/>
  <c r="F41" i="3"/>
  <c r="G24" i="7" s="1"/>
  <c r="G25" i="3"/>
  <c r="G24" i="3"/>
  <c r="G22" i="3"/>
  <c r="B29" i="6" s="1"/>
  <c r="G21" i="3"/>
  <c r="B24" i="6" s="1"/>
  <c r="F13" i="3"/>
  <c r="B14" i="6" s="1"/>
  <c r="F12" i="3"/>
  <c r="B13" i="6" s="1"/>
  <c r="F11" i="3"/>
  <c r="B12" i="6" s="1"/>
  <c r="F10" i="3"/>
  <c r="B11" i="6" s="1"/>
  <c r="F34" i="3"/>
  <c r="G25" i="7"/>
  <c r="G15" i="7"/>
  <c r="F15" i="7"/>
  <c r="G5" i="7"/>
  <c r="F5" i="7"/>
  <c r="B8" i="6"/>
  <c r="F37" i="3"/>
  <c r="G20" i="7" s="1"/>
  <c r="A5" i="7"/>
  <c r="B5" i="7"/>
  <c r="A6" i="7"/>
  <c r="B6" i="7"/>
  <c r="A7" i="7"/>
  <c r="B7" i="7"/>
  <c r="G23" i="3"/>
  <c r="B30" i="6" s="1"/>
  <c r="G15" i="3"/>
  <c r="B16" i="6" s="1"/>
  <c r="F33" i="3"/>
  <c r="G13" i="7" s="1"/>
  <c r="F32" i="3"/>
  <c r="G12" i="7" s="1"/>
  <c r="G30" i="3"/>
  <c r="G8" i="7" s="1"/>
  <c r="F40" i="3"/>
  <c r="G23" i="7" s="1"/>
  <c r="F38" i="3"/>
  <c r="F6" i="3" s="1"/>
  <c r="G28" i="3"/>
  <c r="G7" i="7" s="1"/>
  <c r="G27" i="3"/>
  <c r="G6" i="7" s="1"/>
  <c r="B21" i="7"/>
  <c r="B20" i="7"/>
  <c r="B19" i="7"/>
  <c r="B18" i="7"/>
  <c r="B17" i="7"/>
  <c r="B16" i="7"/>
  <c r="B15" i="7"/>
  <c r="B12" i="7"/>
  <c r="B11" i="7"/>
  <c r="B10" i="7"/>
  <c r="B8" i="7"/>
  <c r="A12" i="7"/>
  <c r="A11" i="7"/>
  <c r="A10" i="7"/>
  <c r="A8" i="7"/>
  <c r="C19" i="8" l="1"/>
  <c r="C26" i="8" s="1"/>
  <c r="C31" i="6"/>
  <c r="C17" i="6"/>
  <c r="G22" i="7"/>
  <c r="H26" i="7" s="1"/>
  <c r="G21" i="7"/>
  <c r="G31" i="3"/>
  <c r="G9" i="7" s="1"/>
  <c r="H10" i="7" s="1"/>
  <c r="B20" i="6"/>
  <c r="H16" i="7"/>
  <c r="F44" i="3"/>
  <c r="C22" i="7"/>
  <c r="C9" i="7"/>
  <c r="C13" i="7" s="1"/>
  <c r="D44" i="3"/>
  <c r="H17" i="7" l="1"/>
  <c r="H27" i="7" s="1"/>
  <c r="H28" i="7" s="1"/>
  <c r="C23" i="7"/>
  <c r="C44" i="3"/>
  <c r="D45" i="3" s="1"/>
  <c r="H29" i="7" l="1"/>
  <c r="B37" i="6" s="1"/>
  <c r="C38" i="6" s="1"/>
  <c r="G20" i="3"/>
  <c r="C32" i="6" s="1"/>
  <c r="U21" i="4"/>
  <c r="V21" i="1"/>
  <c r="E13" i="1"/>
  <c r="E8" i="2"/>
  <c r="U14" i="4"/>
  <c r="U13" i="4"/>
  <c r="U15" i="2"/>
  <c r="U14" i="2"/>
  <c r="V14" i="1" s="1"/>
  <c r="U13" i="2"/>
  <c r="U12" i="2"/>
  <c r="U10" i="2"/>
  <c r="L30" i="1"/>
  <c r="L35" i="1"/>
  <c r="L34" i="1"/>
  <c r="L31" i="1"/>
  <c r="L29" i="1"/>
  <c r="L28" i="1"/>
  <c r="L17" i="1"/>
  <c r="L16" i="1"/>
  <c r="L15" i="1"/>
  <c r="L14" i="1"/>
  <c r="L13" i="1"/>
  <c r="L19" i="2"/>
  <c r="L10" i="1"/>
  <c r="L9" i="1"/>
  <c r="L8" i="1"/>
  <c r="E20" i="1"/>
  <c r="E15" i="2"/>
  <c r="E32" i="1"/>
  <c r="E31" i="1"/>
  <c r="E30" i="1"/>
  <c r="E29" i="1"/>
  <c r="E28" i="1"/>
  <c r="E26" i="1"/>
  <c r="E21" i="1"/>
  <c r="B21" i="1"/>
  <c r="E19" i="1"/>
  <c r="E16" i="1"/>
  <c r="C39" i="6" l="1"/>
  <c r="G44" i="3"/>
  <c r="E9" i="1"/>
  <c r="E8" i="1"/>
  <c r="L39" i="1"/>
  <c r="L38" i="1"/>
  <c r="L7" i="1"/>
  <c r="U15" i="4"/>
  <c r="V15" i="1" s="1"/>
  <c r="U12" i="4"/>
  <c r="E9" i="4"/>
  <c r="E17" i="1"/>
  <c r="B17" i="1"/>
  <c r="E11" i="1"/>
  <c r="E12" i="1"/>
  <c r="E10" i="1"/>
  <c r="E7" i="1"/>
  <c r="B13" i="1"/>
  <c r="B12" i="1"/>
  <c r="B11" i="1"/>
  <c r="B10" i="1"/>
  <c r="B7" i="1"/>
  <c r="V10" i="1"/>
  <c r="V13" i="1"/>
  <c r="V25" i="1"/>
  <c r="L18" i="1"/>
  <c r="L36" i="4"/>
  <c r="L32" i="4"/>
  <c r="E26" i="4"/>
  <c r="L23" i="4"/>
  <c r="U26" i="4"/>
  <c r="L19" i="4"/>
  <c r="U22" i="4"/>
  <c r="U20" i="4"/>
  <c r="U19" i="4"/>
  <c r="E16" i="4"/>
  <c r="L11" i="4"/>
  <c r="U11" i="4"/>
  <c r="U9" i="4"/>
  <c r="U8" i="4"/>
  <c r="U26" i="2"/>
  <c r="V27" i="2" s="1"/>
  <c r="U22" i="2"/>
  <c r="V22" i="1" s="1"/>
  <c r="U20" i="2"/>
  <c r="U19" i="2"/>
  <c r="U11" i="2"/>
  <c r="V11" i="1" s="1"/>
  <c r="U9" i="2"/>
  <c r="U8" i="2"/>
  <c r="E25" i="2"/>
  <c r="L22" i="1"/>
  <c r="L36" i="2"/>
  <c r="L32" i="2"/>
  <c r="L23" i="2"/>
  <c r="L11" i="2"/>
  <c r="V12" i="1" l="1"/>
  <c r="V9" i="1"/>
  <c r="V19" i="1"/>
  <c r="V23" i="2"/>
  <c r="V8" i="1"/>
  <c r="W15" i="1" s="1"/>
  <c r="V20" i="1"/>
  <c r="V18" i="1"/>
  <c r="W23" i="1" s="1"/>
  <c r="E22" i="1"/>
  <c r="L24" i="4"/>
  <c r="E27" i="1"/>
  <c r="V26" i="1"/>
  <c r="W27" i="1" s="1"/>
  <c r="V27" i="4"/>
  <c r="E17" i="4"/>
  <c r="E27" i="4" s="1"/>
  <c r="V6" i="4" s="1"/>
  <c r="M19" i="1"/>
  <c r="V15" i="2"/>
  <c r="M32" i="1"/>
  <c r="V15" i="4"/>
  <c r="V23" i="4"/>
  <c r="M36" i="1"/>
  <c r="M11" i="1"/>
  <c r="L24" i="2"/>
  <c r="M23" i="1"/>
  <c r="K40" i="4" l="1"/>
  <c r="L41" i="4" s="1"/>
  <c r="L42" i="4" s="1"/>
  <c r="V16" i="4"/>
  <c r="V28" i="4" s="1"/>
  <c r="V30" i="4" s="1"/>
  <c r="M24" i="1"/>
  <c r="B32" i="1" l="1"/>
  <c r="B29" i="1"/>
  <c r="B31" i="1"/>
  <c r="B27" i="1"/>
  <c r="B28" i="1"/>
  <c r="E18" i="1"/>
  <c r="B19" i="1"/>
  <c r="B18" i="1"/>
  <c r="B16" i="1"/>
  <c r="E6" i="1"/>
  <c r="F14" i="1" s="1"/>
  <c r="B6" i="1"/>
  <c r="E16" i="2"/>
  <c r="F33" i="1" l="1"/>
  <c r="F23" i="1"/>
  <c r="F24" i="1" s="1"/>
  <c r="E26" i="2"/>
  <c r="K40" i="2" l="1"/>
  <c r="V6" i="2"/>
  <c r="F34" i="1"/>
  <c r="L41" i="2" l="1"/>
  <c r="L42" i="2" s="1"/>
  <c r="V16" i="2"/>
  <c r="V28" i="2" s="1"/>
  <c r="V30" i="2" s="1"/>
  <c r="W6" i="1" l="1"/>
  <c r="W16" i="1" s="1"/>
  <c r="W28" i="1" l="1"/>
  <c r="W30" i="1" s="1"/>
  <c r="L40" i="1"/>
  <c r="M41" i="1" l="1"/>
  <c r="M42" i="1" s="1"/>
  <c r="M46" i="1" s="1"/>
  <c r="C28" i="8"/>
  <c r="C9" i="6"/>
  <c r="C18" i="6" s="1"/>
</calcChain>
</file>

<file path=xl/sharedStrings.xml><?xml version="1.0" encoding="utf-8"?>
<sst xmlns="http://schemas.openxmlformats.org/spreadsheetml/2006/main" count="427" uniqueCount="160">
  <si>
    <t>Vine &amp; Branches</t>
  </si>
  <si>
    <t>Revenues</t>
  </si>
  <si>
    <t>Expenses</t>
  </si>
  <si>
    <t>Net Income</t>
  </si>
  <si>
    <t>Building Revenue</t>
  </si>
  <si>
    <t>Pinnacle Custom Home Builders</t>
  </si>
  <si>
    <t>Total Revenue</t>
  </si>
  <si>
    <t>Cost of Goods Sold</t>
  </si>
  <si>
    <t>Materials</t>
  </si>
  <si>
    <t>Supplies</t>
  </si>
  <si>
    <t>Equipment Rental</t>
  </si>
  <si>
    <t>Wages</t>
  </si>
  <si>
    <t>Depreciation Expense</t>
  </si>
  <si>
    <t>Payroll Tax Expense</t>
  </si>
  <si>
    <t>Total Cost of Goods Sold</t>
  </si>
  <si>
    <t>Gross Profit</t>
  </si>
  <si>
    <t>Contract Labor</t>
  </si>
  <si>
    <t>Contract Labor*</t>
  </si>
  <si>
    <t>*For the first year, since John did not know if the business would work, the workers agreed to be subcontractors. Beginning in year 2016, they will move to employees.</t>
  </si>
  <si>
    <t>Postage Expense</t>
  </si>
  <si>
    <t>Office Supplies Expense</t>
  </si>
  <si>
    <t>Office Rent Expense</t>
  </si>
  <si>
    <t>Insurance Expense</t>
  </si>
  <si>
    <t>Small Tools Expense</t>
  </si>
  <si>
    <t>Total Expenses</t>
  </si>
  <si>
    <t>Total Revenues</t>
  </si>
  <si>
    <t>For the Year Ended December 31, 2015</t>
  </si>
  <si>
    <t>For the Nine Month Ended December 31, 2015</t>
  </si>
  <si>
    <t>Assets</t>
  </si>
  <si>
    <t>Cash</t>
  </si>
  <si>
    <t>Accounts Receivable</t>
  </si>
  <si>
    <t>Prepaid Expenses</t>
  </si>
  <si>
    <t>Inventory</t>
  </si>
  <si>
    <t>Total Current Assets</t>
  </si>
  <si>
    <t>Current Assets</t>
  </si>
  <si>
    <t>Property, Plant &amp; Equipment</t>
  </si>
  <si>
    <t>Computers &amp; Software</t>
  </si>
  <si>
    <t>Furniture &amp; Fixtures</t>
  </si>
  <si>
    <t>Machinery &amp; Equipment</t>
  </si>
  <si>
    <t>Total Property, Plant, &amp; Equipment</t>
  </si>
  <si>
    <t>Other Assets</t>
  </si>
  <si>
    <t>Total Other Assets</t>
  </si>
  <si>
    <t>Total Assets</t>
  </si>
  <si>
    <t>Current Liabilities</t>
  </si>
  <si>
    <t>Accounts Payable</t>
  </si>
  <si>
    <t>Payroll Tax Payable</t>
  </si>
  <si>
    <t>Sales Tax Payable</t>
  </si>
  <si>
    <t>Total Current Liabilities</t>
  </si>
  <si>
    <t>Notes Payable</t>
  </si>
  <si>
    <t>Line of Credit</t>
  </si>
  <si>
    <t>Total Long Term Liabilities</t>
  </si>
  <si>
    <t>Owners' Capital</t>
  </si>
  <si>
    <t>Liabilities &amp; Owners' Capital</t>
  </si>
  <si>
    <t>Peters, J., Capital</t>
  </si>
  <si>
    <t>Peters, M., Capital</t>
  </si>
  <si>
    <t>Net Income/Retained Earnings</t>
  </si>
  <si>
    <t>Total Owners' Capital</t>
  </si>
  <si>
    <t>Total Liabilities &amp; Capital</t>
  </si>
  <si>
    <t>For the Nine Months Ended December 31, 2015</t>
  </si>
  <si>
    <t>Consolidated Statement of Operations (Accrual Basis)</t>
  </si>
  <si>
    <t>Statement of Financial Position (Accrual Basis)</t>
  </si>
  <si>
    <t>Statement of Operations (Accrual Basis)</t>
  </si>
  <si>
    <t>Depreciation Expense^</t>
  </si>
  <si>
    <t>^Because they are using the accrual basis, and because they are showing a net income, Pinnacle has chosen to use Section 179 depreciation. This allows them to fully depreciate all new PPE in the first year.</t>
  </si>
  <si>
    <t>Accumulated Depreciation</t>
  </si>
  <si>
    <t>Cash Flows from Operating Activities</t>
  </si>
  <si>
    <t>Add(deduct) noncash effects on operating income</t>
  </si>
  <si>
    <t>Depreciation expense</t>
  </si>
  <si>
    <t>Increase in accounts receivable</t>
  </si>
  <si>
    <t>Increase in prepaid expenses</t>
  </si>
  <si>
    <t>Increase in accounts payable</t>
  </si>
  <si>
    <t>Net cash provided by operating activities</t>
  </si>
  <si>
    <t>Cash Flows from Investing Activities</t>
  </si>
  <si>
    <t>Purchase of computers and software</t>
  </si>
  <si>
    <t>Purchase of furniture and fixtures</t>
  </si>
  <si>
    <t>Purchase of machinery and equipment</t>
  </si>
  <si>
    <t>Net cash used by investing activities</t>
  </si>
  <si>
    <t>Cash Flows from Financing Activities</t>
  </si>
  <si>
    <t>Proceeds from owners' investments</t>
  </si>
  <si>
    <t>Net cash provided by owners' investments</t>
  </si>
  <si>
    <t>Net Increase in Cash</t>
  </si>
  <si>
    <t>Cash Balance at March 1, 2015</t>
  </si>
  <si>
    <t>Cash Balance at December 31, 2015</t>
  </si>
  <si>
    <t>Statement of Cash Flows (Indirect Approach)</t>
  </si>
  <si>
    <t>Small Tool Sales</t>
  </si>
  <si>
    <t>Material &amp; Supplies Sales</t>
  </si>
  <si>
    <t>Vendor Compensation</t>
  </si>
  <si>
    <t>Land</t>
  </si>
  <si>
    <t>Building</t>
  </si>
  <si>
    <t>Purchase of building</t>
  </si>
  <si>
    <t>Purchase of land</t>
  </si>
  <si>
    <t>Proceeds from line of credit</t>
  </si>
  <si>
    <t>Increase in payroll tax payable</t>
  </si>
  <si>
    <t>Increase in sales tax payable</t>
  </si>
  <si>
    <t>Increase in inventory</t>
  </si>
  <si>
    <t>Sunflower Designs</t>
  </si>
  <si>
    <t>Designing Revenue</t>
  </si>
  <si>
    <t>For the One Month Ended December 31, 2015</t>
  </si>
  <si>
    <t>Furnishing Sales</t>
  </si>
  <si>
    <t>Unearned Revenue</t>
  </si>
  <si>
    <t>Long Term Liabilities</t>
  </si>
  <si>
    <t>Increase in unearned revenue</t>
  </si>
  <si>
    <t>Small Tool Expense</t>
  </si>
  <si>
    <t>Retained Earnings</t>
  </si>
  <si>
    <t>COGS: Material &amp; Supplies</t>
  </si>
  <si>
    <t>COGS: Small Tools</t>
  </si>
  <si>
    <t>COGS: Wages</t>
  </si>
  <si>
    <t>Vendor Compensation Revenue</t>
  </si>
  <si>
    <t>Tool Rental Revenue</t>
  </si>
  <si>
    <t>Debit</t>
  </si>
  <si>
    <t>Credit</t>
  </si>
  <si>
    <t>WALNUT GROVE</t>
  </si>
  <si>
    <t>TRIAL BALANCE</t>
  </si>
  <si>
    <t>For the Year Ended December 31, 2016</t>
  </si>
  <si>
    <t>Interest Expense</t>
  </si>
  <si>
    <t>Sales</t>
  </si>
  <si>
    <t>Income Statement</t>
  </si>
  <si>
    <t>Net income</t>
  </si>
  <si>
    <t xml:space="preserve">Gross Profit </t>
  </si>
  <si>
    <t xml:space="preserve"> </t>
  </si>
  <si>
    <t>Custom Cabinet Sales</t>
  </si>
  <si>
    <t xml:space="preserve">COGS: Custom Cabinet </t>
  </si>
  <si>
    <t>Interest Payable</t>
  </si>
  <si>
    <t xml:space="preserve">Sales </t>
  </si>
  <si>
    <t>Pre-tax Income</t>
  </si>
  <si>
    <t>Income Tax Expense</t>
  </si>
  <si>
    <t>Balance Sheet</t>
  </si>
  <si>
    <t>For the Year Ended December 31, 2017</t>
  </si>
  <si>
    <t>Total Liabilities</t>
  </si>
  <si>
    <t>Income Tax Payable</t>
  </si>
  <si>
    <t xml:space="preserve">Income Tax </t>
  </si>
  <si>
    <t>Total Liabilities and Equity</t>
  </si>
  <si>
    <t>Statement of Cash Flows</t>
  </si>
  <si>
    <t>Cash flows from operation activities</t>
  </si>
  <si>
    <t>Income statement items not affecting cash</t>
  </si>
  <si>
    <t>Changes in current assets and liabilities</t>
  </si>
  <si>
    <t>Long-term Liabilities</t>
  </si>
  <si>
    <t>Total Current liabilities</t>
  </si>
  <si>
    <t>Total Long-term liabilities</t>
  </si>
  <si>
    <t>Increase in interest payable</t>
  </si>
  <si>
    <t>Increase in Sales tax payable</t>
  </si>
  <si>
    <t>Increase unearned revenue</t>
  </si>
  <si>
    <t>Increase in income tax payable</t>
  </si>
  <si>
    <t>Cash flows from investing activities</t>
  </si>
  <si>
    <t>Cash paid for purchase of new equipment</t>
  </si>
  <si>
    <t>Cash flows from financing activities</t>
  </si>
  <si>
    <t>Decrease in payroll tax payable</t>
  </si>
  <si>
    <t>Notes payable</t>
  </si>
  <si>
    <t>Net cash provided by financing activities</t>
  </si>
  <si>
    <t>Net increase in cash</t>
  </si>
  <si>
    <t>Cash balance at prior year-end</t>
  </si>
  <si>
    <t>Cash balance at current year-end</t>
  </si>
  <si>
    <t>Depreciation</t>
  </si>
  <si>
    <t xml:space="preserve">Pre-tax income </t>
  </si>
  <si>
    <t>Income tax</t>
  </si>
  <si>
    <t>Adjustments to reconcile net income to net cash provided by operation activities</t>
  </si>
  <si>
    <t>Long-term Assets</t>
  </si>
  <si>
    <t>Total Long-term Assets</t>
  </si>
  <si>
    <t xml:space="preserve"> Equity</t>
  </si>
  <si>
    <t>Total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</si>
</sst>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8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8">
    <xf numFmtId="0" fontId="0" fillId="0" borderId="0" xfId="0"/>
    <xf numFmtId="164" fontId="0" fillId="0" borderId="0" xfId="1" applyNumberFormat="1" applyFont="1"/>
    <xf numFmtId="164" fontId="0" fillId="0" borderId="1" xfId="1" applyNumberFormat="1" applyFont="1" applyBorder="1"/>
    <xf numFmtId="0" fontId="0" fillId="0" borderId="0" xfId="0" applyAlignment="1">
      <alignment wrapText="1"/>
    </xf>
    <xf numFmtId="0" fontId="2" fillId="0" borderId="0" xfId="0" applyFont="1"/>
    <xf numFmtId="164" fontId="2" fillId="0" borderId="0" xfId="1" applyNumberFormat="1" applyFont="1"/>
    <xf numFmtId="164" fontId="2" fillId="0" borderId="1" xfId="1" applyNumberFormat="1" applyFont="1" applyBorder="1"/>
    <xf numFmtId="164" fontId="1" fillId="0" borderId="1" xfId="1" applyNumberFormat="1" applyFont="1" applyBorder="1"/>
    <xf numFmtId="0" fontId="0" fillId="0" borderId="0" xfId="0" applyFont="1"/>
    <xf numFmtId="0" fontId="2" fillId="0" borderId="0" xfId="0" applyFont="1" applyAlignment="1"/>
    <xf numFmtId="164" fontId="2" fillId="0" borderId="2" xfId="1" applyNumberFormat="1" applyFont="1" applyBorder="1"/>
    <xf numFmtId="164" fontId="0" fillId="0" borderId="0" xfId="0" applyNumberFormat="1"/>
    <xf numFmtId="164" fontId="0" fillId="0" borderId="0" xfId="1" applyNumberFormat="1" applyFont="1" applyBorder="1"/>
    <xf numFmtId="164" fontId="0" fillId="0" borderId="2" xfId="1" applyNumberFormat="1" applyFont="1" applyBorder="1"/>
    <xf numFmtId="0" fontId="0" fillId="0" borderId="0" xfId="0" applyAlignment="1"/>
    <xf numFmtId="164" fontId="0" fillId="0" borderId="0" xfId="1" applyNumberFormat="1" applyFont="1" applyAlignment="1"/>
    <xf numFmtId="0" fontId="0" fillId="0" borderId="0" xfId="0" applyFill="1" applyBorder="1"/>
    <xf numFmtId="0" fontId="0" fillId="0" borderId="0" xfId="0" applyFill="1"/>
    <xf numFmtId="0" fontId="2" fillId="0" borderId="1" xfId="0" applyFont="1" applyFill="1" applyBorder="1" applyAlignment="1">
      <alignment horizontal="center"/>
    </xf>
    <xf numFmtId="164" fontId="0" fillId="0" borderId="0" xfId="1" applyNumberFormat="1" applyFont="1" applyFill="1" applyBorder="1"/>
    <xf numFmtId="164" fontId="0" fillId="0" borderId="2" xfId="1" applyNumberFormat="1" applyFont="1" applyFill="1" applyBorder="1"/>
    <xf numFmtId="164" fontId="0" fillId="0" borderId="0" xfId="0" applyNumberFormat="1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0" xfId="0" applyFill="1" applyBorder="1" applyAlignment="1">
      <alignment horizontal="left" indent="1"/>
    </xf>
    <xf numFmtId="0" fontId="0" fillId="0" borderId="0" xfId="0" applyFill="1" applyBorder="1" applyAlignment="1">
      <alignment horizontal="left" indent="2"/>
    </xf>
    <xf numFmtId="0" fontId="2" fillId="0" borderId="0" xfId="0" applyFont="1" applyFill="1" applyBorder="1" applyAlignment="1">
      <alignment horizontal="left"/>
    </xf>
    <xf numFmtId="168" fontId="0" fillId="0" borderId="0" xfId="2" applyNumberFormat="1" applyFont="1"/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168" fontId="0" fillId="0" borderId="0" xfId="0" applyNumberFormat="1"/>
    <xf numFmtId="168" fontId="0" fillId="0" borderId="1" xfId="0" applyNumberFormat="1" applyBorder="1"/>
    <xf numFmtId="0" fontId="0" fillId="0" borderId="0" xfId="0" applyFill="1" applyBorder="1" applyAlignment="1">
      <alignment horizontal="left" indent="13"/>
    </xf>
    <xf numFmtId="0" fontId="0" fillId="0" borderId="0" xfId="0" applyAlignment="1">
      <alignment horizontal="left" indent="11"/>
    </xf>
    <xf numFmtId="0" fontId="0" fillId="0" borderId="0" xfId="0" applyAlignment="1">
      <alignment horizontal="left" indent="13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 indent="7"/>
    </xf>
    <xf numFmtId="0" fontId="0" fillId="0" borderId="0" xfId="0" applyFont="1" applyAlignment="1">
      <alignment horizontal="left" indent="15"/>
    </xf>
    <xf numFmtId="168" fontId="0" fillId="0" borderId="1" xfId="2" applyNumberFormat="1" applyFont="1" applyBorder="1"/>
    <xf numFmtId="168" fontId="0" fillId="0" borderId="2" xfId="0" applyNumberFormat="1" applyBorder="1"/>
    <xf numFmtId="0" fontId="0" fillId="2" borderId="0" xfId="0" applyFill="1"/>
    <xf numFmtId="10" fontId="0" fillId="0" borderId="0" xfId="3" applyNumberFormat="1" applyFont="1"/>
    <xf numFmtId="0" fontId="0" fillId="0" borderId="0" xfId="0" quotePrefix="1"/>
    <xf numFmtId="0" fontId="2" fillId="0" borderId="0" xfId="0" applyFont="1" applyAlignment="1">
      <alignment horizontal="left" indent="15"/>
    </xf>
    <xf numFmtId="0" fontId="0" fillId="0" borderId="0" xfId="0" applyFill="1" applyBorder="1" applyAlignment="1">
      <alignment horizontal="left" indent="15"/>
    </xf>
    <xf numFmtId="0" fontId="0" fillId="0" borderId="0" xfId="0" applyFill="1" applyBorder="1" applyAlignment="1">
      <alignment horizontal="left" indent="16"/>
    </xf>
    <xf numFmtId="0" fontId="2" fillId="0" borderId="0" xfId="0" applyFont="1" applyFill="1" applyBorder="1" applyAlignment="1">
      <alignment horizontal="left" indent="11"/>
    </xf>
    <xf numFmtId="0" fontId="2" fillId="0" borderId="0" xfId="0" applyFont="1" applyFill="1" applyBorder="1" applyAlignment="1">
      <alignment horizontal="left" indent="16"/>
    </xf>
    <xf numFmtId="0" fontId="2" fillId="0" borderId="0" xfId="0" applyFont="1" applyFill="1" applyBorder="1" applyAlignment="1">
      <alignment horizontal="left" indent="19"/>
    </xf>
    <xf numFmtId="0" fontId="2" fillId="0" borderId="0" xfId="0" applyFont="1" applyFill="1" applyBorder="1" applyAlignment="1">
      <alignment horizontal="left" indent="21"/>
    </xf>
    <xf numFmtId="0" fontId="2" fillId="0" borderId="0" xfId="0" applyFont="1" applyAlignment="1">
      <alignment horizontal="left"/>
    </xf>
    <xf numFmtId="168" fontId="2" fillId="0" borderId="0" xfId="0" applyNumberFormat="1" applyFont="1" applyFill="1" applyAlignment="1"/>
    <xf numFmtId="168" fontId="2" fillId="0" borderId="0" xfId="0" applyNumberFormat="1" applyFont="1" applyFill="1" applyBorder="1" applyAlignment="1"/>
    <xf numFmtId="43" fontId="0" fillId="0" borderId="0" xfId="0" applyNumberFormat="1" applyFill="1"/>
    <xf numFmtId="168" fontId="0" fillId="0" borderId="2" xfId="2" applyNumberFormat="1" applyFont="1" applyBorder="1"/>
    <xf numFmtId="41" fontId="0" fillId="0" borderId="0" xfId="2" applyNumberFormat="1" applyFont="1"/>
    <xf numFmtId="41" fontId="0" fillId="0" borderId="1" xfId="2" applyNumberFormat="1" applyFont="1" applyBorder="1"/>
    <xf numFmtId="41" fontId="0" fillId="0" borderId="1" xfId="0" applyNumberFormat="1" applyBorder="1"/>
    <xf numFmtId="41" fontId="0" fillId="0" borderId="0" xfId="0" applyNumberFormat="1"/>
    <xf numFmtId="164" fontId="0" fillId="0" borderId="3" xfId="1" applyNumberFormat="1" applyFont="1" applyBorder="1"/>
    <xf numFmtId="41" fontId="0" fillId="0" borderId="3" xfId="0" applyNumberFormat="1" applyBorder="1"/>
    <xf numFmtId="168" fontId="2" fillId="0" borderId="2" xfId="2" applyNumberFormat="1" applyFont="1" applyBorder="1"/>
    <xf numFmtId="164" fontId="2" fillId="0" borderId="1" xfId="1" applyNumberFormat="1" applyFont="1" applyFill="1" applyBorder="1" applyAlignment="1">
      <alignment horizontal="center"/>
    </xf>
    <xf numFmtId="164" fontId="0" fillId="0" borderId="0" xfId="1" applyNumberFormat="1" applyFont="1" applyFill="1"/>
    <xf numFmtId="164" fontId="0" fillId="0" borderId="1" xfId="1" applyNumberFormat="1" applyFont="1" applyFill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6"/>
  <sheetViews>
    <sheetView zoomScaleNormal="100" workbookViewId="0">
      <selection activeCell="G12" sqref="G12"/>
    </sheetView>
  </sheetViews>
  <sheetFormatPr defaultRowHeight="15" x14ac:dyDescent="0.25"/>
  <cols>
    <col min="1" max="2" width="2.7109375" customWidth="1"/>
    <col min="3" max="4" width="9.7109375" customWidth="1"/>
    <col min="5" max="6" width="12.5703125" style="1" bestFit="1" customWidth="1"/>
    <col min="8" max="10" width="2.7109375" customWidth="1"/>
    <col min="11" max="11" width="20.7109375" customWidth="1"/>
    <col min="12" max="12" width="11.140625" style="1" bestFit="1" customWidth="1"/>
    <col min="13" max="13" width="11.42578125" style="1" bestFit="1" customWidth="1"/>
    <col min="15" max="17" width="2.7109375" customWidth="1"/>
    <col min="22" max="23" width="11.7109375" style="1" bestFit="1" customWidth="1"/>
  </cols>
  <sheetData>
    <row r="1" spans="1:23" x14ac:dyDescent="0.25">
      <c r="A1" s="22" t="s">
        <v>0</v>
      </c>
      <c r="B1" s="22"/>
      <c r="C1" s="22"/>
      <c r="D1" s="22"/>
      <c r="E1" s="22"/>
      <c r="F1" s="22"/>
      <c r="H1" s="22" t="s">
        <v>0</v>
      </c>
      <c r="I1" s="22"/>
      <c r="J1" s="22"/>
      <c r="K1" s="22"/>
      <c r="L1" s="22"/>
      <c r="M1" s="22"/>
      <c r="O1" s="22" t="s">
        <v>0</v>
      </c>
      <c r="P1" s="22"/>
      <c r="Q1" s="22"/>
      <c r="R1" s="22"/>
      <c r="S1" s="22"/>
      <c r="T1" s="22"/>
      <c r="U1" s="22"/>
      <c r="V1" s="22"/>
      <c r="W1" s="22"/>
    </row>
    <row r="2" spans="1:23" x14ac:dyDescent="0.25">
      <c r="A2" s="22" t="s">
        <v>59</v>
      </c>
      <c r="B2" s="22"/>
      <c r="C2" s="22"/>
      <c r="D2" s="22"/>
      <c r="E2" s="22"/>
      <c r="F2" s="22"/>
      <c r="H2" s="22" t="s">
        <v>60</v>
      </c>
      <c r="I2" s="22"/>
      <c r="J2" s="22"/>
      <c r="K2" s="22"/>
      <c r="L2" s="22"/>
      <c r="M2" s="22"/>
      <c r="O2" s="22" t="s">
        <v>83</v>
      </c>
      <c r="P2" s="22"/>
      <c r="Q2" s="22"/>
      <c r="R2" s="22"/>
      <c r="S2" s="22"/>
      <c r="T2" s="22"/>
      <c r="U2" s="22"/>
      <c r="V2" s="22"/>
      <c r="W2" s="22"/>
    </row>
    <row r="3" spans="1:23" x14ac:dyDescent="0.25">
      <c r="A3" s="22" t="s">
        <v>27</v>
      </c>
      <c r="B3" s="22"/>
      <c r="C3" s="22"/>
      <c r="D3" s="22"/>
      <c r="E3" s="22"/>
      <c r="F3" s="22"/>
      <c r="H3" s="22" t="s">
        <v>26</v>
      </c>
      <c r="I3" s="22"/>
      <c r="J3" s="22"/>
      <c r="K3" s="22"/>
      <c r="L3" s="22"/>
      <c r="M3" s="22"/>
      <c r="O3" s="22" t="s">
        <v>58</v>
      </c>
      <c r="P3" s="22"/>
      <c r="Q3" s="22"/>
      <c r="R3" s="22"/>
      <c r="S3" s="22"/>
      <c r="T3" s="22"/>
      <c r="U3" s="22"/>
      <c r="V3" s="22"/>
      <c r="W3" s="22"/>
    </row>
    <row r="5" spans="1:23" x14ac:dyDescent="0.25">
      <c r="A5" s="4" t="s">
        <v>1</v>
      </c>
      <c r="H5" s="22" t="s">
        <v>28</v>
      </c>
      <c r="I5" s="22"/>
      <c r="J5" s="22"/>
      <c r="K5" s="22"/>
      <c r="L5" s="22"/>
      <c r="M5" s="22"/>
      <c r="O5" s="4" t="s">
        <v>65</v>
      </c>
    </row>
    <row r="6" spans="1:23" x14ac:dyDescent="0.25">
      <c r="B6" t="str">
        <f>+'Pinnacle Custom Home Builders'!B6</f>
        <v>Building Revenue</v>
      </c>
      <c r="E6" s="1">
        <f>+'Pinnacle Custom Home Builders'!D6</f>
        <v>1185000</v>
      </c>
      <c r="H6" s="4" t="s">
        <v>34</v>
      </c>
      <c r="P6" t="s">
        <v>3</v>
      </c>
      <c r="W6" s="1" t="e">
        <f>+'Pinnacle Custom Home Builders'!V6+'Walnut Grove'!#REF!+'Sunflower Designs'!V6</f>
        <v>#REF!</v>
      </c>
    </row>
    <row r="7" spans="1:23" x14ac:dyDescent="0.25">
      <c r="B7" t="e">
        <f>+'Walnut Grove'!#REF!</f>
        <v>#REF!</v>
      </c>
      <c r="E7" s="1" t="e">
        <f>+'Walnut Grove'!#REF!</f>
        <v>#REF!</v>
      </c>
      <c r="I7" t="s">
        <v>29</v>
      </c>
      <c r="L7" s="1" t="e">
        <f>+'Pinnacle Custom Home Builders'!K7+'Walnut Grove'!#REF!+'Sunflower Designs'!K7</f>
        <v>#REF!</v>
      </c>
      <c r="P7" t="s">
        <v>66</v>
      </c>
    </row>
    <row r="8" spans="1:23" x14ac:dyDescent="0.25">
      <c r="B8" t="s">
        <v>96</v>
      </c>
      <c r="E8" s="1">
        <f>+'Sunflower Designs'!D6</f>
        <v>0</v>
      </c>
      <c r="I8" t="s">
        <v>30</v>
      </c>
      <c r="L8" s="1" t="e">
        <f>+'Pinnacle Custom Home Builders'!K8+'Walnut Grove'!#REF!+'Sunflower Designs'!K8</f>
        <v>#REF!</v>
      </c>
      <c r="Q8" t="s">
        <v>67</v>
      </c>
      <c r="V8" s="1" t="e">
        <f>+'Pinnacle Custom Home Builders'!U8+'Walnut Grove'!#REF!+'Sunflower Designs'!U8</f>
        <v>#REF!</v>
      </c>
    </row>
    <row r="9" spans="1:23" x14ac:dyDescent="0.25">
      <c r="B9" t="s">
        <v>98</v>
      </c>
      <c r="E9" s="1">
        <f>+'Sunflower Designs'!D8</f>
        <v>0</v>
      </c>
      <c r="I9" t="s">
        <v>32</v>
      </c>
      <c r="L9" s="1" t="e">
        <f>+'Pinnacle Custom Home Builders'!K9+'Walnut Grove'!#REF!+'Sunflower Designs'!K9</f>
        <v>#REF!</v>
      </c>
      <c r="Q9" t="s">
        <v>68</v>
      </c>
      <c r="V9" s="1" t="e">
        <f>+'Pinnacle Custom Home Builders'!U9+'Walnut Grove'!#REF!+'Sunflower Designs'!U9</f>
        <v>#REF!</v>
      </c>
    </row>
    <row r="10" spans="1:23" x14ac:dyDescent="0.25">
      <c r="B10" t="e">
        <f>+'Walnut Grove'!#REF!</f>
        <v>#REF!</v>
      </c>
      <c r="E10" s="12" t="e">
        <f>+'Walnut Grove'!#REF!</f>
        <v>#REF!</v>
      </c>
      <c r="I10" t="s">
        <v>31</v>
      </c>
      <c r="L10" s="2" t="e">
        <f>+'Pinnacle Custom Home Builders'!K10+'Walnut Grove'!#REF!+'Sunflower Designs'!K10</f>
        <v>#REF!</v>
      </c>
      <c r="Q10" t="s">
        <v>94</v>
      </c>
      <c r="V10" s="1" t="e">
        <f>+'Pinnacle Custom Home Builders'!U10+'Walnut Grove'!#REF!+'Sunflower Designs'!U10</f>
        <v>#REF!</v>
      </c>
    </row>
    <row r="11" spans="1:23" x14ac:dyDescent="0.25">
      <c r="B11" t="e">
        <f>+'Walnut Grove'!#REF!</f>
        <v>#REF!</v>
      </c>
      <c r="E11" s="12" t="e">
        <f>+'Walnut Grove'!#REF!</f>
        <v>#REF!</v>
      </c>
      <c r="J11" s="4" t="s">
        <v>33</v>
      </c>
      <c r="M11" s="5" t="e">
        <f>SUM(L7:L10)</f>
        <v>#REF!</v>
      </c>
      <c r="Q11" t="s">
        <v>69</v>
      </c>
      <c r="V11" s="1" t="e">
        <f>+'Pinnacle Custom Home Builders'!U11+'Walnut Grove'!#REF!+'Sunflower Designs'!U11</f>
        <v>#REF!</v>
      </c>
    </row>
    <row r="12" spans="1:23" x14ac:dyDescent="0.25">
      <c r="B12" t="e">
        <f>+'Walnut Grove'!#REF!</f>
        <v>#REF!</v>
      </c>
      <c r="E12" s="12" t="e">
        <f>+'Walnut Grove'!#REF!</f>
        <v>#REF!</v>
      </c>
      <c r="H12" s="4" t="s">
        <v>35</v>
      </c>
      <c r="Q12" t="s">
        <v>70</v>
      </c>
      <c r="V12" s="1" t="e">
        <f>+'Pinnacle Custom Home Builders'!U12+'Walnut Grove'!#REF!+'Sunflower Designs'!U12</f>
        <v>#REF!</v>
      </c>
    </row>
    <row r="13" spans="1:23" x14ac:dyDescent="0.25">
      <c r="B13" t="e">
        <f>+'Walnut Grove'!#REF!</f>
        <v>#REF!</v>
      </c>
      <c r="E13" s="2" t="e">
        <f>+'Pinnacle Custom Home Builders'!D7+'Walnut Grove'!#REF!+'Sunflower Designs'!D8</f>
        <v>#REF!</v>
      </c>
      <c r="I13" t="s">
        <v>88</v>
      </c>
      <c r="L13" s="1" t="e">
        <f>+'Pinnacle Custom Home Builders'!K13+'Walnut Grove'!#REF!+'Sunflower Designs'!K13</f>
        <v>#REF!</v>
      </c>
      <c r="Q13" t="s">
        <v>92</v>
      </c>
      <c r="V13" s="1" t="e">
        <f>+'Pinnacle Custom Home Builders'!U13+'Walnut Grove'!#REF!+'Sunflower Designs'!U13</f>
        <v>#REF!</v>
      </c>
    </row>
    <row r="14" spans="1:23" x14ac:dyDescent="0.25">
      <c r="B14" s="4" t="s">
        <v>25</v>
      </c>
      <c r="F14" s="1" t="e">
        <f>SUM(E6:E13)</f>
        <v>#REF!</v>
      </c>
      <c r="I14" t="s">
        <v>36</v>
      </c>
      <c r="L14" s="1" t="e">
        <f>+'Pinnacle Custom Home Builders'!K14+'Walnut Grove'!#REF!+'Sunflower Designs'!K14</f>
        <v>#REF!</v>
      </c>
      <c r="Q14" t="s">
        <v>93</v>
      </c>
      <c r="V14" s="12" t="e">
        <f>+'Pinnacle Custom Home Builders'!U14+'Walnut Grove'!#REF!+'Sunflower Designs'!U14</f>
        <v>#REF!</v>
      </c>
    </row>
    <row r="15" spans="1:23" x14ac:dyDescent="0.25">
      <c r="A15" s="4" t="s">
        <v>7</v>
      </c>
      <c r="I15" t="s">
        <v>37</v>
      </c>
      <c r="L15" s="1" t="e">
        <f>+'Pinnacle Custom Home Builders'!K15+'Walnut Grove'!#REF!+'Sunflower Designs'!K15</f>
        <v>#REF!</v>
      </c>
      <c r="Q15" t="s">
        <v>101</v>
      </c>
      <c r="V15" s="2" t="e">
        <f>+'Pinnacle Custom Home Builders'!U15+'Walnut Grove'!#REF!+'Sunflower Designs'!U15</f>
        <v>#REF!</v>
      </c>
      <c r="W15" s="2" t="e">
        <f>SUM(V8:V15)</f>
        <v>#REF!</v>
      </c>
    </row>
    <row r="16" spans="1:23" x14ac:dyDescent="0.25">
      <c r="B16" t="str">
        <f>+'Pinnacle Custom Home Builders'!B10</f>
        <v>Contract Labor*</v>
      </c>
      <c r="E16" s="1">
        <f>+'Pinnacle Custom Home Builders'!D10+'Sunflower Designs'!D12</f>
        <v>228750</v>
      </c>
      <c r="I16" t="s">
        <v>87</v>
      </c>
      <c r="L16" s="1" t="e">
        <f>+'Pinnacle Custom Home Builders'!K16+'Walnut Grove'!#REF!+'Sunflower Designs'!K16</f>
        <v>#REF!</v>
      </c>
      <c r="R16" t="s">
        <v>71</v>
      </c>
      <c r="W16" s="1" t="e">
        <f>+W6+W15</f>
        <v>#REF!</v>
      </c>
    </row>
    <row r="17" spans="1:23" x14ac:dyDescent="0.25">
      <c r="B17" t="e">
        <f>+'Walnut Grove'!#REF!</f>
        <v>#REF!</v>
      </c>
      <c r="E17" s="1" t="e">
        <f>+'Walnut Grove'!#REF!</f>
        <v>#REF!</v>
      </c>
      <c r="I17" t="s">
        <v>38</v>
      </c>
      <c r="L17" s="12" t="e">
        <f>+'Pinnacle Custom Home Builders'!K17+'Walnut Grove'!#REF!+'Sunflower Designs'!K17</f>
        <v>#REF!</v>
      </c>
      <c r="O17" s="4" t="s">
        <v>72</v>
      </c>
    </row>
    <row r="18" spans="1:23" x14ac:dyDescent="0.25">
      <c r="B18" t="str">
        <f>+'Pinnacle Custom Home Builders'!B11</f>
        <v>Equipment Rental</v>
      </c>
      <c r="E18" s="1">
        <f>+'Pinnacle Custom Home Builders'!D11</f>
        <v>176900</v>
      </c>
      <c r="I18" t="s">
        <v>64</v>
      </c>
      <c r="L18" s="2" t="e">
        <f>'Pinnacle Custom Home Builders'!K18+'Walnut Grove'!#REF!+'Sunflower Designs'!K18</f>
        <v>#REF!</v>
      </c>
      <c r="P18" t="s">
        <v>89</v>
      </c>
      <c r="V18" s="1" t="e">
        <f>'Pinnacle Custom Home Builders'!U18+'Walnut Grove'!#REF!+'Sunflower Designs'!U18</f>
        <v>#REF!</v>
      </c>
    </row>
    <row r="19" spans="1:23" x14ac:dyDescent="0.25">
      <c r="B19" t="str">
        <f>+'Pinnacle Custom Home Builders'!B12</f>
        <v>Materials</v>
      </c>
      <c r="E19" s="1" t="e">
        <f>+'Pinnacle Custom Home Builders'!D12+'Walnut Grove'!#REF!+'Sunflower Designs'!D13</f>
        <v>#REF!</v>
      </c>
      <c r="J19" s="4" t="s">
        <v>39</v>
      </c>
      <c r="M19" s="5" t="e">
        <f>SUM(L13:L18)</f>
        <v>#REF!</v>
      </c>
      <c r="P19" t="s">
        <v>73</v>
      </c>
      <c r="V19" s="1" t="e">
        <f>+'Pinnacle Custom Home Builders'!U19+'Walnut Grove'!#REF!+'Sunflower Designs'!U19</f>
        <v>#REF!</v>
      </c>
    </row>
    <row r="20" spans="1:23" x14ac:dyDescent="0.25">
      <c r="B20" t="s">
        <v>9</v>
      </c>
      <c r="E20" s="1">
        <f>+'Pinnacle Custom Home Builders'!D13+'Sunflower Designs'!D14</f>
        <v>46000</v>
      </c>
      <c r="H20" s="4" t="s">
        <v>40</v>
      </c>
      <c r="P20" t="s">
        <v>74</v>
      </c>
      <c r="V20" s="1" t="e">
        <f>+'Pinnacle Custom Home Builders'!U20+'Walnut Grove'!#REF!+'Sunflower Designs'!U20</f>
        <v>#REF!</v>
      </c>
    </row>
    <row r="21" spans="1:23" x14ac:dyDescent="0.25">
      <c r="B21" t="e">
        <f>+'Walnut Grove'!#REF!</f>
        <v>#REF!</v>
      </c>
      <c r="E21" s="1" t="e">
        <f>+'Walnut Grove'!#REF!</f>
        <v>#REF!</v>
      </c>
      <c r="P21" t="s">
        <v>90</v>
      </c>
      <c r="V21" s="1" t="e">
        <f>+'Pinnacle Custom Home Builders'!U21+'Walnut Grove'!#REF!+'Sunflower Designs'!U21</f>
        <v>#REF!</v>
      </c>
    </row>
    <row r="22" spans="1:23" x14ac:dyDescent="0.25">
      <c r="B22" t="s">
        <v>11</v>
      </c>
      <c r="E22" s="2" t="e">
        <f>+'Pinnacle Custom Home Builders'!D14+'Walnut Grove'!#REF!+'Sunflower Designs'!D15</f>
        <v>#REF!</v>
      </c>
      <c r="L22" s="2">
        <f>+'Pinnacle Custom Home Builders'!K22</f>
        <v>0</v>
      </c>
      <c r="P22" t="s">
        <v>75</v>
      </c>
      <c r="V22" s="2" t="e">
        <f>+'Pinnacle Custom Home Builders'!U22+'Walnut Grove'!#REF!+'Sunflower Designs'!U22</f>
        <v>#REF!</v>
      </c>
    </row>
    <row r="23" spans="1:23" x14ac:dyDescent="0.25">
      <c r="B23" s="4" t="s">
        <v>14</v>
      </c>
      <c r="F23" s="2" t="e">
        <f>SUM(E16:E22)</f>
        <v>#REF!</v>
      </c>
      <c r="J23" s="4" t="s">
        <v>41</v>
      </c>
      <c r="M23" s="6">
        <f>SUM(L21:L22)</f>
        <v>0</v>
      </c>
      <c r="N23" s="9"/>
      <c r="R23" t="s">
        <v>76</v>
      </c>
      <c r="W23" s="1" t="e">
        <f>SUM(V18:V22)</f>
        <v>#REF!</v>
      </c>
    </row>
    <row r="24" spans="1:23" ht="15.75" thickBot="1" x14ac:dyDescent="0.3">
      <c r="A24" s="4" t="s">
        <v>15</v>
      </c>
      <c r="F24" s="5" t="e">
        <f>+F14-F23</f>
        <v>#REF!</v>
      </c>
      <c r="J24" s="4" t="s">
        <v>42</v>
      </c>
      <c r="M24" s="10" t="e">
        <f>+M23+M19+M11</f>
        <v>#REF!</v>
      </c>
      <c r="O24" s="4" t="s">
        <v>77</v>
      </c>
    </row>
    <row r="25" spans="1:23" ht="15.75" thickTop="1" x14ac:dyDescent="0.25">
      <c r="A25" s="4" t="s">
        <v>2</v>
      </c>
      <c r="P25" t="s">
        <v>91</v>
      </c>
      <c r="V25" s="1" t="e">
        <f>+'Pinnacle Custom Home Builders'!U25+'Walnut Grove'!#REF!+'Sunflower Designs'!U25</f>
        <v>#REF!</v>
      </c>
    </row>
    <row r="26" spans="1:23" x14ac:dyDescent="0.25">
      <c r="B26" t="s">
        <v>12</v>
      </c>
      <c r="E26" s="1" t="e">
        <f>+'Pinnacle Custom Home Builders'!D18+'Walnut Grove'!#REF!+'Sunflower Designs'!D19</f>
        <v>#REF!</v>
      </c>
      <c r="H26" s="22" t="s">
        <v>52</v>
      </c>
      <c r="I26" s="22"/>
      <c r="J26" s="22"/>
      <c r="K26" s="22"/>
      <c r="L26" s="22"/>
      <c r="M26" s="22"/>
      <c r="P26" t="s">
        <v>78</v>
      </c>
      <c r="V26" s="2" t="e">
        <f>+'Pinnacle Custom Home Builders'!U26+'Walnut Grove'!#REF!+'Sunflower Designs'!U26</f>
        <v>#REF!</v>
      </c>
    </row>
    <row r="27" spans="1:23" x14ac:dyDescent="0.25">
      <c r="B27" t="str">
        <f>+'Pinnacle Custom Home Builders'!B19</f>
        <v>Insurance Expense</v>
      </c>
      <c r="E27" s="1" t="e">
        <f>+'Pinnacle Custom Home Builders'!D19+'Walnut Grove'!#REF!+'Sunflower Designs'!D20</f>
        <v>#REF!</v>
      </c>
      <c r="H27" s="4" t="s">
        <v>43</v>
      </c>
      <c r="R27" t="s">
        <v>79</v>
      </c>
      <c r="W27" s="2" t="e">
        <f>SUM(V25:V26)</f>
        <v>#REF!</v>
      </c>
    </row>
    <row r="28" spans="1:23" x14ac:dyDescent="0.25">
      <c r="B28" t="str">
        <f>+'Pinnacle Custom Home Builders'!B20</f>
        <v>Office Rent Expense</v>
      </c>
      <c r="E28" s="1">
        <f>+'Pinnacle Custom Home Builders'!D20+'Sunflower Designs'!D21</f>
        <v>12000</v>
      </c>
      <c r="I28" t="s">
        <v>44</v>
      </c>
      <c r="L28" s="1" t="e">
        <f>+'Pinnacle Custom Home Builders'!K28+'Walnut Grove'!#REF!+'Sunflower Designs'!K28</f>
        <v>#REF!</v>
      </c>
      <c r="O28" s="4" t="s">
        <v>80</v>
      </c>
      <c r="W28" s="1" t="e">
        <f>+W27+W23+W16</f>
        <v>#REF!</v>
      </c>
    </row>
    <row r="29" spans="1:23" x14ac:dyDescent="0.25">
      <c r="B29" t="str">
        <f>+'Pinnacle Custom Home Builders'!B21</f>
        <v>Office Supplies Expense</v>
      </c>
      <c r="E29" s="1" t="e">
        <f>+'Pinnacle Custom Home Builders'!D21+'Walnut Grove'!#REF!+'Sunflower Designs'!D22</f>
        <v>#REF!</v>
      </c>
      <c r="I29" t="s">
        <v>45</v>
      </c>
      <c r="L29" s="1" t="e">
        <f>+'Pinnacle Custom Home Builders'!K29+'Walnut Grove'!#REF!+'Sunflower Designs'!K29</f>
        <v>#REF!</v>
      </c>
      <c r="O29" s="4" t="s">
        <v>81</v>
      </c>
      <c r="W29" s="2">
        <v>0</v>
      </c>
    </row>
    <row r="30" spans="1:23" ht="15.75" thickBot="1" x14ac:dyDescent="0.3">
      <c r="B30" t="s">
        <v>13</v>
      </c>
      <c r="E30" s="1" t="e">
        <f>+'Pinnacle Custom Home Builders'!D22+'Walnut Grove'!#REF!+'Sunflower Designs'!D23</f>
        <v>#REF!</v>
      </c>
      <c r="I30" t="s">
        <v>46</v>
      </c>
      <c r="L30" s="12" t="e">
        <f>+'Pinnacle Custom Home Builders'!K30+'Walnut Grove'!#REF!+'Sunflower Designs'!K30</f>
        <v>#REF!</v>
      </c>
      <c r="O30" s="4" t="s">
        <v>82</v>
      </c>
      <c r="W30" s="13" t="e">
        <f>SUM(W28:W29)</f>
        <v>#REF!</v>
      </c>
    </row>
    <row r="31" spans="1:23" ht="15.75" thickTop="1" x14ac:dyDescent="0.25">
      <c r="B31" t="str">
        <f>+'Pinnacle Custom Home Builders'!B23</f>
        <v>Postage Expense</v>
      </c>
      <c r="E31" s="1" t="e">
        <f>+'Pinnacle Custom Home Builders'!D23+'Walnut Grove'!#REF!+'Sunflower Designs'!D24</f>
        <v>#REF!</v>
      </c>
      <c r="I31" t="s">
        <v>99</v>
      </c>
      <c r="L31" s="2" t="e">
        <f>+'Pinnacle Custom Home Builders'!K31+'Walnut Grove'!#REF!+'Sunflower Designs'!K31</f>
        <v>#REF!</v>
      </c>
    </row>
    <row r="32" spans="1:23" x14ac:dyDescent="0.25">
      <c r="B32" t="str">
        <f>+'Pinnacle Custom Home Builders'!B24</f>
        <v>Small Tools Expense</v>
      </c>
      <c r="E32" s="2" t="e">
        <f>+'Pinnacle Custom Home Builders'!D24+'Walnut Grove'!#REF!+'Sunflower Designs'!D25</f>
        <v>#REF!</v>
      </c>
      <c r="J32" s="4" t="s">
        <v>47</v>
      </c>
      <c r="M32" s="5" t="e">
        <f>SUM(L28:L31)</f>
        <v>#REF!</v>
      </c>
    </row>
    <row r="33" spans="1:13" x14ac:dyDescent="0.25">
      <c r="C33" s="8" t="s">
        <v>24</v>
      </c>
      <c r="F33" s="2" t="e">
        <f>SUM(E26:E32)</f>
        <v>#REF!</v>
      </c>
      <c r="H33" t="s">
        <v>100</v>
      </c>
    </row>
    <row r="34" spans="1:13" x14ac:dyDescent="0.25">
      <c r="A34" s="4" t="s">
        <v>3</v>
      </c>
      <c r="F34" s="5" t="e">
        <f>+F24-F33</f>
        <v>#REF!</v>
      </c>
      <c r="I34" t="s">
        <v>49</v>
      </c>
      <c r="L34" s="1" t="e">
        <f>+'Pinnacle Custom Home Builders'!K34+'Walnut Grove'!#REF!+'Sunflower Designs'!K34</f>
        <v>#REF!</v>
      </c>
    </row>
    <row r="35" spans="1:13" x14ac:dyDescent="0.25">
      <c r="I35" t="s">
        <v>48</v>
      </c>
      <c r="L35" s="2" t="e">
        <f>+'Pinnacle Custom Home Builders'!K35+'Walnut Grove'!#REF!+'Sunflower Designs'!K35</f>
        <v>#REF!</v>
      </c>
    </row>
    <row r="36" spans="1:13" x14ac:dyDescent="0.25">
      <c r="J36" s="4" t="s">
        <v>50</v>
      </c>
      <c r="M36" s="5" t="e">
        <f>SUM(L34:L35)</f>
        <v>#REF!</v>
      </c>
    </row>
    <row r="37" spans="1:13" x14ac:dyDescent="0.25">
      <c r="H37" s="4" t="s">
        <v>51</v>
      </c>
    </row>
    <row r="38" spans="1:13" x14ac:dyDescent="0.25">
      <c r="I38" t="s">
        <v>53</v>
      </c>
      <c r="L38" s="1" t="e">
        <f>+'Pinnacle Custom Home Builders'!K38+'Walnut Grove'!#REF!+'Sunflower Designs'!K38</f>
        <v>#REF!</v>
      </c>
    </row>
    <row r="39" spans="1:13" x14ac:dyDescent="0.25">
      <c r="I39" t="s">
        <v>54</v>
      </c>
      <c r="L39" s="1" t="e">
        <f>+'Pinnacle Custom Home Builders'!K39+'Walnut Grove'!#REF!+'Sunflower Designs'!K39</f>
        <v>#REF!</v>
      </c>
    </row>
    <row r="40" spans="1:13" x14ac:dyDescent="0.25">
      <c r="I40" t="s">
        <v>55</v>
      </c>
      <c r="L40" s="2" t="e">
        <f>+'Pinnacle Custom Home Builders'!K40+'Walnut Grove'!#REF!+'Sunflower Designs'!K40</f>
        <v>#REF!</v>
      </c>
    </row>
    <row r="41" spans="1:13" x14ac:dyDescent="0.25">
      <c r="J41" s="4" t="s">
        <v>56</v>
      </c>
      <c r="M41" s="6" t="e">
        <f>SUM(L38:L40)</f>
        <v>#REF!</v>
      </c>
    </row>
    <row r="42" spans="1:13" ht="15.75" thickBot="1" x14ac:dyDescent="0.3">
      <c r="H42" s="4" t="s">
        <v>57</v>
      </c>
      <c r="M42" s="10" t="e">
        <f>+M32+M36+M41</f>
        <v>#REF!</v>
      </c>
    </row>
    <row r="43" spans="1:13" ht="15.75" thickTop="1" x14ac:dyDescent="0.25"/>
    <row r="46" spans="1:13" x14ac:dyDescent="0.25">
      <c r="M46" s="1" t="e">
        <f>+M24-M42</f>
        <v>#REF!</v>
      </c>
    </row>
  </sheetData>
  <mergeCells count="11">
    <mergeCell ref="A1:F1"/>
    <mergeCell ref="A2:F2"/>
    <mergeCell ref="A3:F3"/>
    <mergeCell ref="H1:M1"/>
    <mergeCell ref="H2:M2"/>
    <mergeCell ref="H3:M3"/>
    <mergeCell ref="H26:M26"/>
    <mergeCell ref="H5:M5"/>
    <mergeCell ref="O1:W1"/>
    <mergeCell ref="O2:W2"/>
    <mergeCell ref="O3:W3"/>
  </mergeCells>
  <printOptions horizontalCentered="1"/>
  <pageMargins left="0.7" right="0.7" top="0.75" bottom="0.75" header="0.3" footer="0.3"/>
  <pageSetup orientation="portrait" r:id="rId1"/>
  <colBreaks count="2" manualBreakCount="2">
    <brk id="7" max="1048575" man="1"/>
    <brk id="1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3"/>
  <sheetViews>
    <sheetView zoomScaleNormal="100" workbookViewId="0">
      <selection activeCell="G1" sqref="G1:L1"/>
    </sheetView>
  </sheetViews>
  <sheetFormatPr defaultRowHeight="15" x14ac:dyDescent="0.25"/>
  <cols>
    <col min="1" max="1" width="2.7109375" customWidth="1"/>
    <col min="2" max="2" width="3.7109375" customWidth="1"/>
    <col min="3" max="3" width="16.7109375" customWidth="1"/>
    <col min="4" max="5" width="11.7109375" style="1" customWidth="1"/>
    <col min="7" max="9" width="2.7109375" customWidth="1"/>
    <col min="10" max="10" width="20.7109375" customWidth="1"/>
    <col min="11" max="11" width="11.140625" style="1" bestFit="1" customWidth="1"/>
    <col min="12" max="12" width="11.42578125" style="1" bestFit="1" customWidth="1"/>
    <col min="14" max="16" width="2.7109375" customWidth="1"/>
    <col min="21" max="22" width="11.7109375" style="1" bestFit="1" customWidth="1"/>
  </cols>
  <sheetData>
    <row r="1" spans="1:22" x14ac:dyDescent="0.25">
      <c r="A1" s="22" t="s">
        <v>5</v>
      </c>
      <c r="B1" s="22"/>
      <c r="C1" s="22"/>
      <c r="D1" s="22"/>
      <c r="E1" s="22"/>
      <c r="G1" s="22" t="s">
        <v>5</v>
      </c>
      <c r="H1" s="22"/>
      <c r="I1" s="22"/>
      <c r="J1" s="22"/>
      <c r="K1" s="22"/>
      <c r="L1" s="22"/>
      <c r="N1" s="22" t="s">
        <v>5</v>
      </c>
      <c r="O1" s="22"/>
      <c r="P1" s="22"/>
      <c r="Q1" s="22"/>
      <c r="R1" s="22"/>
      <c r="S1" s="22"/>
      <c r="T1" s="22"/>
      <c r="U1" s="22"/>
      <c r="V1" s="22"/>
    </row>
    <row r="2" spans="1:22" x14ac:dyDescent="0.25">
      <c r="A2" s="22" t="s">
        <v>61</v>
      </c>
      <c r="B2" s="22"/>
      <c r="C2" s="22"/>
      <c r="D2" s="22"/>
      <c r="E2" s="22"/>
      <c r="G2" s="22" t="s">
        <v>60</v>
      </c>
      <c r="H2" s="22"/>
      <c r="I2" s="22"/>
      <c r="J2" s="22"/>
      <c r="K2" s="22"/>
      <c r="L2" s="22"/>
      <c r="N2" s="22" t="s">
        <v>83</v>
      </c>
      <c r="O2" s="22"/>
      <c r="P2" s="22"/>
      <c r="Q2" s="22"/>
      <c r="R2" s="22"/>
      <c r="S2" s="22"/>
      <c r="T2" s="22"/>
      <c r="U2" s="22"/>
      <c r="V2" s="22"/>
    </row>
    <row r="3" spans="1:22" x14ac:dyDescent="0.25">
      <c r="A3" s="22" t="s">
        <v>58</v>
      </c>
      <c r="B3" s="22"/>
      <c r="C3" s="22"/>
      <c r="D3" s="22"/>
      <c r="E3" s="22"/>
      <c r="G3" s="22" t="s">
        <v>26</v>
      </c>
      <c r="H3" s="22"/>
      <c r="I3" s="22"/>
      <c r="J3" s="22"/>
      <c r="K3" s="22"/>
      <c r="L3" s="22"/>
      <c r="N3" s="22" t="s">
        <v>58</v>
      </c>
      <c r="O3" s="22"/>
      <c r="P3" s="22"/>
      <c r="Q3" s="22"/>
      <c r="R3" s="22"/>
      <c r="S3" s="22"/>
      <c r="T3" s="22"/>
      <c r="U3" s="22"/>
      <c r="V3" s="22"/>
    </row>
    <row r="5" spans="1:22" x14ac:dyDescent="0.25">
      <c r="A5" s="4" t="s">
        <v>1</v>
      </c>
      <c r="G5" s="22" t="s">
        <v>28</v>
      </c>
      <c r="H5" s="22"/>
      <c r="I5" s="22"/>
      <c r="J5" s="22"/>
      <c r="K5" s="22"/>
      <c r="L5" s="22"/>
      <c r="N5" s="4" t="s">
        <v>65</v>
      </c>
    </row>
    <row r="6" spans="1:22" x14ac:dyDescent="0.25">
      <c r="B6" t="s">
        <v>4</v>
      </c>
      <c r="D6" s="12">
        <v>1185000</v>
      </c>
      <c r="G6" s="4" t="s">
        <v>34</v>
      </c>
      <c r="O6" t="s">
        <v>3</v>
      </c>
      <c r="V6" s="1">
        <f>+E26</f>
        <v>191378</v>
      </c>
    </row>
    <row r="7" spans="1:22" x14ac:dyDescent="0.25">
      <c r="B7" t="s">
        <v>86</v>
      </c>
      <c r="D7" s="2">
        <v>0</v>
      </c>
      <c r="H7" t="s">
        <v>29</v>
      </c>
      <c r="K7" s="1">
        <v>93678</v>
      </c>
      <c r="O7" t="s">
        <v>66</v>
      </c>
    </row>
    <row r="8" spans="1:22" x14ac:dyDescent="0.25">
      <c r="C8" s="4" t="s">
        <v>6</v>
      </c>
      <c r="E8" s="5">
        <f>SUM(D6:D7)</f>
        <v>1185000</v>
      </c>
      <c r="H8" t="s">
        <v>30</v>
      </c>
      <c r="K8" s="1">
        <v>118500</v>
      </c>
      <c r="P8" t="s">
        <v>67</v>
      </c>
      <c r="U8" s="1">
        <f>+D18</f>
        <v>7375</v>
      </c>
    </row>
    <row r="9" spans="1:22" x14ac:dyDescent="0.25">
      <c r="A9" s="4" t="s">
        <v>7</v>
      </c>
      <c r="H9" t="s">
        <v>32</v>
      </c>
      <c r="P9" t="s">
        <v>68</v>
      </c>
      <c r="U9" s="1">
        <f>-K8</f>
        <v>-118500</v>
      </c>
    </row>
    <row r="10" spans="1:22" x14ac:dyDescent="0.25">
      <c r="B10" t="s">
        <v>17</v>
      </c>
      <c r="D10" s="1">
        <v>228750</v>
      </c>
      <c r="H10" t="s">
        <v>31</v>
      </c>
      <c r="K10" s="2">
        <v>2800</v>
      </c>
      <c r="P10" t="s">
        <v>94</v>
      </c>
      <c r="U10" s="1">
        <f>+K9</f>
        <v>0</v>
      </c>
    </row>
    <row r="11" spans="1:22" x14ac:dyDescent="0.25">
      <c r="B11" t="s">
        <v>10</v>
      </c>
      <c r="D11" s="1">
        <v>176900</v>
      </c>
      <c r="I11" s="4" t="s">
        <v>33</v>
      </c>
      <c r="L11" s="5">
        <f>SUM(K7:K10)</f>
        <v>214978</v>
      </c>
      <c r="P11" t="s">
        <v>69</v>
      </c>
      <c r="U11" s="1">
        <f>-K10</f>
        <v>-2800</v>
      </c>
    </row>
    <row r="12" spans="1:22" x14ac:dyDescent="0.25">
      <c r="B12" t="s">
        <v>8</v>
      </c>
      <c r="D12" s="1">
        <v>475975</v>
      </c>
      <c r="G12" s="4" t="s">
        <v>35</v>
      </c>
      <c r="P12" t="s">
        <v>70</v>
      </c>
      <c r="U12" s="1">
        <f>+K28</f>
        <v>3600</v>
      </c>
    </row>
    <row r="13" spans="1:22" x14ac:dyDescent="0.25">
      <c r="B13" t="s">
        <v>9</v>
      </c>
      <c r="D13" s="1">
        <v>46000</v>
      </c>
      <c r="H13" t="s">
        <v>88</v>
      </c>
      <c r="K13" s="1">
        <v>0</v>
      </c>
      <c r="P13" t="s">
        <v>92</v>
      </c>
      <c r="U13" s="1">
        <f>+K29</f>
        <v>0</v>
      </c>
    </row>
    <row r="14" spans="1:22" x14ac:dyDescent="0.25">
      <c r="B14" t="s">
        <v>11</v>
      </c>
      <c r="D14" s="2">
        <v>0</v>
      </c>
      <c r="H14" t="s">
        <v>36</v>
      </c>
      <c r="K14" s="1">
        <v>1600</v>
      </c>
      <c r="P14" t="s">
        <v>93</v>
      </c>
      <c r="U14" s="1">
        <f>+K30</f>
        <v>0</v>
      </c>
    </row>
    <row r="15" spans="1:22" x14ac:dyDescent="0.25">
      <c r="C15" s="8" t="s">
        <v>14</v>
      </c>
      <c r="E15" s="7">
        <f>SUM(D10:D14)</f>
        <v>927625</v>
      </c>
      <c r="H15" t="s">
        <v>37</v>
      </c>
      <c r="K15" s="1">
        <v>975</v>
      </c>
      <c r="P15" t="s">
        <v>101</v>
      </c>
      <c r="U15" s="2">
        <f>+K31</f>
        <v>0</v>
      </c>
      <c r="V15" s="2">
        <f>SUM(U8:U15)</f>
        <v>-110325</v>
      </c>
    </row>
    <row r="16" spans="1:22" x14ac:dyDescent="0.25">
      <c r="A16" s="4" t="s">
        <v>15</v>
      </c>
      <c r="E16" s="5">
        <f>+E8-E15</f>
        <v>257375</v>
      </c>
      <c r="H16" t="s">
        <v>87</v>
      </c>
      <c r="K16" s="1">
        <v>0</v>
      </c>
      <c r="Q16" t="s">
        <v>71</v>
      </c>
      <c r="V16" s="1">
        <f>+V6+V15</f>
        <v>81053</v>
      </c>
    </row>
    <row r="17" spans="1:22" x14ac:dyDescent="0.25">
      <c r="A17" s="4" t="s">
        <v>2</v>
      </c>
      <c r="H17" t="s">
        <v>38</v>
      </c>
      <c r="K17" s="12">
        <v>4800</v>
      </c>
      <c r="N17" s="4" t="s">
        <v>72</v>
      </c>
    </row>
    <row r="18" spans="1:22" x14ac:dyDescent="0.25">
      <c r="B18" t="s">
        <v>62</v>
      </c>
      <c r="D18" s="1">
        <v>7375</v>
      </c>
      <c r="H18" t="s">
        <v>64</v>
      </c>
      <c r="K18" s="2">
        <v>-7375</v>
      </c>
      <c r="O18" t="s">
        <v>89</v>
      </c>
    </row>
    <row r="19" spans="1:22" x14ac:dyDescent="0.25">
      <c r="B19" t="s">
        <v>22</v>
      </c>
      <c r="D19" s="1">
        <v>45800</v>
      </c>
      <c r="I19" s="4" t="s">
        <v>39</v>
      </c>
      <c r="L19" s="5">
        <f>SUM(K13:K18)</f>
        <v>0</v>
      </c>
      <c r="O19" t="s">
        <v>73</v>
      </c>
      <c r="U19" s="1">
        <f>-K14</f>
        <v>-1600</v>
      </c>
    </row>
    <row r="20" spans="1:22" x14ac:dyDescent="0.25">
      <c r="B20" t="s">
        <v>21</v>
      </c>
      <c r="D20" s="1">
        <v>12000</v>
      </c>
      <c r="G20" s="4" t="s">
        <v>40</v>
      </c>
      <c r="O20" t="s">
        <v>74</v>
      </c>
      <c r="U20" s="1">
        <f>-K15</f>
        <v>-975</v>
      </c>
    </row>
    <row r="21" spans="1:22" x14ac:dyDescent="0.25">
      <c r="B21" t="s">
        <v>20</v>
      </c>
      <c r="D21" s="1">
        <v>425</v>
      </c>
      <c r="O21" t="s">
        <v>90</v>
      </c>
    </row>
    <row r="22" spans="1:22" x14ac:dyDescent="0.25">
      <c r="B22" t="s">
        <v>13</v>
      </c>
      <c r="D22" s="1">
        <v>0</v>
      </c>
      <c r="K22" s="2"/>
      <c r="O22" t="s">
        <v>75</v>
      </c>
      <c r="U22" s="2">
        <f>-K17</f>
        <v>-4800</v>
      </c>
    </row>
    <row r="23" spans="1:22" x14ac:dyDescent="0.25">
      <c r="B23" t="s">
        <v>19</v>
      </c>
      <c r="D23" s="1">
        <v>52</v>
      </c>
      <c r="I23" s="4" t="s">
        <v>41</v>
      </c>
      <c r="L23" s="6">
        <f>SUM(K22:K22)</f>
        <v>0</v>
      </c>
      <c r="Q23" t="s">
        <v>76</v>
      </c>
      <c r="V23" s="1">
        <f>SUM(U18:U22)</f>
        <v>-7375</v>
      </c>
    </row>
    <row r="24" spans="1:22" ht="14.45" customHeight="1" thickBot="1" x14ac:dyDescent="0.3">
      <c r="B24" t="s">
        <v>23</v>
      </c>
      <c r="D24" s="1">
        <v>345</v>
      </c>
      <c r="F24" s="3"/>
      <c r="I24" s="4" t="s">
        <v>42</v>
      </c>
      <c r="L24" s="10">
        <f>+L23+L19+L11</f>
        <v>214978</v>
      </c>
      <c r="N24" s="4" t="s">
        <v>77</v>
      </c>
    </row>
    <row r="25" spans="1:22" ht="15.75" thickTop="1" x14ac:dyDescent="0.25">
      <c r="C25" t="s">
        <v>24</v>
      </c>
      <c r="E25" s="2">
        <f>SUM(D18:D24)</f>
        <v>65997</v>
      </c>
      <c r="F25" s="3"/>
      <c r="O25" t="s">
        <v>91</v>
      </c>
    </row>
    <row r="26" spans="1:22" x14ac:dyDescent="0.25">
      <c r="A26" s="4" t="s">
        <v>3</v>
      </c>
      <c r="E26" s="5">
        <f>+E16-E25</f>
        <v>191378</v>
      </c>
      <c r="F26" s="3"/>
      <c r="G26" s="22" t="s">
        <v>52</v>
      </c>
      <c r="H26" s="22"/>
      <c r="I26" s="22"/>
      <c r="J26" s="22"/>
      <c r="K26" s="22"/>
      <c r="L26" s="22"/>
      <c r="O26" t="s">
        <v>78</v>
      </c>
      <c r="U26" s="2">
        <f>+K38+K39</f>
        <v>20000</v>
      </c>
    </row>
    <row r="27" spans="1:22" x14ac:dyDescent="0.25">
      <c r="G27" s="4" t="s">
        <v>43</v>
      </c>
      <c r="Q27" t="s">
        <v>79</v>
      </c>
      <c r="V27" s="2">
        <f>+U26</f>
        <v>20000</v>
      </c>
    </row>
    <row r="28" spans="1:22" x14ac:dyDescent="0.25">
      <c r="H28" t="s">
        <v>44</v>
      </c>
      <c r="K28" s="1">
        <v>3600</v>
      </c>
      <c r="N28" s="4" t="s">
        <v>80</v>
      </c>
      <c r="V28" s="1">
        <f>+V27+V23+V16</f>
        <v>93678</v>
      </c>
    </row>
    <row r="29" spans="1:22" x14ac:dyDescent="0.25">
      <c r="A29" s="23" t="s">
        <v>63</v>
      </c>
      <c r="B29" s="23"/>
      <c r="C29" s="23"/>
      <c r="D29" s="23"/>
      <c r="E29" s="23"/>
      <c r="H29" t="s">
        <v>45</v>
      </c>
      <c r="N29" s="4" t="s">
        <v>81</v>
      </c>
      <c r="V29" s="2">
        <v>0</v>
      </c>
    </row>
    <row r="30" spans="1:22" ht="15.75" thickBot="1" x14ac:dyDescent="0.3">
      <c r="A30" s="23"/>
      <c r="B30" s="23"/>
      <c r="C30" s="23"/>
      <c r="D30" s="23"/>
      <c r="E30" s="23"/>
      <c r="H30" t="s">
        <v>46</v>
      </c>
      <c r="N30" s="4" t="s">
        <v>82</v>
      </c>
      <c r="V30" s="13">
        <f>SUM(V28:V29)</f>
        <v>93678</v>
      </c>
    </row>
    <row r="31" spans="1:22" ht="15.75" thickTop="1" x14ac:dyDescent="0.25">
      <c r="A31" s="23"/>
      <c r="B31" s="23"/>
      <c r="C31" s="23"/>
      <c r="D31" s="23"/>
      <c r="E31" s="23"/>
      <c r="H31" t="s">
        <v>99</v>
      </c>
      <c r="K31" s="2"/>
    </row>
    <row r="32" spans="1:22" x14ac:dyDescent="0.25">
      <c r="A32" s="23"/>
      <c r="B32" s="23"/>
      <c r="C32" s="23"/>
      <c r="D32" s="23"/>
      <c r="E32" s="23"/>
      <c r="I32" s="4" t="s">
        <v>47</v>
      </c>
      <c r="L32" s="5">
        <f>SUM(K28:K31)</f>
        <v>3600</v>
      </c>
    </row>
    <row r="33" spans="1:14" x14ac:dyDescent="0.25">
      <c r="A33" s="23" t="s">
        <v>18</v>
      </c>
      <c r="B33" s="23"/>
      <c r="C33" s="23"/>
      <c r="D33" s="23"/>
      <c r="E33" s="23"/>
      <c r="G33" t="s">
        <v>100</v>
      </c>
    </row>
    <row r="34" spans="1:14" x14ac:dyDescent="0.25">
      <c r="A34" s="23"/>
      <c r="B34" s="23"/>
      <c r="C34" s="23"/>
      <c r="D34" s="23"/>
      <c r="E34" s="23"/>
      <c r="H34" t="s">
        <v>49</v>
      </c>
    </row>
    <row r="35" spans="1:14" x14ac:dyDescent="0.25">
      <c r="A35" s="23"/>
      <c r="B35" s="23"/>
      <c r="C35" s="23"/>
      <c r="D35" s="23"/>
      <c r="E35" s="23"/>
      <c r="H35" t="s">
        <v>48</v>
      </c>
      <c r="K35" s="2"/>
    </row>
    <row r="36" spans="1:14" x14ac:dyDescent="0.25">
      <c r="A36" s="23"/>
      <c r="B36" s="23"/>
      <c r="C36" s="23"/>
      <c r="D36" s="23"/>
      <c r="E36" s="23"/>
      <c r="I36" s="4" t="s">
        <v>50</v>
      </c>
      <c r="L36" s="5">
        <f>SUM(K34:K35)</f>
        <v>0</v>
      </c>
    </row>
    <row r="37" spans="1:14" x14ac:dyDescent="0.25">
      <c r="A37" s="14"/>
      <c r="B37" s="14"/>
      <c r="C37" s="14"/>
      <c r="D37" s="15"/>
      <c r="E37" s="15"/>
      <c r="G37" s="4" t="s">
        <v>51</v>
      </c>
    </row>
    <row r="38" spans="1:14" x14ac:dyDescent="0.25">
      <c r="A38" s="14"/>
      <c r="B38" s="14"/>
      <c r="C38" s="14"/>
      <c r="D38" s="15"/>
      <c r="E38" s="15"/>
      <c r="H38" t="s">
        <v>53</v>
      </c>
      <c r="K38" s="1">
        <v>10000</v>
      </c>
      <c r="N38" s="11"/>
    </row>
    <row r="39" spans="1:14" x14ac:dyDescent="0.25">
      <c r="A39" s="14"/>
      <c r="B39" s="14"/>
      <c r="C39" s="14"/>
      <c r="D39" s="15"/>
      <c r="E39" s="15"/>
      <c r="H39" t="s">
        <v>54</v>
      </c>
      <c r="K39" s="1">
        <v>10000</v>
      </c>
    </row>
    <row r="40" spans="1:14" x14ac:dyDescent="0.25">
      <c r="A40" s="14"/>
      <c r="B40" s="14"/>
      <c r="C40" s="14"/>
      <c r="D40" s="15"/>
      <c r="E40" s="15"/>
      <c r="H40" t="s">
        <v>55</v>
      </c>
      <c r="K40" s="2">
        <f>+E26</f>
        <v>191378</v>
      </c>
    </row>
    <row r="41" spans="1:14" x14ac:dyDescent="0.25">
      <c r="I41" s="4" t="s">
        <v>56</v>
      </c>
      <c r="L41" s="6">
        <f>SUM(K38:K40)</f>
        <v>211378</v>
      </c>
    </row>
    <row r="42" spans="1:14" ht="15.75" thickBot="1" x14ac:dyDescent="0.3">
      <c r="G42" s="4" t="s">
        <v>57</v>
      </c>
      <c r="L42" s="10">
        <f>+L32+L36+L41</f>
        <v>214978</v>
      </c>
    </row>
    <row r="43" spans="1:14" ht="15.75" thickTop="1" x14ac:dyDescent="0.25"/>
  </sheetData>
  <mergeCells count="13">
    <mergeCell ref="A33:E36"/>
    <mergeCell ref="A29:E32"/>
    <mergeCell ref="G26:L26"/>
    <mergeCell ref="N1:V1"/>
    <mergeCell ref="N2:V2"/>
    <mergeCell ref="N3:V3"/>
    <mergeCell ref="A1:E1"/>
    <mergeCell ref="A2:E2"/>
    <mergeCell ref="A3:E3"/>
    <mergeCell ref="G1:L1"/>
    <mergeCell ref="G2:L2"/>
    <mergeCell ref="G3:L3"/>
    <mergeCell ref="G5:L5"/>
  </mergeCells>
  <printOptions horizontalCentered="1"/>
  <pageMargins left="0.7" right="0.7" top="0.75" bottom="0.75" header="0.3" footer="0.3"/>
  <pageSetup orientation="portrait" r:id="rId1"/>
  <colBreaks count="2" manualBreakCount="2">
    <brk id="6" max="1048575" man="1"/>
    <brk id="13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5"/>
  <sheetViews>
    <sheetView tabSelected="1" zoomScaleNormal="100" workbookViewId="0">
      <selection activeCell="J13" sqref="J13"/>
    </sheetView>
  </sheetViews>
  <sheetFormatPr defaultRowHeight="15" x14ac:dyDescent="0.25"/>
  <cols>
    <col min="1" max="1" width="28.42578125" style="17" customWidth="1"/>
    <col min="2" max="2" width="4.140625" style="17" customWidth="1"/>
    <col min="3" max="3" width="12.85546875" style="17" customWidth="1"/>
    <col min="4" max="4" width="12.42578125" style="17" customWidth="1"/>
    <col min="5" max="5" width="9.140625" style="17"/>
    <col min="6" max="6" width="14.42578125" style="19" bestFit="1" customWidth="1"/>
    <col min="7" max="7" width="13.28515625" style="19" bestFit="1" customWidth="1"/>
    <col min="8" max="8" width="9.140625" style="16"/>
    <col min="9" max="16384" width="9.140625" style="17"/>
  </cols>
  <sheetData>
    <row r="1" spans="1:7" x14ac:dyDescent="0.25">
      <c r="A1" s="24" t="s">
        <v>111</v>
      </c>
      <c r="B1" s="24"/>
      <c r="C1" s="24"/>
      <c r="D1" s="24"/>
    </row>
    <row r="2" spans="1:7" x14ac:dyDescent="0.25">
      <c r="A2" s="24" t="s">
        <v>112</v>
      </c>
      <c r="B2" s="24"/>
      <c r="C2" s="24"/>
      <c r="D2" s="24"/>
    </row>
    <row r="3" spans="1:7" x14ac:dyDescent="0.25">
      <c r="A3" s="25" t="s">
        <v>113</v>
      </c>
      <c r="B3" s="25"/>
      <c r="C3" s="25"/>
      <c r="D3" s="25"/>
    </row>
    <row r="5" spans="1:7" x14ac:dyDescent="0.25">
      <c r="C5" s="18" t="s">
        <v>109</v>
      </c>
      <c r="D5" s="18" t="s">
        <v>110</v>
      </c>
      <c r="E5" s="43"/>
      <c r="F5" s="65" t="s">
        <v>109</v>
      </c>
      <c r="G5" s="65" t="s">
        <v>110</v>
      </c>
    </row>
    <row r="6" spans="1:7" x14ac:dyDescent="0.25">
      <c r="A6" s="16" t="s">
        <v>29</v>
      </c>
      <c r="B6" s="16"/>
      <c r="C6" s="19">
        <v>369006</v>
      </c>
      <c r="E6" s="43"/>
      <c r="F6" s="19">
        <f>C6+7500+768+(F38-C38)+(F40-C40)+47500+10200</f>
        <v>435063</v>
      </c>
    </row>
    <row r="7" spans="1:7" x14ac:dyDescent="0.25">
      <c r="A7" s="16" t="s">
        <v>30</v>
      </c>
      <c r="B7" s="16"/>
      <c r="C7" s="19">
        <v>25372</v>
      </c>
      <c r="E7" s="43"/>
      <c r="F7" s="19">
        <f>126300</f>
        <v>126300</v>
      </c>
    </row>
    <row r="8" spans="1:7" x14ac:dyDescent="0.25">
      <c r="A8" s="16" t="s">
        <v>32</v>
      </c>
      <c r="B8" s="16"/>
      <c r="C8" s="19">
        <v>21234</v>
      </c>
      <c r="E8" s="43"/>
      <c r="F8" s="19">
        <v>23226</v>
      </c>
    </row>
    <row r="9" spans="1:7" x14ac:dyDescent="0.25">
      <c r="A9" s="16" t="s">
        <v>31</v>
      </c>
      <c r="B9" s="16"/>
      <c r="C9" s="19">
        <v>1445</v>
      </c>
      <c r="E9" s="43"/>
      <c r="F9" s="19">
        <f>(17/24)*(50000*0.95)+C9</f>
        <v>35090.833333333336</v>
      </c>
    </row>
    <row r="10" spans="1:7" x14ac:dyDescent="0.25">
      <c r="A10" s="16" t="s">
        <v>88</v>
      </c>
      <c r="B10" s="16"/>
      <c r="C10" s="19">
        <v>128400</v>
      </c>
      <c r="E10" s="43"/>
      <c r="F10" s="19">
        <f>C10</f>
        <v>128400</v>
      </c>
    </row>
    <row r="11" spans="1:7" x14ac:dyDescent="0.25">
      <c r="A11" s="16" t="s">
        <v>36</v>
      </c>
      <c r="B11" s="16"/>
      <c r="C11" s="19">
        <v>1043</v>
      </c>
      <c r="E11" s="43"/>
      <c r="F11" s="19">
        <f>C11</f>
        <v>1043</v>
      </c>
    </row>
    <row r="12" spans="1:7" x14ac:dyDescent="0.25">
      <c r="A12" s="16" t="s">
        <v>37</v>
      </c>
      <c r="B12" s="16"/>
      <c r="C12" s="19">
        <v>3932</v>
      </c>
      <c r="E12" s="43"/>
      <c r="F12" s="19">
        <f>C12</f>
        <v>3932</v>
      </c>
    </row>
    <row r="13" spans="1:7" x14ac:dyDescent="0.25">
      <c r="A13" s="16" t="s">
        <v>87</v>
      </c>
      <c r="B13" s="16"/>
      <c r="C13" s="19">
        <v>53500</v>
      </c>
      <c r="E13" s="43"/>
      <c r="F13" s="19">
        <f>C13</f>
        <v>53500</v>
      </c>
    </row>
    <row r="14" spans="1:7" x14ac:dyDescent="0.25">
      <c r="A14" s="16" t="s">
        <v>38</v>
      </c>
      <c r="B14" s="16"/>
      <c r="C14" s="19">
        <v>0</v>
      </c>
      <c r="E14" s="43"/>
      <c r="F14" s="19">
        <v>175000</v>
      </c>
    </row>
    <row r="15" spans="1:7" x14ac:dyDescent="0.25">
      <c r="A15" s="16" t="s">
        <v>64</v>
      </c>
      <c r="B15" s="16"/>
      <c r="C15" s="16"/>
      <c r="D15" s="19">
        <v>5798</v>
      </c>
      <c r="E15" s="43"/>
      <c r="G15" s="19">
        <f>D15+(11/12*35000)+(C10/39)</f>
        <v>41173.641025641024</v>
      </c>
    </row>
    <row r="16" spans="1:7" x14ac:dyDescent="0.25">
      <c r="A16" s="16" t="s">
        <v>44</v>
      </c>
      <c r="B16" s="16"/>
      <c r="C16" s="16"/>
      <c r="D16" s="19">
        <v>12697</v>
      </c>
      <c r="E16" s="43"/>
      <c r="G16" s="19">
        <f>(SUM('Proj Income Statement'!G12:G15)+'Walnut Grove'!C8-'Walnut Grove'!F8)/12</f>
        <v>42534.135833333334</v>
      </c>
    </row>
    <row r="17" spans="1:8" x14ac:dyDescent="0.25">
      <c r="A17" s="16" t="s">
        <v>45</v>
      </c>
      <c r="B17" s="16"/>
      <c r="C17" s="16"/>
      <c r="D17" s="19">
        <v>4986</v>
      </c>
      <c r="E17" s="43"/>
      <c r="G17" s="19">
        <f>(0.15*F35)*1/52</f>
        <v>341.61634615384617</v>
      </c>
    </row>
    <row r="18" spans="1:8" x14ac:dyDescent="0.25">
      <c r="A18" s="16" t="s">
        <v>46</v>
      </c>
      <c r="B18" s="16"/>
      <c r="C18" s="16"/>
      <c r="D18" s="19">
        <v>2602</v>
      </c>
      <c r="E18" s="43"/>
      <c r="G18" s="19">
        <f>0.055*SUM('Proj Income Statement'!G5:G8)/12</f>
        <v>5735.464304166665</v>
      </c>
    </row>
    <row r="19" spans="1:8" x14ac:dyDescent="0.25">
      <c r="A19" s="16" t="s">
        <v>122</v>
      </c>
      <c r="B19" s="16"/>
      <c r="C19" s="16"/>
      <c r="D19" s="19">
        <v>0</v>
      </c>
      <c r="E19" s="43"/>
      <c r="G19" s="19">
        <f>(11/12)*0.025*175000</f>
        <v>4010.416666666667</v>
      </c>
    </row>
    <row r="20" spans="1:8" x14ac:dyDescent="0.25">
      <c r="A20" s="16" t="s">
        <v>129</v>
      </c>
      <c r="B20" s="16"/>
      <c r="C20" s="16"/>
      <c r="D20" s="19">
        <f>'Proj Income Statement'!C23*0.3</f>
        <v>41158.199999999997</v>
      </c>
      <c r="E20" s="43"/>
      <c r="G20" s="19">
        <f>'Proj Income Statement'!H28</f>
        <v>198194.14337380268</v>
      </c>
    </row>
    <row r="21" spans="1:8" x14ac:dyDescent="0.25">
      <c r="A21" s="16" t="s">
        <v>99</v>
      </c>
      <c r="B21" s="16"/>
      <c r="C21" s="16"/>
      <c r="D21" s="19">
        <v>0</v>
      </c>
      <c r="E21" s="43"/>
      <c r="G21" s="19">
        <f>12*850</f>
        <v>10200</v>
      </c>
    </row>
    <row r="22" spans="1:8" x14ac:dyDescent="0.25">
      <c r="A22" s="16" t="s">
        <v>49</v>
      </c>
      <c r="B22" s="16"/>
      <c r="C22" s="16"/>
      <c r="D22" s="19">
        <v>294376</v>
      </c>
      <c r="E22" s="43"/>
      <c r="G22" s="19">
        <f>D22</f>
        <v>294376</v>
      </c>
    </row>
    <row r="23" spans="1:8" x14ac:dyDescent="0.25">
      <c r="A23" s="16" t="s">
        <v>48</v>
      </c>
      <c r="B23" s="16"/>
      <c r="C23" s="16"/>
      <c r="D23" s="19">
        <v>0</v>
      </c>
      <c r="E23" s="43"/>
      <c r="G23" s="19">
        <f>175000</f>
        <v>175000</v>
      </c>
    </row>
    <row r="24" spans="1:8" x14ac:dyDescent="0.25">
      <c r="A24" s="16" t="s">
        <v>53</v>
      </c>
      <c r="B24" s="16"/>
      <c r="C24" s="16"/>
      <c r="D24" s="19">
        <v>1070</v>
      </c>
      <c r="E24" s="43"/>
      <c r="G24" s="19">
        <f>D24</f>
        <v>1070</v>
      </c>
    </row>
    <row r="25" spans="1:8" x14ac:dyDescent="0.25">
      <c r="A25" s="16" t="s">
        <v>54</v>
      </c>
      <c r="B25" s="16"/>
      <c r="C25" s="16"/>
      <c r="D25" s="19">
        <v>1070</v>
      </c>
      <c r="E25" s="43"/>
      <c r="G25" s="19">
        <f>D25</f>
        <v>1070</v>
      </c>
    </row>
    <row r="26" spans="1:8" x14ac:dyDescent="0.25">
      <c r="A26" s="16" t="s">
        <v>103</v>
      </c>
      <c r="B26" s="16"/>
      <c r="C26" s="16"/>
      <c r="D26" s="19">
        <v>144139</v>
      </c>
      <c r="E26" s="43"/>
      <c r="G26" s="19">
        <f>D26+'Proj Income Statement'!C25+'Proj Income Statement'!H29</f>
        <v>702627.80120553961</v>
      </c>
    </row>
    <row r="27" spans="1:8" x14ac:dyDescent="0.25">
      <c r="A27" s="16" t="s">
        <v>85</v>
      </c>
      <c r="B27" s="16"/>
      <c r="C27" s="16"/>
      <c r="D27" s="19">
        <v>276622</v>
      </c>
      <c r="E27" s="43"/>
      <c r="G27" s="19">
        <f>D27*1.04</f>
        <v>287686.88</v>
      </c>
    </row>
    <row r="28" spans="1:8" x14ac:dyDescent="0.25">
      <c r="A28" s="16" t="s">
        <v>84</v>
      </c>
      <c r="B28" s="16"/>
      <c r="C28" s="16"/>
      <c r="D28" s="19">
        <v>9405</v>
      </c>
      <c r="E28" s="43"/>
      <c r="G28" s="19">
        <f>D28*1.03</f>
        <v>9687.15</v>
      </c>
      <c r="H28" s="16" t="s">
        <v>119</v>
      </c>
    </row>
    <row r="29" spans="1:8" x14ac:dyDescent="0.25">
      <c r="A29" s="16" t="s">
        <v>120</v>
      </c>
      <c r="B29" s="16"/>
      <c r="C29" s="16"/>
      <c r="D29" s="19">
        <v>0</v>
      </c>
      <c r="E29" s="43"/>
      <c r="G29" s="19">
        <v>850000</v>
      </c>
    </row>
    <row r="30" spans="1:8" ht="14.45" customHeight="1" x14ac:dyDescent="0.25">
      <c r="A30" s="16" t="s">
        <v>108</v>
      </c>
      <c r="B30" s="16"/>
      <c r="C30" s="16"/>
      <c r="D30" s="19">
        <v>4672</v>
      </c>
      <c r="E30" s="43"/>
      <c r="G30" s="19">
        <f>100*52*20</f>
        <v>104000</v>
      </c>
    </row>
    <row r="31" spans="1:8" x14ac:dyDescent="0.25">
      <c r="A31" s="16" t="s">
        <v>107</v>
      </c>
      <c r="B31" s="16"/>
      <c r="C31" s="16"/>
      <c r="D31" s="19">
        <v>429</v>
      </c>
      <c r="E31" s="43"/>
      <c r="G31" s="19">
        <f>D31/SUM(D27:D28)*SUM(G27:G28)</f>
        <v>446.0189383170121</v>
      </c>
    </row>
    <row r="32" spans="1:8" x14ac:dyDescent="0.25">
      <c r="A32" s="16" t="s">
        <v>104</v>
      </c>
      <c r="B32" s="16"/>
      <c r="C32" s="19">
        <v>88933</v>
      </c>
      <c r="E32" s="43"/>
      <c r="F32" s="19">
        <f>C32*1.04</f>
        <v>92490.32</v>
      </c>
    </row>
    <row r="33" spans="1:7" ht="15" customHeight="1" x14ac:dyDescent="0.25">
      <c r="A33" s="16" t="s">
        <v>105</v>
      </c>
      <c r="B33" s="16"/>
      <c r="C33" s="19">
        <v>13577</v>
      </c>
      <c r="E33" s="43"/>
      <c r="F33" s="19">
        <f>C33*1.03</f>
        <v>13984.31</v>
      </c>
    </row>
    <row r="34" spans="1:7" ht="15" customHeight="1" x14ac:dyDescent="0.25">
      <c r="A34" s="16" t="s">
        <v>121</v>
      </c>
      <c r="B34" s="16"/>
      <c r="C34" s="19">
        <v>0</v>
      </c>
      <c r="E34" s="43"/>
      <c r="F34" s="19">
        <f>175000+37500+75000</f>
        <v>287500</v>
      </c>
    </row>
    <row r="35" spans="1:7" ht="14.45" customHeight="1" x14ac:dyDescent="0.25">
      <c r="A35" s="16" t="s">
        <v>106</v>
      </c>
      <c r="B35" s="16"/>
      <c r="C35" s="19">
        <v>18027</v>
      </c>
      <c r="E35" s="43"/>
      <c r="F35" s="19">
        <f>C35+(43*40*15*2)+32000+(20*2*12*35)</f>
        <v>118427</v>
      </c>
    </row>
    <row r="36" spans="1:7" ht="15" customHeight="1" x14ac:dyDescent="0.25">
      <c r="A36" s="16" t="s">
        <v>12</v>
      </c>
      <c r="B36" s="16"/>
      <c r="C36" s="19">
        <v>5798</v>
      </c>
      <c r="E36" s="43"/>
      <c r="F36" s="19">
        <f>(11/12*35000)+(C10/39)</f>
        <v>35375.641025641024</v>
      </c>
    </row>
    <row r="37" spans="1:7" x14ac:dyDescent="0.25">
      <c r="A37" s="16" t="s">
        <v>22</v>
      </c>
      <c r="B37" s="16"/>
      <c r="C37" s="19">
        <v>4334</v>
      </c>
      <c r="E37" s="43"/>
      <c r="F37" s="19">
        <f>(7/12)*(25000)*(0.95)</f>
        <v>13854.166666666666</v>
      </c>
    </row>
    <row r="38" spans="1:7" x14ac:dyDescent="0.25">
      <c r="A38" s="16" t="s">
        <v>20</v>
      </c>
      <c r="B38" s="16"/>
      <c r="C38" s="19">
        <v>127</v>
      </c>
      <c r="E38" s="43"/>
      <c r="F38" s="19">
        <f>C38*1.5</f>
        <v>190.5</v>
      </c>
    </row>
    <row r="39" spans="1:7" x14ac:dyDescent="0.25">
      <c r="A39" s="16" t="s">
        <v>13</v>
      </c>
      <c r="B39" s="16"/>
      <c r="C39" s="19">
        <v>1379</v>
      </c>
      <c r="D39" s="56"/>
      <c r="E39" s="43"/>
      <c r="F39" s="19">
        <f>(0.15*F35)</f>
        <v>17764.05</v>
      </c>
    </row>
    <row r="40" spans="1:7" x14ac:dyDescent="0.25">
      <c r="A40" s="16" t="s">
        <v>19</v>
      </c>
      <c r="B40" s="16"/>
      <c r="C40" s="19">
        <v>51</v>
      </c>
      <c r="E40" s="43"/>
      <c r="F40" s="19">
        <f>C40*1.5</f>
        <v>76.5</v>
      </c>
    </row>
    <row r="41" spans="1:7" x14ac:dyDescent="0.25">
      <c r="A41" s="16" t="s">
        <v>114</v>
      </c>
      <c r="B41" s="16"/>
      <c r="C41" s="19">
        <v>14976</v>
      </c>
      <c r="E41" s="43"/>
      <c r="F41" s="19">
        <f>0.025*175000*(11/12)</f>
        <v>4010.4166666666665</v>
      </c>
    </row>
    <row r="42" spans="1:7" x14ac:dyDescent="0.25">
      <c r="A42" s="16" t="s">
        <v>125</v>
      </c>
      <c r="E42" s="43"/>
      <c r="F42" s="66">
        <f>'Proj Income Statement'!H27*0.3</f>
        <v>198194.14337380268</v>
      </c>
      <c r="G42" s="66"/>
    </row>
    <row r="43" spans="1:7" x14ac:dyDescent="0.25">
      <c r="A43" s="16" t="s">
        <v>102</v>
      </c>
      <c r="B43" s="16"/>
      <c r="C43" s="19">
        <v>6732</v>
      </c>
      <c r="E43" s="43"/>
      <c r="F43" s="67">
        <v>7500</v>
      </c>
      <c r="G43" s="67"/>
    </row>
    <row r="44" spans="1:7" ht="15.75" thickBot="1" x14ac:dyDescent="0.3">
      <c r="A44" s="16"/>
      <c r="B44" s="16"/>
      <c r="C44" s="20">
        <f>SUM(C6:C43)</f>
        <v>757866</v>
      </c>
      <c r="D44" s="20">
        <f>SUM(D6:D43)</f>
        <v>799024.2</v>
      </c>
      <c r="E44" s="43"/>
      <c r="F44" s="20">
        <f>SUM(F6:F43)</f>
        <v>1770921.8810661107</v>
      </c>
      <c r="G44" s="20">
        <f>SUM(G6:G43)</f>
        <v>2728153.2676936206</v>
      </c>
    </row>
    <row r="45" spans="1:7" ht="15" customHeight="1" thickTop="1" x14ac:dyDescent="0.25">
      <c r="D45" s="21">
        <f>D44-C44</f>
        <v>41158.199999999953</v>
      </c>
    </row>
  </sheetData>
  <mergeCells count="3">
    <mergeCell ref="A1:D1"/>
    <mergeCell ref="A2:D2"/>
    <mergeCell ref="A3:D3"/>
  </mergeCells>
  <printOptions horizontalCentered="1"/>
  <pageMargins left="0.7" right="0.7" top="0.75" bottom="0.75" header="0.3" footer="0.3"/>
  <pageSetup orientation="portrait" r:id="rId1"/>
  <ignoredErrors>
    <ignoredError sqref="G23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0"/>
  <sheetViews>
    <sheetView topLeftCell="A9" workbookViewId="0">
      <selection activeCell="K18" sqref="K18"/>
    </sheetView>
  </sheetViews>
  <sheetFormatPr defaultRowHeight="15" x14ac:dyDescent="0.25"/>
  <cols>
    <col min="1" max="1" width="32.28515625" customWidth="1"/>
    <col min="2" max="2" width="12.85546875" style="30" customWidth="1"/>
    <col min="3" max="3" width="10.5703125" customWidth="1"/>
    <col min="4" max="4" width="11.42578125" style="44" customWidth="1"/>
    <col min="6" max="6" width="31.7109375" bestFit="1" customWidth="1"/>
    <col min="7" max="7" width="12.5703125" style="58" bestFit="1" customWidth="1"/>
    <col min="8" max="8" width="14.28515625" style="61" bestFit="1" customWidth="1"/>
  </cols>
  <sheetData>
    <row r="1" spans="1:9" x14ac:dyDescent="0.25">
      <c r="A1" s="24" t="s">
        <v>111</v>
      </c>
      <c r="B1" s="24"/>
      <c r="C1" s="24"/>
      <c r="D1" s="24"/>
      <c r="F1" s="24" t="s">
        <v>111</v>
      </c>
      <c r="G1" s="24"/>
      <c r="H1" s="24"/>
      <c r="I1" s="24"/>
    </row>
    <row r="2" spans="1:9" x14ac:dyDescent="0.25">
      <c r="A2" s="24" t="s">
        <v>116</v>
      </c>
      <c r="B2" s="24"/>
      <c r="C2" s="24"/>
      <c r="D2" s="24"/>
      <c r="F2" s="24" t="s">
        <v>116</v>
      </c>
      <c r="G2" s="24"/>
      <c r="H2" s="24"/>
      <c r="I2" s="24"/>
    </row>
    <row r="3" spans="1:9" x14ac:dyDescent="0.25">
      <c r="A3" s="25" t="s">
        <v>113</v>
      </c>
      <c r="B3" s="25"/>
      <c r="C3" s="25"/>
      <c r="D3" s="25"/>
      <c r="F3" s="25" t="s">
        <v>127</v>
      </c>
      <c r="G3" s="25"/>
      <c r="H3" s="25"/>
      <c r="I3" s="25"/>
    </row>
    <row r="4" spans="1:9" x14ac:dyDescent="0.25">
      <c r="A4" s="4" t="s">
        <v>115</v>
      </c>
      <c r="F4" s="4" t="s">
        <v>123</v>
      </c>
    </row>
    <row r="5" spans="1:9" x14ac:dyDescent="0.25">
      <c r="A5" s="26" t="str">
        <f>'Walnut Grove'!A27</f>
        <v>Material &amp; Supplies Sales</v>
      </c>
      <c r="B5" s="30">
        <f>'Walnut Grove'!D27</f>
        <v>276622</v>
      </c>
      <c r="F5" s="26" t="str">
        <f>'Walnut Grove'!A29</f>
        <v>Custom Cabinet Sales</v>
      </c>
      <c r="G5" s="30">
        <f>'Walnut Grove'!G29</f>
        <v>850000</v>
      </c>
    </row>
    <row r="6" spans="1:9" x14ac:dyDescent="0.25">
      <c r="A6" s="26" t="str">
        <f>'Walnut Grove'!A28</f>
        <v>Small Tool Sales</v>
      </c>
      <c r="B6" s="30">
        <f>'Walnut Grove'!D28</f>
        <v>9405</v>
      </c>
      <c r="F6" s="26" t="s">
        <v>85</v>
      </c>
      <c r="G6" s="58">
        <f>'Walnut Grove'!G27</f>
        <v>287686.88</v>
      </c>
    </row>
    <row r="7" spans="1:9" x14ac:dyDescent="0.25">
      <c r="A7" s="26" t="str">
        <f>'Walnut Grove'!A30</f>
        <v>Tool Rental Revenue</v>
      </c>
      <c r="B7" s="30">
        <f>'Walnut Grove'!D30</f>
        <v>4672</v>
      </c>
      <c r="F7" s="26" t="s">
        <v>84</v>
      </c>
      <c r="G7" s="58">
        <f>'Walnut Grove'!G28</f>
        <v>9687.15</v>
      </c>
    </row>
    <row r="8" spans="1:9" x14ac:dyDescent="0.25">
      <c r="A8" s="26" t="str">
        <f>'Walnut Grove'!A31</f>
        <v>Vendor Compensation Revenue</v>
      </c>
      <c r="B8" s="30">
        <f>'Walnut Grove'!D31</f>
        <v>429</v>
      </c>
      <c r="F8" s="26" t="s">
        <v>108</v>
      </c>
      <c r="G8" s="58">
        <f>'Walnut Grove'!G30</f>
        <v>104000</v>
      </c>
    </row>
    <row r="9" spans="1:9" x14ac:dyDescent="0.25">
      <c r="A9" s="37" t="s">
        <v>6</v>
      </c>
      <c r="C9" s="33">
        <f>SUM(B5:B8)</f>
        <v>291128</v>
      </c>
      <c r="F9" s="26" t="s">
        <v>107</v>
      </c>
      <c r="G9" s="58">
        <f>'Walnut Grove'!G31</f>
        <v>446.0189383170121</v>
      </c>
    </row>
    <row r="10" spans="1:9" x14ac:dyDescent="0.25">
      <c r="A10" s="26" t="str">
        <f>'Walnut Grove'!A32</f>
        <v>COGS: Material &amp; Supplies</v>
      </c>
      <c r="B10" s="30">
        <f>'Walnut Grove'!C32</f>
        <v>88933</v>
      </c>
      <c r="F10" s="37" t="s">
        <v>6</v>
      </c>
      <c r="H10" s="61">
        <f>SUM(G5:G9)</f>
        <v>1251820.0489383168</v>
      </c>
    </row>
    <row r="11" spans="1:9" x14ac:dyDescent="0.25">
      <c r="A11" s="26" t="str">
        <f>'Walnut Grove'!A33</f>
        <v>COGS: Small Tools</v>
      </c>
      <c r="B11" s="30">
        <f>'Walnut Grove'!C33</f>
        <v>13577</v>
      </c>
      <c r="F11" s="53" t="s">
        <v>7</v>
      </c>
    </row>
    <row r="12" spans="1:9" x14ac:dyDescent="0.25">
      <c r="A12" s="26" t="str">
        <f>'Walnut Grove'!A35</f>
        <v>COGS: Wages</v>
      </c>
      <c r="B12" s="30">
        <f>'Walnut Grove'!C35</f>
        <v>18027</v>
      </c>
      <c r="F12" s="26" t="s">
        <v>104</v>
      </c>
      <c r="G12" s="58">
        <f>'Walnut Grove'!F32</f>
        <v>92490.32</v>
      </c>
    </row>
    <row r="13" spans="1:9" x14ac:dyDescent="0.25">
      <c r="A13" s="40" t="s">
        <v>118</v>
      </c>
      <c r="C13" s="34">
        <f>C9-SUM(B10:B12)</f>
        <v>170591</v>
      </c>
      <c r="F13" s="26" t="s">
        <v>105</v>
      </c>
      <c r="G13" s="58">
        <f>'Walnut Grove'!F33</f>
        <v>13984.31</v>
      </c>
    </row>
    <row r="14" spans="1:9" x14ac:dyDescent="0.25">
      <c r="A14" s="4" t="s">
        <v>2</v>
      </c>
      <c r="F14" s="26" t="s">
        <v>106</v>
      </c>
      <c r="G14" s="58">
        <f>'Walnut Grove'!F35</f>
        <v>118427</v>
      </c>
    </row>
    <row r="15" spans="1:9" x14ac:dyDescent="0.25">
      <c r="A15" s="27" t="s">
        <v>12</v>
      </c>
      <c r="B15" s="30">
        <f>'Walnut Grove'!C36</f>
        <v>5798</v>
      </c>
      <c r="F15" s="26" t="str">
        <f>'Walnut Grove'!A34</f>
        <v xml:space="preserve">COGS: Custom Cabinet </v>
      </c>
      <c r="G15" s="58">
        <f>'Walnut Grove'!F34</f>
        <v>287500</v>
      </c>
    </row>
    <row r="16" spans="1:9" x14ac:dyDescent="0.25">
      <c r="A16" s="27" t="s">
        <v>22</v>
      </c>
      <c r="B16" s="30">
        <f>'Walnut Grove'!C37</f>
        <v>4334</v>
      </c>
      <c r="E16" s="45"/>
      <c r="F16" s="39" t="s">
        <v>14</v>
      </c>
      <c r="H16" s="60">
        <f>SUM(G11:G15)</f>
        <v>512401.63</v>
      </c>
    </row>
    <row r="17" spans="1:8" x14ac:dyDescent="0.25">
      <c r="A17" s="27" t="s">
        <v>20</v>
      </c>
      <c r="B17" s="30">
        <f>'Walnut Grove'!C38</f>
        <v>127</v>
      </c>
      <c r="F17" s="46" t="s">
        <v>15</v>
      </c>
      <c r="H17" s="60">
        <f>H10-H16</f>
        <v>739418.41893831675</v>
      </c>
    </row>
    <row r="18" spans="1:8" x14ac:dyDescent="0.25">
      <c r="A18" s="27" t="s">
        <v>13</v>
      </c>
      <c r="B18" s="30">
        <f>'Walnut Grove'!C39</f>
        <v>1379</v>
      </c>
      <c r="F18" s="4" t="s">
        <v>2</v>
      </c>
    </row>
    <row r="19" spans="1:8" x14ac:dyDescent="0.25">
      <c r="A19" s="27" t="s">
        <v>19</v>
      </c>
      <c r="B19" s="30">
        <f>'Walnut Grove'!C40</f>
        <v>51</v>
      </c>
      <c r="F19" s="27" t="s">
        <v>12</v>
      </c>
      <c r="G19" s="30">
        <f>'Walnut Grove'!F36</f>
        <v>35375.641025641024</v>
      </c>
    </row>
    <row r="20" spans="1:8" x14ac:dyDescent="0.25">
      <c r="A20" s="27" t="s">
        <v>114</v>
      </c>
      <c r="B20" s="30">
        <f>'Walnut Grove'!C41</f>
        <v>14976</v>
      </c>
      <c r="F20" s="27" t="s">
        <v>22</v>
      </c>
      <c r="G20" s="58">
        <f>'Walnut Grove'!F37</f>
        <v>13854.166666666666</v>
      </c>
    </row>
    <row r="21" spans="1:8" x14ac:dyDescent="0.25">
      <c r="A21" s="27" t="s">
        <v>102</v>
      </c>
      <c r="B21" s="30">
        <f>'Walnut Grove'!C43</f>
        <v>6732</v>
      </c>
      <c r="F21" s="27" t="s">
        <v>20</v>
      </c>
      <c r="G21" s="58">
        <f>'Walnut Grove'!F38</f>
        <v>190.5</v>
      </c>
    </row>
    <row r="22" spans="1:8" x14ac:dyDescent="0.25">
      <c r="A22" s="35" t="s">
        <v>24</v>
      </c>
      <c r="C22" s="41">
        <f>SUM(B15:B21)</f>
        <v>33397</v>
      </c>
      <c r="F22" s="27" t="s">
        <v>13</v>
      </c>
      <c r="G22" s="58">
        <f>'Walnut Grove'!F39</f>
        <v>17764.05</v>
      </c>
    </row>
    <row r="23" spans="1:8" ht="15.75" thickBot="1" x14ac:dyDescent="0.3">
      <c r="A23" s="29" t="s">
        <v>153</v>
      </c>
      <c r="C23" s="42">
        <f>C13-C22</f>
        <v>137194</v>
      </c>
      <c r="F23" s="27" t="s">
        <v>19</v>
      </c>
      <c r="G23" s="58">
        <f>'Walnut Grove'!F40</f>
        <v>76.5</v>
      </c>
    </row>
    <row r="24" spans="1:8" ht="15.75" thickTop="1" x14ac:dyDescent="0.25">
      <c r="A24" s="27" t="s">
        <v>154</v>
      </c>
      <c r="C24" s="33">
        <f>C23*0.3</f>
        <v>41158.199999999997</v>
      </c>
      <c r="F24" s="27" t="s">
        <v>114</v>
      </c>
      <c r="G24" s="58">
        <f>'Walnut Grove'!F41</f>
        <v>4010.4166666666665</v>
      </c>
    </row>
    <row r="25" spans="1:8" x14ac:dyDescent="0.25">
      <c r="A25" s="27" t="s">
        <v>117</v>
      </c>
      <c r="C25" s="33">
        <f>C23-C24</f>
        <v>96035.8</v>
      </c>
      <c r="F25" s="27" t="s">
        <v>102</v>
      </c>
      <c r="G25" s="58">
        <f>'Walnut Grove'!F43</f>
        <v>7500</v>
      </c>
    </row>
    <row r="26" spans="1:8" x14ac:dyDescent="0.25">
      <c r="F26" s="35" t="s">
        <v>24</v>
      </c>
      <c r="H26" s="58">
        <f>SUM(G19:G25)</f>
        <v>78771.274358974362</v>
      </c>
    </row>
    <row r="27" spans="1:8" x14ac:dyDescent="0.25">
      <c r="F27" s="35" t="s">
        <v>124</v>
      </c>
      <c r="H27" s="60">
        <f>'Proj Income Statement'!H17-'Proj Income Statement'!H26</f>
        <v>660647.14457934233</v>
      </c>
    </row>
    <row r="28" spans="1:8" x14ac:dyDescent="0.25">
      <c r="F28" s="47" t="s">
        <v>130</v>
      </c>
      <c r="H28" s="63">
        <f>(H27)*0.3</f>
        <v>198194.14337380268</v>
      </c>
    </row>
    <row r="29" spans="1:8" ht="15.75" thickBot="1" x14ac:dyDescent="0.3">
      <c r="F29" s="50" t="s">
        <v>117</v>
      </c>
      <c r="H29" s="64">
        <f>H27-H28</f>
        <v>462453.00120553968</v>
      </c>
    </row>
    <row r="30" spans="1:8" ht="15.75" thickTop="1" x14ac:dyDescent="0.25"/>
  </sheetData>
  <mergeCells count="6">
    <mergeCell ref="F1:I1"/>
    <mergeCell ref="F2:I2"/>
    <mergeCell ref="F3:I3"/>
    <mergeCell ref="A1:D1"/>
    <mergeCell ref="A2:D2"/>
    <mergeCell ref="A3:D3"/>
  </mergeCells>
  <pageMargins left="0.7" right="0.7" top="0.75" bottom="0.75" header="0.3" footer="0.3"/>
  <pageSetup orientation="portrait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0"/>
  <sheetViews>
    <sheetView workbookViewId="0">
      <selection activeCell="B5" sqref="B5"/>
    </sheetView>
  </sheetViews>
  <sheetFormatPr defaultRowHeight="15" x14ac:dyDescent="0.25"/>
  <cols>
    <col min="1" max="1" width="39.28515625" bestFit="1" customWidth="1"/>
    <col min="2" max="2" width="14.28515625" style="58" bestFit="1" customWidth="1"/>
    <col min="3" max="3" width="14.28515625" style="61" bestFit="1" customWidth="1"/>
    <col min="4" max="10" width="9.140625" style="33"/>
  </cols>
  <sheetData>
    <row r="1" spans="1:7" x14ac:dyDescent="0.25">
      <c r="A1" s="24" t="s">
        <v>111</v>
      </c>
      <c r="B1" s="24"/>
      <c r="C1" s="24"/>
      <c r="D1" s="54"/>
    </row>
    <row r="2" spans="1:7" x14ac:dyDescent="0.25">
      <c r="A2" s="24" t="s">
        <v>126</v>
      </c>
      <c r="B2" s="24"/>
      <c r="C2" s="24"/>
      <c r="D2" s="54"/>
    </row>
    <row r="3" spans="1:7" x14ac:dyDescent="0.25">
      <c r="A3" s="25" t="s">
        <v>127</v>
      </c>
      <c r="B3" s="25"/>
      <c r="C3" s="25"/>
      <c r="D3" s="55"/>
    </row>
    <row r="4" spans="1:7" x14ac:dyDescent="0.25">
      <c r="A4" s="4" t="s">
        <v>34</v>
      </c>
    </row>
    <row r="5" spans="1:7" x14ac:dyDescent="0.25">
      <c r="A5" s="28" t="s">
        <v>29</v>
      </c>
      <c r="B5" s="30">
        <f>1435160-505318</f>
        <v>929842</v>
      </c>
    </row>
    <row r="6" spans="1:7" x14ac:dyDescent="0.25">
      <c r="A6" s="28" t="s">
        <v>30</v>
      </c>
      <c r="B6" s="58">
        <f>'Walnut Grove'!F7</f>
        <v>126300</v>
      </c>
    </row>
    <row r="7" spans="1:7" x14ac:dyDescent="0.25">
      <c r="A7" s="28" t="s">
        <v>32</v>
      </c>
      <c r="B7" s="58">
        <f>23226</f>
        <v>23226</v>
      </c>
    </row>
    <row r="8" spans="1:7" x14ac:dyDescent="0.25">
      <c r="A8" s="28" t="s">
        <v>31</v>
      </c>
      <c r="B8" s="59">
        <f>'Walnut Grove'!F9</f>
        <v>35090.833333333336</v>
      </c>
      <c r="G8" s="33" t="s">
        <v>119</v>
      </c>
    </row>
    <row r="9" spans="1:7" x14ac:dyDescent="0.25">
      <c r="A9" s="48" t="s">
        <v>33</v>
      </c>
      <c r="C9" s="59">
        <f>SUM(B5:B8)</f>
        <v>1114458.8333333333</v>
      </c>
    </row>
    <row r="10" spans="1:7" x14ac:dyDescent="0.25">
      <c r="A10" s="29" t="s">
        <v>156</v>
      </c>
    </row>
    <row r="11" spans="1:7" x14ac:dyDescent="0.25">
      <c r="A11" s="28" t="s">
        <v>88</v>
      </c>
      <c r="B11" s="58">
        <f>'Walnut Grove'!F10</f>
        <v>128400</v>
      </c>
    </row>
    <row r="12" spans="1:7" x14ac:dyDescent="0.25">
      <c r="A12" s="28" t="s">
        <v>36</v>
      </c>
      <c r="B12" s="58">
        <f>'Walnut Grove'!F11</f>
        <v>1043</v>
      </c>
    </row>
    <row r="13" spans="1:7" x14ac:dyDescent="0.25">
      <c r="A13" s="28" t="s">
        <v>37</v>
      </c>
      <c r="B13" s="58">
        <f>'Walnut Grove'!F12</f>
        <v>3932</v>
      </c>
    </row>
    <row r="14" spans="1:7" x14ac:dyDescent="0.25">
      <c r="A14" s="28" t="s">
        <v>87</v>
      </c>
      <c r="B14" s="58">
        <f>'Walnut Grove'!F13</f>
        <v>53500</v>
      </c>
    </row>
    <row r="15" spans="1:7" x14ac:dyDescent="0.25">
      <c r="A15" s="28" t="s">
        <v>38</v>
      </c>
      <c r="B15" s="58">
        <f>'Walnut Grove'!F14</f>
        <v>175000</v>
      </c>
    </row>
    <row r="16" spans="1:7" x14ac:dyDescent="0.25">
      <c r="A16" s="28" t="s">
        <v>64</v>
      </c>
      <c r="B16" s="59">
        <f>-'Walnut Grove'!G15</f>
        <v>-41173.641025641024</v>
      </c>
    </row>
    <row r="17" spans="1:3" x14ac:dyDescent="0.25">
      <c r="A17" s="35" t="s">
        <v>157</v>
      </c>
      <c r="C17" s="60">
        <f>SUM(B11:B16)</f>
        <v>320701.358974359</v>
      </c>
    </row>
    <row r="18" spans="1:3" ht="15.75" thickBot="1" x14ac:dyDescent="0.3">
      <c r="A18" s="52" t="s">
        <v>42</v>
      </c>
      <c r="C18" s="57">
        <f>C9+C17</f>
        <v>1435160.1923076923</v>
      </c>
    </row>
    <row r="19" spans="1:3" ht="15.75" thickTop="1" x14ac:dyDescent="0.25">
      <c r="A19" s="29" t="s">
        <v>43</v>
      </c>
    </row>
    <row r="20" spans="1:3" x14ac:dyDescent="0.25">
      <c r="A20" s="28" t="s">
        <v>44</v>
      </c>
      <c r="B20" s="30">
        <f>'Walnut Grove'!G16</f>
        <v>42534.135833333334</v>
      </c>
    </row>
    <row r="21" spans="1:3" x14ac:dyDescent="0.25">
      <c r="A21" s="28" t="s">
        <v>45</v>
      </c>
      <c r="B21" s="58">
        <f>'Walnut Grove'!G17</f>
        <v>341.61634615384617</v>
      </c>
    </row>
    <row r="22" spans="1:3" x14ac:dyDescent="0.25">
      <c r="A22" s="28" t="s">
        <v>46</v>
      </c>
      <c r="B22" s="58">
        <f>'Walnut Grove'!G18</f>
        <v>5735.464304166665</v>
      </c>
    </row>
    <row r="23" spans="1:3" x14ac:dyDescent="0.25">
      <c r="A23" s="28" t="s">
        <v>122</v>
      </c>
      <c r="B23" s="58">
        <f>'Walnut Grove'!G19</f>
        <v>4010.416666666667</v>
      </c>
    </row>
    <row r="24" spans="1:3" x14ac:dyDescent="0.25">
      <c r="A24" s="28" t="s">
        <v>99</v>
      </c>
      <c r="B24" s="58">
        <f>'Walnut Grove'!G21</f>
        <v>10200</v>
      </c>
    </row>
    <row r="25" spans="1:3" x14ac:dyDescent="0.25">
      <c r="A25" s="28" t="s">
        <v>129</v>
      </c>
      <c r="B25" s="59">
        <f>'Walnut Grove'!G20</f>
        <v>198194.14337380268</v>
      </c>
    </row>
    <row r="26" spans="1:3" x14ac:dyDescent="0.25">
      <c r="A26" s="35" t="s">
        <v>137</v>
      </c>
      <c r="C26" s="59">
        <f>SUM(B20:B25)</f>
        <v>261015.77652412318</v>
      </c>
    </row>
    <row r="28" spans="1:3" x14ac:dyDescent="0.25">
      <c r="A28" s="29" t="s">
        <v>136</v>
      </c>
    </row>
    <row r="29" spans="1:3" x14ac:dyDescent="0.25">
      <c r="A29" s="28" t="s">
        <v>49</v>
      </c>
      <c r="B29" s="58">
        <f>'Walnut Grove'!G22</f>
        <v>294376</v>
      </c>
    </row>
    <row r="30" spans="1:3" x14ac:dyDescent="0.25">
      <c r="A30" s="28" t="s">
        <v>48</v>
      </c>
      <c r="B30" s="59">
        <f>'Walnut Grove'!G23</f>
        <v>175000</v>
      </c>
    </row>
    <row r="31" spans="1:3" x14ac:dyDescent="0.25">
      <c r="A31" s="36" t="s">
        <v>138</v>
      </c>
      <c r="C31" s="60">
        <f>SUM(B29:B30)</f>
        <v>469376</v>
      </c>
    </row>
    <row r="32" spans="1:3" x14ac:dyDescent="0.25">
      <c r="A32" s="51" t="s">
        <v>128</v>
      </c>
      <c r="C32" s="62">
        <f>SUM(C26,C31)</f>
        <v>730391.77652412315</v>
      </c>
    </row>
    <row r="34" spans="1:3" x14ac:dyDescent="0.25">
      <c r="A34" s="29" t="s">
        <v>158</v>
      </c>
    </row>
    <row r="35" spans="1:3" x14ac:dyDescent="0.25">
      <c r="A35" s="28" t="s">
        <v>53</v>
      </c>
      <c r="B35" s="1">
        <f>'Walnut Grove'!G24</f>
        <v>1070</v>
      </c>
    </row>
    <row r="36" spans="1:3" x14ac:dyDescent="0.25">
      <c r="A36" s="28" t="s">
        <v>54</v>
      </c>
      <c r="B36" s="58">
        <f>'Walnut Grove'!G25</f>
        <v>1070</v>
      </c>
    </row>
    <row r="37" spans="1:3" x14ac:dyDescent="0.25">
      <c r="A37" s="28" t="s">
        <v>103</v>
      </c>
      <c r="B37" s="58">
        <f>'Walnut Grove'!G26</f>
        <v>702627.80120553961</v>
      </c>
    </row>
    <row r="38" spans="1:3" x14ac:dyDescent="0.25">
      <c r="A38" s="52" t="s">
        <v>159</v>
      </c>
      <c r="C38" s="60">
        <f>SUM(B35:B37)</f>
        <v>704767.80120553961</v>
      </c>
    </row>
    <row r="39" spans="1:3" ht="15.75" thickBot="1" x14ac:dyDescent="0.3">
      <c r="A39" s="49" t="s">
        <v>131</v>
      </c>
      <c r="C39" s="57">
        <f>C32+C38</f>
        <v>1435159.5777296629</v>
      </c>
    </row>
    <row r="40" spans="1:3" ht="15.75" thickTop="1" x14ac:dyDescent="0.25"/>
  </sheetData>
  <mergeCells count="3">
    <mergeCell ref="A1:C1"/>
    <mergeCell ref="A2:C2"/>
    <mergeCell ref="A3:C3"/>
  </mergeCells>
  <pageMargins left="0.7" right="0.7" top="0.75" bottom="0.75" header="0.3" footer="0.3"/>
  <pageSetup orientation="portrait" horizontalDpi="4294967294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9"/>
  <sheetViews>
    <sheetView workbookViewId="0">
      <selection activeCell="M18" sqref="M18"/>
    </sheetView>
  </sheetViews>
  <sheetFormatPr defaultRowHeight="15" x14ac:dyDescent="0.25"/>
  <cols>
    <col min="1" max="1" width="75.7109375" bestFit="1" customWidth="1"/>
    <col min="2" max="2" width="14.140625" style="30" customWidth="1"/>
    <col min="3" max="3" width="13" customWidth="1"/>
  </cols>
  <sheetData>
    <row r="1" spans="1:3" x14ac:dyDescent="0.25">
      <c r="A1" s="24" t="s">
        <v>111</v>
      </c>
      <c r="B1" s="24"/>
      <c r="C1" s="24"/>
    </row>
    <row r="2" spans="1:3" x14ac:dyDescent="0.25">
      <c r="A2" s="24" t="s">
        <v>132</v>
      </c>
      <c r="B2" s="24"/>
      <c r="C2" s="24"/>
    </row>
    <row r="3" spans="1:3" x14ac:dyDescent="0.25">
      <c r="A3" s="25" t="s">
        <v>127</v>
      </c>
      <c r="B3" s="25"/>
      <c r="C3" s="25"/>
    </row>
    <row r="4" spans="1:3" x14ac:dyDescent="0.25">
      <c r="A4" s="4" t="s">
        <v>133</v>
      </c>
    </row>
    <row r="5" spans="1:3" x14ac:dyDescent="0.25">
      <c r="A5" s="26" t="s">
        <v>117</v>
      </c>
      <c r="B5" s="30">
        <f>'Proj Income Statement'!H29</f>
        <v>462453.00120553968</v>
      </c>
    </row>
    <row r="6" spans="1:3" x14ac:dyDescent="0.25">
      <c r="A6" s="26" t="s">
        <v>155</v>
      </c>
    </row>
    <row r="7" spans="1:3" x14ac:dyDescent="0.25">
      <c r="A7" s="31" t="s">
        <v>134</v>
      </c>
    </row>
    <row r="8" spans="1:3" x14ac:dyDescent="0.25">
      <c r="A8" s="32" t="s">
        <v>152</v>
      </c>
      <c r="B8" s="58">
        <f>'Proj Income Statement'!G19</f>
        <v>35375.641025641024</v>
      </c>
    </row>
    <row r="9" spans="1:3" x14ac:dyDescent="0.25">
      <c r="A9" s="31" t="s">
        <v>135</v>
      </c>
      <c r="B9" s="58"/>
    </row>
    <row r="10" spans="1:3" x14ac:dyDescent="0.25">
      <c r="A10" s="32" t="s">
        <v>68</v>
      </c>
      <c r="B10" s="58">
        <f>-('Walnut Grove'!F7-'Walnut Grove'!C7)</f>
        <v>-100928</v>
      </c>
    </row>
    <row r="11" spans="1:3" x14ac:dyDescent="0.25">
      <c r="A11" s="32" t="s">
        <v>94</v>
      </c>
      <c r="B11" s="58">
        <f>-('Walnut Grove'!F8-'Walnut Grove'!C8)</f>
        <v>-1992</v>
      </c>
    </row>
    <row r="12" spans="1:3" x14ac:dyDescent="0.25">
      <c r="A12" s="32" t="s">
        <v>69</v>
      </c>
      <c r="B12" s="58">
        <f>-('Walnut Grove'!F9-'Walnut Grove'!C9)</f>
        <v>-33645.833333333336</v>
      </c>
    </row>
    <row r="13" spans="1:3" x14ac:dyDescent="0.25">
      <c r="A13" s="32" t="s">
        <v>70</v>
      </c>
      <c r="B13" s="58">
        <f>'Walnut Grove'!G16-'Walnut Grove'!D16</f>
        <v>29837.135833333334</v>
      </c>
    </row>
    <row r="14" spans="1:3" x14ac:dyDescent="0.25">
      <c r="A14" s="32" t="s">
        <v>146</v>
      </c>
      <c r="B14" s="58">
        <f>'Walnut Grove'!G17-'Walnut Grove'!D17</f>
        <v>-4644.3836538461537</v>
      </c>
    </row>
    <row r="15" spans="1:3" x14ac:dyDescent="0.25">
      <c r="A15" s="32" t="s">
        <v>140</v>
      </c>
      <c r="B15" s="58">
        <f>'Walnut Grove'!G18-'Walnut Grove'!D18</f>
        <v>3133.464304166665</v>
      </c>
    </row>
    <row r="16" spans="1:3" x14ac:dyDescent="0.25">
      <c r="A16" s="32" t="s">
        <v>141</v>
      </c>
      <c r="B16" s="58">
        <f>'Walnut Grove'!G21-'Walnut Grove'!D21</f>
        <v>10200</v>
      </c>
    </row>
    <row r="17" spans="1:3" x14ac:dyDescent="0.25">
      <c r="A17" s="32" t="s">
        <v>139</v>
      </c>
      <c r="B17" s="58">
        <f>'Walnut Grove'!G19-'Walnut Grove'!D19</f>
        <v>4010.416666666667</v>
      </c>
    </row>
    <row r="18" spans="1:3" x14ac:dyDescent="0.25">
      <c r="A18" s="32" t="s">
        <v>142</v>
      </c>
      <c r="B18" s="59">
        <f>'Walnut Grove'!G20-'Walnut Grove'!D20</f>
        <v>157035.9433738027</v>
      </c>
    </row>
    <row r="19" spans="1:3" x14ac:dyDescent="0.25">
      <c r="A19" s="38" t="s">
        <v>71</v>
      </c>
      <c r="C19" s="30">
        <f>SUM(B5:B18)</f>
        <v>560835.38542197063</v>
      </c>
    </row>
    <row r="20" spans="1:3" x14ac:dyDescent="0.25">
      <c r="A20" s="53" t="s">
        <v>143</v>
      </c>
    </row>
    <row r="21" spans="1:3" x14ac:dyDescent="0.25">
      <c r="A21" s="32" t="s">
        <v>144</v>
      </c>
      <c r="B21" s="58">
        <f>-'Walnut Grove'!F14</f>
        <v>-175000</v>
      </c>
    </row>
    <row r="22" spans="1:3" x14ac:dyDescent="0.25">
      <c r="A22" s="26" t="s">
        <v>76</v>
      </c>
      <c r="C22" s="58">
        <f>B21</f>
        <v>-175000</v>
      </c>
    </row>
    <row r="23" spans="1:3" x14ac:dyDescent="0.25">
      <c r="A23" s="53" t="s">
        <v>145</v>
      </c>
    </row>
    <row r="24" spans="1:3" x14ac:dyDescent="0.25">
      <c r="A24" s="31" t="s">
        <v>147</v>
      </c>
      <c r="B24" s="58">
        <f>'Walnut Grove'!G23</f>
        <v>175000</v>
      </c>
    </row>
    <row r="25" spans="1:3" x14ac:dyDescent="0.25">
      <c r="A25" s="26" t="s">
        <v>148</v>
      </c>
      <c r="C25" s="60">
        <f>B24</f>
        <v>175000</v>
      </c>
    </row>
    <row r="26" spans="1:3" x14ac:dyDescent="0.25">
      <c r="A26" s="4" t="s">
        <v>149</v>
      </c>
      <c r="C26" s="33">
        <f>SUM(C19,C22,C25)</f>
        <v>560835.38542197063</v>
      </c>
    </row>
    <row r="27" spans="1:3" x14ac:dyDescent="0.25">
      <c r="A27" s="4" t="s">
        <v>150</v>
      </c>
      <c r="C27" s="58">
        <f>'Walnut Grove'!C6</f>
        <v>369006</v>
      </c>
    </row>
    <row r="28" spans="1:3" ht="15.75" thickBot="1" x14ac:dyDescent="0.3">
      <c r="A28" s="4" t="s">
        <v>151</v>
      </c>
      <c r="C28" s="57">
        <f>'Proj Balance Sheet'!B5</f>
        <v>929842</v>
      </c>
    </row>
    <row r="29" spans="1:3" ht="15.75" thickTop="1" x14ac:dyDescent="0.25"/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43"/>
  <sheetViews>
    <sheetView zoomScaleNormal="100" workbookViewId="0">
      <selection activeCell="C29" sqref="C29"/>
    </sheetView>
  </sheetViews>
  <sheetFormatPr defaultRowHeight="15" x14ac:dyDescent="0.25"/>
  <cols>
    <col min="1" max="1" width="2.7109375" customWidth="1"/>
    <col min="2" max="2" width="3.7109375" customWidth="1"/>
    <col min="3" max="3" width="16.7109375" customWidth="1"/>
    <col min="4" max="5" width="11.7109375" style="1" customWidth="1"/>
    <col min="7" max="9" width="2.7109375" customWidth="1"/>
    <col min="10" max="10" width="20.7109375" customWidth="1"/>
    <col min="11" max="11" width="10.140625" style="1" bestFit="1" customWidth="1"/>
    <col min="12" max="12" width="10.42578125" style="1" bestFit="1" customWidth="1"/>
    <col min="14" max="16" width="2.7109375" customWidth="1"/>
    <col min="21" max="22" width="10.140625" style="1" bestFit="1" customWidth="1"/>
  </cols>
  <sheetData>
    <row r="1" spans="1:22" x14ac:dyDescent="0.25">
      <c r="A1" s="22" t="s">
        <v>95</v>
      </c>
      <c r="B1" s="22"/>
      <c r="C1" s="22"/>
      <c r="D1" s="22"/>
      <c r="E1" s="22"/>
      <c r="G1" s="22" t="s">
        <v>95</v>
      </c>
      <c r="H1" s="22"/>
      <c r="I1" s="22"/>
      <c r="J1" s="22"/>
      <c r="K1" s="22"/>
      <c r="L1" s="22"/>
      <c r="N1" s="22" t="s">
        <v>95</v>
      </c>
      <c r="O1" s="22"/>
      <c r="P1" s="22"/>
      <c r="Q1" s="22"/>
      <c r="R1" s="22"/>
      <c r="S1" s="22"/>
      <c r="T1" s="22"/>
      <c r="U1" s="22"/>
      <c r="V1" s="22"/>
    </row>
    <row r="2" spans="1:22" x14ac:dyDescent="0.25">
      <c r="A2" s="22" t="s">
        <v>61</v>
      </c>
      <c r="B2" s="22"/>
      <c r="C2" s="22"/>
      <c r="D2" s="22"/>
      <c r="E2" s="22"/>
      <c r="G2" s="22" t="s">
        <v>60</v>
      </c>
      <c r="H2" s="22"/>
      <c r="I2" s="22"/>
      <c r="J2" s="22"/>
      <c r="K2" s="22"/>
      <c r="L2" s="22"/>
      <c r="N2" s="22" t="s">
        <v>83</v>
      </c>
      <c r="O2" s="22"/>
      <c r="P2" s="22"/>
      <c r="Q2" s="22"/>
      <c r="R2" s="22"/>
      <c r="S2" s="22"/>
      <c r="T2" s="22"/>
      <c r="U2" s="22"/>
      <c r="V2" s="22"/>
    </row>
    <row r="3" spans="1:22" x14ac:dyDescent="0.25">
      <c r="A3" s="22" t="s">
        <v>97</v>
      </c>
      <c r="B3" s="22"/>
      <c r="C3" s="22"/>
      <c r="D3" s="22"/>
      <c r="E3" s="22"/>
      <c r="G3" s="22" t="s">
        <v>26</v>
      </c>
      <c r="H3" s="22"/>
      <c r="I3" s="22"/>
      <c r="J3" s="22"/>
      <c r="K3" s="22"/>
      <c r="L3" s="22"/>
      <c r="N3" s="22" t="s">
        <v>97</v>
      </c>
      <c r="O3" s="22"/>
      <c r="P3" s="22"/>
      <c r="Q3" s="22"/>
      <c r="R3" s="22"/>
      <c r="S3" s="22"/>
      <c r="T3" s="22"/>
      <c r="U3" s="22"/>
      <c r="V3" s="22"/>
    </row>
    <row r="5" spans="1:22" x14ac:dyDescent="0.25">
      <c r="A5" s="4" t="s">
        <v>1</v>
      </c>
      <c r="G5" s="22" t="s">
        <v>28</v>
      </c>
      <c r="H5" s="22"/>
      <c r="I5" s="22"/>
      <c r="J5" s="22"/>
      <c r="K5" s="22"/>
      <c r="L5" s="22"/>
      <c r="N5" s="4" t="s">
        <v>65</v>
      </c>
    </row>
    <row r="6" spans="1:22" x14ac:dyDescent="0.25">
      <c r="B6" t="s">
        <v>96</v>
      </c>
      <c r="D6" s="1">
        <v>0</v>
      </c>
      <c r="G6" s="4" t="s">
        <v>34</v>
      </c>
      <c r="O6" t="s">
        <v>3</v>
      </c>
      <c r="V6" s="1">
        <f>+E27</f>
        <v>0</v>
      </c>
    </row>
    <row r="7" spans="1:22" x14ac:dyDescent="0.25">
      <c r="B7" t="s">
        <v>98</v>
      </c>
      <c r="D7" s="1">
        <v>0</v>
      </c>
      <c r="H7" t="s">
        <v>29</v>
      </c>
      <c r="K7" s="1">
        <v>33000</v>
      </c>
      <c r="O7" t="s">
        <v>66</v>
      </c>
    </row>
    <row r="8" spans="1:22" x14ac:dyDescent="0.25">
      <c r="B8" t="s">
        <v>86</v>
      </c>
      <c r="D8" s="2">
        <v>0</v>
      </c>
      <c r="H8" t="s">
        <v>30</v>
      </c>
      <c r="P8" t="s">
        <v>67</v>
      </c>
      <c r="U8" s="1">
        <f>+D19</f>
        <v>0</v>
      </c>
    </row>
    <row r="9" spans="1:22" x14ac:dyDescent="0.25">
      <c r="C9" s="4" t="s">
        <v>6</v>
      </c>
      <c r="E9" s="5">
        <f>SUM(D6:D8)</f>
        <v>0</v>
      </c>
      <c r="H9" t="s">
        <v>32</v>
      </c>
      <c r="P9" t="s">
        <v>68</v>
      </c>
      <c r="U9" s="1">
        <f>-K8</f>
        <v>0</v>
      </c>
    </row>
    <row r="10" spans="1:22" x14ac:dyDescent="0.25">
      <c r="H10" t="s">
        <v>31</v>
      </c>
      <c r="K10" s="2"/>
      <c r="P10" t="s">
        <v>94</v>
      </c>
      <c r="U10" s="1">
        <v>0</v>
      </c>
    </row>
    <row r="11" spans="1:22" x14ac:dyDescent="0.25">
      <c r="A11" s="4" t="s">
        <v>7</v>
      </c>
      <c r="I11" s="4" t="s">
        <v>33</v>
      </c>
      <c r="L11" s="5">
        <f>SUM(K7:K10)</f>
        <v>33000</v>
      </c>
      <c r="P11" t="s">
        <v>69</v>
      </c>
      <c r="U11" s="1">
        <f>-K10</f>
        <v>0</v>
      </c>
    </row>
    <row r="12" spans="1:22" x14ac:dyDescent="0.25">
      <c r="B12" t="s">
        <v>16</v>
      </c>
      <c r="D12" s="1">
        <v>0</v>
      </c>
      <c r="G12" s="4" t="s">
        <v>35</v>
      </c>
      <c r="P12" t="s">
        <v>70</v>
      </c>
      <c r="U12" s="1">
        <f>+K28</f>
        <v>0</v>
      </c>
    </row>
    <row r="13" spans="1:22" x14ac:dyDescent="0.25">
      <c r="B13" t="s">
        <v>8</v>
      </c>
      <c r="D13" s="1">
        <v>0</v>
      </c>
      <c r="H13" t="s">
        <v>88</v>
      </c>
      <c r="P13" t="s">
        <v>92</v>
      </c>
      <c r="U13" s="1">
        <f>+K29</f>
        <v>0</v>
      </c>
    </row>
    <row r="14" spans="1:22" x14ac:dyDescent="0.25">
      <c r="B14" t="s">
        <v>9</v>
      </c>
      <c r="D14" s="1">
        <v>0</v>
      </c>
      <c r="H14" t="s">
        <v>36</v>
      </c>
      <c r="P14" t="s">
        <v>93</v>
      </c>
      <c r="U14" s="1">
        <f>+K30</f>
        <v>0</v>
      </c>
    </row>
    <row r="15" spans="1:22" x14ac:dyDescent="0.25">
      <c r="B15" t="s">
        <v>11</v>
      </c>
      <c r="D15" s="2">
        <v>0</v>
      </c>
      <c r="H15" t="s">
        <v>37</v>
      </c>
      <c r="P15" t="s">
        <v>101</v>
      </c>
      <c r="U15" s="2">
        <f>+K31</f>
        <v>32500</v>
      </c>
      <c r="V15" s="2">
        <f>SUM(U8:U15)</f>
        <v>32500</v>
      </c>
    </row>
    <row r="16" spans="1:22" x14ac:dyDescent="0.25">
      <c r="C16" s="8" t="s">
        <v>14</v>
      </c>
      <c r="E16" s="7">
        <f>SUM(D12:D15)</f>
        <v>0</v>
      </c>
      <c r="H16" t="s">
        <v>87</v>
      </c>
      <c r="Q16" t="s">
        <v>71</v>
      </c>
      <c r="V16" s="1">
        <f>+V6+V15</f>
        <v>32500</v>
      </c>
    </row>
    <row r="17" spans="1:22" x14ac:dyDescent="0.25">
      <c r="A17" s="4" t="s">
        <v>15</v>
      </c>
      <c r="E17" s="5">
        <f>+E9-E16</f>
        <v>0</v>
      </c>
      <c r="H17" t="s">
        <v>38</v>
      </c>
      <c r="K17" s="12"/>
      <c r="N17" s="4" t="s">
        <v>72</v>
      </c>
    </row>
    <row r="18" spans="1:22" x14ac:dyDescent="0.25">
      <c r="A18" s="4" t="s">
        <v>2</v>
      </c>
      <c r="H18" t="s">
        <v>64</v>
      </c>
      <c r="K18" s="2"/>
      <c r="O18" t="s">
        <v>89</v>
      </c>
      <c r="U18" s="1">
        <v>0</v>
      </c>
    </row>
    <row r="19" spans="1:22" x14ac:dyDescent="0.25">
      <c r="B19" t="s">
        <v>12</v>
      </c>
      <c r="D19" s="1">
        <v>0</v>
      </c>
      <c r="I19" s="4" t="s">
        <v>39</v>
      </c>
      <c r="L19" s="5">
        <f>SUM(K14:K18)</f>
        <v>0</v>
      </c>
      <c r="O19" t="s">
        <v>73</v>
      </c>
      <c r="U19" s="1">
        <f>-K14</f>
        <v>0</v>
      </c>
    </row>
    <row r="20" spans="1:22" x14ac:dyDescent="0.25">
      <c r="B20" t="s">
        <v>22</v>
      </c>
      <c r="D20" s="1">
        <v>0</v>
      </c>
      <c r="G20" s="4" t="s">
        <v>40</v>
      </c>
      <c r="O20" t="s">
        <v>74</v>
      </c>
      <c r="U20" s="1">
        <f>-K15</f>
        <v>0</v>
      </c>
    </row>
    <row r="21" spans="1:22" x14ac:dyDescent="0.25">
      <c r="B21" t="s">
        <v>21</v>
      </c>
      <c r="D21" s="1">
        <v>0</v>
      </c>
      <c r="K21" s="2"/>
      <c r="O21" t="s">
        <v>90</v>
      </c>
      <c r="U21" s="1">
        <f>-K16</f>
        <v>0</v>
      </c>
    </row>
    <row r="22" spans="1:22" x14ac:dyDescent="0.25">
      <c r="B22" t="s">
        <v>20</v>
      </c>
      <c r="D22" s="1">
        <v>0</v>
      </c>
      <c r="O22" t="s">
        <v>75</v>
      </c>
      <c r="U22" s="2">
        <f>-K17</f>
        <v>0</v>
      </c>
    </row>
    <row r="23" spans="1:22" x14ac:dyDescent="0.25">
      <c r="B23" t="s">
        <v>13</v>
      </c>
      <c r="D23" s="1">
        <v>0</v>
      </c>
      <c r="I23" s="4" t="s">
        <v>41</v>
      </c>
      <c r="L23" s="6">
        <f>SUM(K21:K21)</f>
        <v>0</v>
      </c>
      <c r="Q23" t="s">
        <v>76</v>
      </c>
      <c r="V23" s="1">
        <f>SUM(U19:U22)</f>
        <v>0</v>
      </c>
    </row>
    <row r="24" spans="1:22" ht="14.45" customHeight="1" thickBot="1" x14ac:dyDescent="0.3">
      <c r="B24" t="s">
        <v>19</v>
      </c>
      <c r="D24" s="1">
        <v>0</v>
      </c>
      <c r="F24" s="3"/>
      <c r="I24" s="4" t="s">
        <v>42</v>
      </c>
      <c r="L24" s="10">
        <f>+L23+L19+L11</f>
        <v>33000</v>
      </c>
      <c r="N24" s="4" t="s">
        <v>77</v>
      </c>
    </row>
    <row r="25" spans="1:22" ht="15.75" thickTop="1" x14ac:dyDescent="0.25">
      <c r="B25" t="s">
        <v>23</v>
      </c>
      <c r="D25" s="1">
        <v>0</v>
      </c>
      <c r="F25" s="3"/>
      <c r="O25" t="s">
        <v>91</v>
      </c>
    </row>
    <row r="26" spans="1:22" x14ac:dyDescent="0.25">
      <c r="C26" t="s">
        <v>24</v>
      </c>
      <c r="E26" s="2">
        <f>SUM(D19:D25)</f>
        <v>0</v>
      </c>
      <c r="F26" s="3"/>
      <c r="G26" s="22" t="s">
        <v>52</v>
      </c>
      <c r="H26" s="22"/>
      <c r="I26" s="22"/>
      <c r="J26" s="22"/>
      <c r="K26" s="22"/>
      <c r="L26" s="22"/>
      <c r="O26" t="s">
        <v>78</v>
      </c>
      <c r="U26" s="2">
        <f>+K38+K39</f>
        <v>500</v>
      </c>
    </row>
    <row r="27" spans="1:22" x14ac:dyDescent="0.25">
      <c r="A27" s="4" t="s">
        <v>3</v>
      </c>
      <c r="E27" s="5">
        <f>+E17-E26</f>
        <v>0</v>
      </c>
      <c r="G27" s="4" t="s">
        <v>43</v>
      </c>
      <c r="Q27" t="s">
        <v>79</v>
      </c>
      <c r="V27" s="2">
        <f>+U26</f>
        <v>500</v>
      </c>
    </row>
    <row r="28" spans="1:22" x14ac:dyDescent="0.25">
      <c r="A28" s="14"/>
      <c r="B28" s="14"/>
      <c r="C28" s="14"/>
      <c r="D28" s="15"/>
      <c r="E28" s="15"/>
      <c r="H28" t="s">
        <v>44</v>
      </c>
      <c r="N28" s="4" t="s">
        <v>80</v>
      </c>
      <c r="V28" s="1">
        <f>+V27+V23+V16</f>
        <v>33000</v>
      </c>
    </row>
    <row r="29" spans="1:22" x14ac:dyDescent="0.25">
      <c r="A29" s="14"/>
      <c r="B29" s="14"/>
      <c r="C29" s="14"/>
      <c r="D29" s="15"/>
      <c r="E29" s="15"/>
      <c r="H29" t="s">
        <v>45</v>
      </c>
      <c r="N29" s="4" t="s">
        <v>81</v>
      </c>
      <c r="V29" s="2">
        <v>0</v>
      </c>
    </row>
    <row r="30" spans="1:22" ht="15.75" thickBot="1" x14ac:dyDescent="0.3">
      <c r="A30" s="14"/>
      <c r="B30" s="14"/>
      <c r="C30" s="14"/>
      <c r="D30" s="15"/>
      <c r="E30" s="15"/>
      <c r="H30" t="s">
        <v>46</v>
      </c>
      <c r="N30" s="4" t="s">
        <v>82</v>
      </c>
      <c r="V30" s="13">
        <f>SUM(V28:V29)</f>
        <v>33000</v>
      </c>
    </row>
    <row r="31" spans="1:22" ht="15.75" thickTop="1" x14ac:dyDescent="0.25">
      <c r="A31" s="14"/>
      <c r="B31" s="14"/>
      <c r="C31" s="14"/>
      <c r="D31" s="15"/>
      <c r="E31" s="15"/>
      <c r="H31" t="s">
        <v>99</v>
      </c>
      <c r="K31" s="2">
        <v>32500</v>
      </c>
    </row>
    <row r="32" spans="1:22" x14ac:dyDescent="0.25">
      <c r="I32" s="4" t="s">
        <v>47</v>
      </c>
      <c r="L32" s="5">
        <f>SUM(K28:K31)</f>
        <v>32500</v>
      </c>
    </row>
    <row r="33" spans="7:14" x14ac:dyDescent="0.25">
      <c r="G33" t="s">
        <v>100</v>
      </c>
    </row>
    <row r="34" spans="7:14" x14ac:dyDescent="0.25">
      <c r="H34" t="s">
        <v>49</v>
      </c>
    </row>
    <row r="35" spans="7:14" x14ac:dyDescent="0.25">
      <c r="H35" t="s">
        <v>48</v>
      </c>
      <c r="K35" s="2"/>
    </row>
    <row r="36" spans="7:14" x14ac:dyDescent="0.25">
      <c r="I36" s="4" t="s">
        <v>50</v>
      </c>
      <c r="L36" s="5">
        <f>SUM(K34:K35)</f>
        <v>0</v>
      </c>
    </row>
    <row r="37" spans="7:14" x14ac:dyDescent="0.25">
      <c r="G37" s="4" t="s">
        <v>51</v>
      </c>
    </row>
    <row r="38" spans="7:14" x14ac:dyDescent="0.25">
      <c r="H38" t="s">
        <v>53</v>
      </c>
      <c r="K38" s="1">
        <v>250</v>
      </c>
      <c r="N38" s="11"/>
    </row>
    <row r="39" spans="7:14" x14ac:dyDescent="0.25">
      <c r="H39" t="s">
        <v>54</v>
      </c>
      <c r="K39" s="1">
        <v>250</v>
      </c>
    </row>
    <row r="40" spans="7:14" x14ac:dyDescent="0.25">
      <c r="H40" t="s">
        <v>55</v>
      </c>
      <c r="K40" s="2">
        <f>+E27</f>
        <v>0</v>
      </c>
    </row>
    <row r="41" spans="7:14" x14ac:dyDescent="0.25">
      <c r="I41" s="4" t="s">
        <v>56</v>
      </c>
      <c r="L41" s="6">
        <f>SUM(K38:K40)</f>
        <v>500</v>
      </c>
    </row>
    <row r="42" spans="7:14" ht="15.75" thickBot="1" x14ac:dyDescent="0.3">
      <c r="G42" s="4" t="s">
        <v>57</v>
      </c>
      <c r="L42" s="10">
        <f>+L32+L36+L41</f>
        <v>33000</v>
      </c>
    </row>
    <row r="43" spans="7:14" ht="15.75" thickTop="1" x14ac:dyDescent="0.25"/>
  </sheetData>
  <mergeCells count="11">
    <mergeCell ref="A1:E1"/>
    <mergeCell ref="G1:L1"/>
    <mergeCell ref="N1:V1"/>
    <mergeCell ref="A2:E2"/>
    <mergeCell ref="G2:L2"/>
    <mergeCell ref="N2:V2"/>
    <mergeCell ref="G26:L26"/>
    <mergeCell ref="A3:E3"/>
    <mergeCell ref="G3:L3"/>
    <mergeCell ref="N3:V3"/>
    <mergeCell ref="G5:L5"/>
  </mergeCells>
  <printOptions horizontalCentered="1"/>
  <pageMargins left="0.7" right="0.7" top="0.75" bottom="0.75" header="0.3" footer="0.3"/>
  <pageSetup orientation="portrait" r:id="rId1"/>
  <colBreaks count="2" manualBreakCount="2">
    <brk id="6" max="1048575" man="1"/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Vine &amp; Branches</vt:lpstr>
      <vt:lpstr>Pinnacle Custom Home Builders</vt:lpstr>
      <vt:lpstr>Walnut Grove</vt:lpstr>
      <vt:lpstr>Proj Income Statement</vt:lpstr>
      <vt:lpstr>Proj Balance Sheet</vt:lpstr>
      <vt:lpstr>Proj Cash Flows</vt:lpstr>
      <vt:lpstr>Sunflower Designs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Austin Gray</cp:lastModifiedBy>
  <cp:lastPrinted>2016-05-04T18:48:42Z</cp:lastPrinted>
  <dcterms:created xsi:type="dcterms:W3CDTF">2016-05-03T01:56:11Z</dcterms:created>
  <dcterms:modified xsi:type="dcterms:W3CDTF">2017-12-10T03:18:25Z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