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 Green\Desktop\PHYS 142\03 Noise Fundamentals\Data\"/>
    </mc:Choice>
  </mc:AlternateContent>
  <bookViews>
    <workbookView xWindow="0" yWindow="0" windowWidth="18990" windowHeight="9420"/>
  </bookViews>
  <sheets>
    <sheet name="Resistor Crap" sheetId="1" r:id="rId1"/>
    <sheet name="Temperature Crap" sheetId="2" r:id="rId2"/>
    <sheet name="ShotNoise" sheetId="4" r:id="rId3"/>
    <sheet name="Print Crap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2" i="1" l="1"/>
  <c r="O62" i="1"/>
  <c r="D52" i="1"/>
  <c r="D53" i="1"/>
  <c r="D54" i="1"/>
  <c r="D55" i="1"/>
  <c r="D56" i="1"/>
  <c r="D57" i="1"/>
  <c r="D51" i="1"/>
  <c r="H52" i="1"/>
  <c r="H53" i="1"/>
  <c r="H54" i="1"/>
  <c r="H55" i="1"/>
  <c r="H56" i="1"/>
  <c r="H57" i="1"/>
  <c r="H51" i="1"/>
  <c r="K73" i="4" l="1"/>
  <c r="L73" i="4"/>
  <c r="M73" i="4"/>
  <c r="N73" i="4"/>
  <c r="K74" i="4"/>
  <c r="L74" i="4"/>
  <c r="M74" i="4"/>
  <c r="N74" i="4"/>
  <c r="K75" i="4"/>
  <c r="L75" i="4"/>
  <c r="M75" i="4"/>
  <c r="N75" i="4"/>
  <c r="K76" i="4"/>
  <c r="L76" i="4"/>
  <c r="M76" i="4"/>
  <c r="N76" i="4"/>
  <c r="K77" i="4"/>
  <c r="L77" i="4"/>
  <c r="M77" i="4"/>
  <c r="N77" i="4"/>
  <c r="K78" i="4"/>
  <c r="L78" i="4"/>
  <c r="M78" i="4"/>
  <c r="N78" i="4"/>
  <c r="K79" i="4"/>
  <c r="L79" i="4"/>
  <c r="M79" i="4"/>
  <c r="N79" i="4"/>
  <c r="K80" i="4"/>
  <c r="L80" i="4"/>
  <c r="M80" i="4"/>
  <c r="N80" i="4"/>
  <c r="K81" i="4"/>
  <c r="L81" i="4"/>
  <c r="M81" i="4"/>
  <c r="N81" i="4"/>
  <c r="N72" i="4"/>
  <c r="K72" i="4"/>
  <c r="L72" i="4"/>
  <c r="M72" i="4"/>
  <c r="L22" i="4"/>
  <c r="M22" i="4"/>
  <c r="N22" i="4"/>
  <c r="O22" i="4"/>
  <c r="L23" i="4"/>
  <c r="M23" i="4"/>
  <c r="N23" i="4"/>
  <c r="O23" i="4"/>
  <c r="L24" i="4"/>
  <c r="M24" i="4"/>
  <c r="N24" i="4"/>
  <c r="O24" i="4"/>
  <c r="L25" i="4"/>
  <c r="M25" i="4"/>
  <c r="N25" i="4"/>
  <c r="O25" i="4"/>
  <c r="L26" i="4"/>
  <c r="M26" i="4"/>
  <c r="N26" i="4"/>
  <c r="O26" i="4"/>
  <c r="O21" i="4"/>
  <c r="N21" i="4"/>
  <c r="M21" i="4"/>
  <c r="L21" i="4"/>
  <c r="N41" i="4"/>
  <c r="N42" i="4"/>
  <c r="N43" i="4"/>
  <c r="N44" i="4"/>
  <c r="N45" i="4"/>
  <c r="N46" i="4"/>
  <c r="N47" i="4"/>
  <c r="N48" i="4"/>
  <c r="N49" i="4"/>
  <c r="N50" i="4"/>
  <c r="N40" i="4"/>
  <c r="L41" i="4"/>
  <c r="K41" i="4"/>
  <c r="K42" i="4"/>
  <c r="K43" i="4"/>
  <c r="K44" i="4"/>
  <c r="K45" i="4"/>
  <c r="K46" i="4"/>
  <c r="K47" i="4"/>
  <c r="K48" i="4"/>
  <c r="K49" i="4"/>
  <c r="K50" i="4"/>
  <c r="K40" i="4"/>
  <c r="J40" i="4"/>
  <c r="I40" i="4"/>
  <c r="H40" i="4"/>
  <c r="F40" i="4"/>
  <c r="M66" i="4"/>
  <c r="P40" i="4" s="1"/>
  <c r="P12" i="4"/>
  <c r="P7" i="4"/>
  <c r="P8" i="4"/>
  <c r="P9" i="4"/>
  <c r="P10" i="4"/>
  <c r="P11" i="4"/>
  <c r="P6" i="4"/>
  <c r="O6" i="4"/>
  <c r="M16" i="4"/>
  <c r="O79" i="2"/>
  <c r="O78" i="2"/>
  <c r="O52" i="1"/>
  <c r="N52" i="1"/>
  <c r="N51" i="1"/>
  <c r="O51" i="1"/>
  <c r="L51" i="1"/>
  <c r="M63" i="1"/>
  <c r="M64" i="1"/>
  <c r="M65" i="1"/>
  <c r="M66" i="1"/>
  <c r="M67" i="1"/>
  <c r="M62" i="1"/>
  <c r="G52" i="1"/>
  <c r="I52" i="1" s="1"/>
  <c r="M52" i="1" s="1"/>
  <c r="P52" i="1" s="1"/>
  <c r="F52" i="1"/>
  <c r="F53" i="1"/>
  <c r="F54" i="1"/>
  <c r="F55" i="1"/>
  <c r="F56" i="1"/>
  <c r="F57" i="1"/>
  <c r="F51" i="1"/>
  <c r="I69" i="2"/>
  <c r="I70" i="2"/>
  <c r="I71" i="2"/>
  <c r="I72" i="2"/>
  <c r="K72" i="2" s="1"/>
  <c r="I73" i="2"/>
  <c r="I74" i="2"/>
  <c r="I75" i="2"/>
  <c r="I57" i="2"/>
  <c r="I58" i="2"/>
  <c r="I59" i="2"/>
  <c r="K59" i="2" s="1"/>
  <c r="I60" i="2"/>
  <c r="K60" i="2" s="1"/>
  <c r="I61" i="2"/>
  <c r="I62" i="2"/>
  <c r="I63" i="2"/>
  <c r="K63" i="2" s="1"/>
  <c r="I68" i="2"/>
  <c r="I56" i="2"/>
  <c r="I45" i="2"/>
  <c r="I46" i="2"/>
  <c r="I47" i="2"/>
  <c r="K47" i="2" s="1"/>
  <c r="I48" i="2"/>
  <c r="K48" i="2" s="1"/>
  <c r="I49" i="2"/>
  <c r="I50" i="2"/>
  <c r="I51" i="2"/>
  <c r="K51" i="2" s="1"/>
  <c r="I44" i="2"/>
  <c r="K44" i="2"/>
  <c r="K69" i="2"/>
  <c r="K70" i="2"/>
  <c r="K71" i="2"/>
  <c r="K73" i="2"/>
  <c r="K74" i="2"/>
  <c r="K75" i="2"/>
  <c r="K68" i="2"/>
  <c r="K45" i="2"/>
  <c r="K46" i="2"/>
  <c r="K49" i="2"/>
  <c r="K50" i="2"/>
  <c r="K57" i="2"/>
  <c r="K58" i="2"/>
  <c r="K61" i="2"/>
  <c r="K62" i="2"/>
  <c r="K56" i="2"/>
  <c r="H56" i="2"/>
  <c r="M7" i="4"/>
  <c r="M8" i="4"/>
  <c r="M9" i="4"/>
  <c r="M10" i="4"/>
  <c r="M11" i="4"/>
  <c r="M6" i="4"/>
  <c r="K6" i="4"/>
  <c r="J76" i="2"/>
  <c r="J64" i="2"/>
  <c r="D64" i="2"/>
  <c r="D76" i="2"/>
  <c r="D52" i="2"/>
  <c r="J52" i="2"/>
  <c r="E52" i="2"/>
  <c r="E76" i="2"/>
  <c r="E64" i="2"/>
  <c r="U73" i="2"/>
  <c r="R73" i="2"/>
  <c r="O73" i="2"/>
  <c r="F41" i="4"/>
  <c r="F42" i="4"/>
  <c r="F43" i="4"/>
  <c r="F44" i="4"/>
  <c r="F45" i="4"/>
  <c r="F46" i="4"/>
  <c r="F47" i="4"/>
  <c r="F48" i="4"/>
  <c r="F49" i="4"/>
  <c r="F50" i="4"/>
  <c r="M40" i="4"/>
  <c r="H38" i="4"/>
  <c r="G38" i="4"/>
  <c r="G42" i="4" l="1"/>
  <c r="J42" i="4" s="1"/>
  <c r="G40" i="4"/>
  <c r="K76" i="2"/>
  <c r="U76" i="2" s="1"/>
  <c r="U74" i="2" s="1"/>
  <c r="K64" i="2"/>
  <c r="K52" i="2"/>
  <c r="O76" i="2" s="1"/>
  <c r="O74" i="2" s="1"/>
  <c r="R76" i="2"/>
  <c r="R74" i="2" s="1"/>
  <c r="G45" i="4"/>
  <c r="G49" i="4"/>
  <c r="G41" i="4"/>
  <c r="H41" i="4"/>
  <c r="G43" i="4"/>
  <c r="G44" i="4"/>
  <c r="G46" i="4"/>
  <c r="G47" i="4"/>
  <c r="G48" i="4"/>
  <c r="G50" i="4"/>
  <c r="I3" i="4"/>
  <c r="J41" i="4" l="1"/>
  <c r="L40" i="4"/>
  <c r="J47" i="4"/>
  <c r="L47" i="4" s="1"/>
  <c r="J50" i="4"/>
  <c r="L50" i="4" s="1"/>
  <c r="J44" i="4"/>
  <c r="L44" i="4" s="1"/>
  <c r="J48" i="4"/>
  <c r="L48" i="4" s="1"/>
  <c r="J43" i="4"/>
  <c r="L43" i="4" s="1"/>
  <c r="L42" i="4"/>
  <c r="J49" i="4"/>
  <c r="L49" i="4" s="1"/>
  <c r="J46" i="4"/>
  <c r="L46" i="4" s="1"/>
  <c r="J45" i="4"/>
  <c r="L45" i="4" s="1"/>
  <c r="H42" i="4"/>
  <c r="H43" i="4"/>
  <c r="H44" i="4"/>
  <c r="H45" i="4"/>
  <c r="H46" i="4"/>
  <c r="H47" i="4"/>
  <c r="H48" i="4"/>
  <c r="H49" i="4"/>
  <c r="H50" i="4"/>
  <c r="D38" i="4"/>
  <c r="C38" i="4"/>
  <c r="J7" i="4"/>
  <c r="J8" i="4"/>
  <c r="J9" i="4"/>
  <c r="J10" i="4"/>
  <c r="J11" i="4"/>
  <c r="J6" i="4"/>
  <c r="D7" i="4"/>
  <c r="D8" i="4"/>
  <c r="D9" i="4"/>
  <c r="E9" i="4" s="1"/>
  <c r="D10" i="4"/>
  <c r="E10" i="4" s="1"/>
  <c r="D11" i="4"/>
  <c r="D6" i="4"/>
  <c r="E6" i="4" s="1"/>
  <c r="E7" i="4"/>
  <c r="E8" i="4"/>
  <c r="E11" i="4"/>
  <c r="I6" i="4"/>
  <c r="H7" i="4"/>
  <c r="L7" i="4" s="1"/>
  <c r="H8" i="4"/>
  <c r="L8" i="4" s="1"/>
  <c r="H9" i="4"/>
  <c r="L9" i="4" s="1"/>
  <c r="H10" i="4"/>
  <c r="L10" i="4" s="1"/>
  <c r="H11" i="4"/>
  <c r="L11" i="4" s="1"/>
  <c r="H6" i="4"/>
  <c r="L6" i="4" s="1"/>
  <c r="Q46" i="4" l="1"/>
  <c r="Q42" i="4"/>
  <c r="Q48" i="4"/>
  <c r="Q50" i="4"/>
  <c r="Q40" i="4"/>
  <c r="Q45" i="4"/>
  <c r="Q49" i="4"/>
  <c r="Q43" i="4"/>
  <c r="Q44" i="4"/>
  <c r="Q47" i="4"/>
  <c r="Q41" i="4"/>
  <c r="K10" i="4"/>
  <c r="K9" i="4"/>
  <c r="K8" i="4"/>
  <c r="K11" i="4"/>
  <c r="K7" i="4"/>
  <c r="H39" i="1"/>
  <c r="Q51" i="4" l="1"/>
  <c r="J51" i="2"/>
  <c r="X62" i="1"/>
  <c r="X63" i="1"/>
  <c r="X64" i="1"/>
  <c r="X65" i="1"/>
  <c r="X66" i="1"/>
  <c r="X67" i="1"/>
  <c r="J69" i="2" l="1"/>
  <c r="J70" i="2"/>
  <c r="J71" i="2"/>
  <c r="J72" i="2"/>
  <c r="J73" i="2"/>
  <c r="J74" i="2"/>
  <c r="J75" i="2"/>
  <c r="J68" i="2"/>
  <c r="J57" i="2"/>
  <c r="J58" i="2"/>
  <c r="J59" i="2"/>
  <c r="J60" i="2"/>
  <c r="J61" i="2"/>
  <c r="J62" i="2"/>
  <c r="J63" i="2"/>
  <c r="J56" i="2"/>
  <c r="J45" i="2"/>
  <c r="J46" i="2"/>
  <c r="J47" i="2"/>
  <c r="J48" i="2"/>
  <c r="J49" i="2"/>
  <c r="J50" i="2"/>
  <c r="J44" i="2"/>
  <c r="H69" i="2"/>
  <c r="H70" i="2"/>
  <c r="H71" i="2"/>
  <c r="H72" i="2"/>
  <c r="H73" i="2"/>
  <c r="H74" i="2"/>
  <c r="H75" i="2"/>
  <c r="H68" i="2"/>
  <c r="H57" i="2"/>
  <c r="H58" i="2"/>
  <c r="H59" i="2"/>
  <c r="H60" i="2"/>
  <c r="H61" i="2"/>
  <c r="H62" i="2"/>
  <c r="H63" i="2"/>
  <c r="H45" i="2"/>
  <c r="H46" i="2"/>
  <c r="H47" i="2"/>
  <c r="H48" i="2"/>
  <c r="H49" i="2"/>
  <c r="H50" i="2"/>
  <c r="H51" i="2"/>
  <c r="H44" i="2"/>
  <c r="A43" i="2"/>
  <c r="A68" i="2"/>
  <c r="A56" i="2"/>
  <c r="E63" i="2"/>
  <c r="D63" i="2"/>
  <c r="D75" i="2"/>
  <c r="E69" i="2"/>
  <c r="E70" i="2"/>
  <c r="E71" i="2"/>
  <c r="E72" i="2"/>
  <c r="E73" i="2"/>
  <c r="E74" i="2"/>
  <c r="E75" i="2"/>
  <c r="E68" i="2"/>
  <c r="E57" i="2"/>
  <c r="E58" i="2"/>
  <c r="E59" i="2"/>
  <c r="E60" i="2"/>
  <c r="E61" i="2"/>
  <c r="E62" i="2"/>
  <c r="E56" i="2"/>
  <c r="E51" i="2"/>
  <c r="D51" i="2"/>
  <c r="D74" i="2" l="1"/>
  <c r="D62" i="2"/>
  <c r="E50" i="2"/>
  <c r="E49" i="2"/>
  <c r="D50" i="2"/>
  <c r="D73" i="2"/>
  <c r="D61" i="2"/>
  <c r="D49" i="2"/>
  <c r="D48" i="2"/>
  <c r="E48" i="2"/>
  <c r="D47" i="2"/>
  <c r="E47" i="2"/>
  <c r="D72" i="2"/>
  <c r="D71" i="2"/>
  <c r="D60" i="2"/>
  <c r="D59" i="2"/>
  <c r="M41" i="1"/>
  <c r="L43" i="1" s="1"/>
  <c r="L41" i="1"/>
  <c r="J37" i="1" l="1"/>
  <c r="B51" i="1"/>
  <c r="D40" i="1"/>
  <c r="D41" i="1"/>
  <c r="D42" i="1"/>
  <c r="D43" i="1"/>
  <c r="D44" i="1"/>
  <c r="D45" i="1"/>
  <c r="D39" i="1"/>
  <c r="E45" i="2"/>
  <c r="E46" i="2"/>
  <c r="E44" i="2"/>
  <c r="D69" i="2"/>
  <c r="D70" i="2"/>
  <c r="D68" i="2"/>
  <c r="D57" i="2"/>
  <c r="D58" i="2"/>
  <c r="D56" i="2"/>
  <c r="D45" i="2"/>
  <c r="D46" i="2"/>
  <c r="D44" i="2"/>
  <c r="O56" i="1" l="1"/>
  <c r="Y66" i="1"/>
  <c r="O54" i="1"/>
  <c r="O55" i="1"/>
  <c r="Y65" i="1"/>
  <c r="O53" i="1"/>
  <c r="Y63" i="1"/>
  <c r="Y67" i="1"/>
  <c r="Y64" i="1"/>
  <c r="O57" i="1"/>
  <c r="Y62" i="1"/>
  <c r="E48" i="1"/>
  <c r="E47" i="1"/>
  <c r="E46" i="1"/>
  <c r="G40" i="1"/>
  <c r="G41" i="1"/>
  <c r="G42" i="1"/>
  <c r="G43" i="1"/>
  <c r="G44" i="1"/>
  <c r="G45" i="1"/>
  <c r="G39" i="1"/>
  <c r="E45" i="1"/>
  <c r="E44" i="1"/>
  <c r="E43" i="1"/>
  <c r="E42" i="1"/>
  <c r="E41" i="1"/>
  <c r="E40" i="1"/>
  <c r="E39" i="1"/>
  <c r="E51" i="1"/>
  <c r="K81" i="1"/>
  <c r="K82" i="1"/>
  <c r="K83" i="1"/>
  <c r="K84" i="1"/>
  <c r="K85" i="1"/>
  <c r="K86" i="1"/>
  <c r="K80" i="1"/>
  <c r="D81" i="1"/>
  <c r="F81" i="1" s="1"/>
  <c r="D82" i="1"/>
  <c r="F82" i="1" s="1"/>
  <c r="D83" i="1"/>
  <c r="F83" i="1" s="1"/>
  <c r="D84" i="1"/>
  <c r="F84" i="1" s="1"/>
  <c r="D85" i="1"/>
  <c r="F85" i="1" s="1"/>
  <c r="D86" i="1"/>
  <c r="F86" i="1" s="1"/>
  <c r="D80" i="1"/>
  <c r="F80" i="1" s="1"/>
  <c r="I80" i="1" l="1"/>
  <c r="L81" i="1" s="1"/>
  <c r="I39" i="1"/>
  <c r="E52" i="1"/>
  <c r="E53" i="1"/>
  <c r="N53" i="1" s="1"/>
  <c r="E54" i="1"/>
  <c r="N54" i="1" s="1"/>
  <c r="E55" i="1"/>
  <c r="N55" i="1" s="1"/>
  <c r="E56" i="1"/>
  <c r="N56" i="1" s="1"/>
  <c r="E57" i="1"/>
  <c r="N57" i="1" s="1"/>
  <c r="W62" i="1" l="1"/>
  <c r="V62" i="1" s="1"/>
  <c r="L82" i="1"/>
  <c r="L86" i="1"/>
  <c r="L83" i="1"/>
  <c r="L80" i="1"/>
  <c r="L85" i="1"/>
  <c r="L84" i="1"/>
  <c r="C18" i="1"/>
  <c r="D18" i="1"/>
  <c r="C19" i="1"/>
  <c r="D19" i="1"/>
  <c r="C20" i="1"/>
  <c r="D20" i="1"/>
  <c r="C21" i="1"/>
  <c r="D21" i="1"/>
  <c r="C22" i="1"/>
  <c r="D22" i="1"/>
  <c r="D17" i="1"/>
  <c r="C17" i="1"/>
  <c r="G53" i="1" l="1"/>
  <c r="G57" i="1"/>
  <c r="G51" i="1"/>
  <c r="I51" i="1" s="1"/>
  <c r="G54" i="1"/>
  <c r="G55" i="1"/>
  <c r="G56" i="1"/>
  <c r="N64" i="1" l="1"/>
  <c r="I54" i="1"/>
  <c r="O64" i="1" s="1"/>
  <c r="W64" i="1" s="1"/>
  <c r="V64" i="1" s="1"/>
  <c r="I57" i="1"/>
  <c r="O67" i="1" s="1"/>
  <c r="N67" i="1"/>
  <c r="N66" i="1"/>
  <c r="I56" i="1"/>
  <c r="O66" i="1" s="1"/>
  <c r="W66" i="1" s="1"/>
  <c r="V66" i="1" s="1"/>
  <c r="N65" i="1"/>
  <c r="I55" i="1"/>
  <c r="O65" i="1" s="1"/>
  <c r="W65" i="1" s="1"/>
  <c r="V65" i="1" s="1"/>
  <c r="I53" i="1"/>
  <c r="O63" i="1" s="1"/>
  <c r="N63" i="1"/>
  <c r="M56" i="1"/>
  <c r="P56" i="1" s="1"/>
  <c r="M51" i="1"/>
  <c r="P51" i="1" s="1"/>
  <c r="M57" i="1"/>
  <c r="P57" i="1" s="1"/>
  <c r="M53" i="1"/>
  <c r="P53" i="1" s="1"/>
  <c r="M54" i="1"/>
  <c r="P54" i="1" s="1"/>
  <c r="M55" i="1" l="1"/>
  <c r="P55" i="1" s="1"/>
  <c r="W67" i="1"/>
  <c r="V67" i="1" s="1"/>
  <c r="W63" i="1"/>
  <c r="V63" i="1" s="1"/>
  <c r="Q51" i="1"/>
  <c r="J51" i="1"/>
</calcChain>
</file>

<file path=xl/sharedStrings.xml><?xml version="1.0" encoding="utf-8"?>
<sst xmlns="http://schemas.openxmlformats.org/spreadsheetml/2006/main" count="192" uniqueCount="98">
  <si>
    <t>Correction</t>
  </si>
  <si>
    <t>Rin (ohm</t>
  </si>
  <si>
    <t>Vout (mV)</t>
  </si>
  <si>
    <t>error (mV)</t>
  </si>
  <si>
    <t>Error (mV)</t>
  </si>
  <si>
    <t>Section 2.2</t>
  </si>
  <si>
    <t>High Pass: 0.1 KHz</t>
  </si>
  <si>
    <t>Low Pass: 100 KHz</t>
  </si>
  <si>
    <t>Section 2.3</t>
  </si>
  <si>
    <t>G1 = 600</t>
  </si>
  <si>
    <t>G2 = 300</t>
  </si>
  <si>
    <t>Rin(ohm)</t>
  </si>
  <si>
    <t>A (10)</t>
  </si>
  <si>
    <t>B (10000)</t>
  </si>
  <si>
    <t>C (100000)</t>
  </si>
  <si>
    <t>Temp: 0.433 Volts</t>
  </si>
  <si>
    <t>GraphX</t>
  </si>
  <si>
    <t>GraphY</t>
  </si>
  <si>
    <t>Vjohnson</t>
  </si>
  <si>
    <t>G1</t>
  </si>
  <si>
    <t>G2</t>
  </si>
  <si>
    <t>delta F</t>
  </si>
  <si>
    <t>Power</t>
  </si>
  <si>
    <t>Resistance</t>
  </si>
  <si>
    <t>Prefactor</t>
  </si>
  <si>
    <t>Low Pass</t>
  </si>
  <si>
    <t>High Pass:</t>
  </si>
  <si>
    <t>VJ Error</t>
  </si>
  <si>
    <t>Power Error</t>
  </si>
  <si>
    <t>Rin</t>
  </si>
  <si>
    <t>Vout</t>
  </si>
  <si>
    <t>Vout (V)</t>
  </si>
  <si>
    <t>Temp (mV)</t>
  </si>
  <si>
    <t>Temp (K)</t>
  </si>
  <si>
    <t>Temp Calibration</t>
  </si>
  <si>
    <t>Temperature (K)</t>
  </si>
  <si>
    <t>Voltage (mV)</t>
  </si>
  <si>
    <t>R_A = 10 Ohm</t>
  </si>
  <si>
    <t>R_B = 10000 Ohm</t>
  </si>
  <si>
    <t>R_C = 100000 Ohm</t>
  </si>
  <si>
    <t>Temp Error</t>
  </si>
  <si>
    <t>Error (V)</t>
  </si>
  <si>
    <t>Eror (V)</t>
  </si>
  <si>
    <t>Conversion</t>
  </si>
  <si>
    <t>Error (K)</t>
  </si>
  <si>
    <t>R Error</t>
  </si>
  <si>
    <t>delta F Error</t>
  </si>
  <si>
    <t xml:space="preserve">Temp (mV): </t>
  </si>
  <si>
    <t>Temp (K):</t>
  </si>
  <si>
    <t>Boltzmann Error</t>
  </si>
  <si>
    <t>Boltzmann</t>
  </si>
  <si>
    <t>Power Error Avg</t>
  </si>
  <si>
    <t>Prefactor Error</t>
  </si>
  <si>
    <t>Rsource</t>
  </si>
  <si>
    <t>Delta f</t>
  </si>
  <si>
    <t>Vjohnson Error</t>
  </si>
  <si>
    <t>Vjohnson (Volt)</t>
  </si>
  <si>
    <t>Gain 1</t>
  </si>
  <si>
    <t>Gain 2</t>
  </si>
  <si>
    <t>Latex Version</t>
  </si>
  <si>
    <t>Temp [K]</t>
  </si>
  <si>
    <t>Error [K]</t>
  </si>
  <si>
    <t>Power [W]</t>
  </si>
  <si>
    <t>Error [W]</t>
  </si>
  <si>
    <t>Error</t>
  </si>
  <si>
    <t>Other Error</t>
  </si>
  <si>
    <t>term1</t>
  </si>
  <si>
    <t>term2</t>
  </si>
  <si>
    <t>term3</t>
  </si>
  <si>
    <t>Term1</t>
  </si>
  <si>
    <t>Term3</t>
  </si>
  <si>
    <t>Term2</t>
  </si>
  <si>
    <t xml:space="preserve">Averge </t>
  </si>
  <si>
    <t xml:space="preserve">Low Pass </t>
  </si>
  <si>
    <t>Idc (A)</t>
  </si>
  <si>
    <t xml:space="preserve"> Error</t>
  </si>
  <si>
    <t>I_DC</t>
  </si>
  <si>
    <t>I_Shot</t>
  </si>
  <si>
    <t>Shot Error</t>
  </si>
  <si>
    <t>e</t>
  </si>
  <si>
    <t>Band Pass</t>
  </si>
  <si>
    <t>High Pass</t>
  </si>
  <si>
    <t>Bandwidth</t>
  </si>
  <si>
    <t>deltaf</t>
  </si>
  <si>
    <t xml:space="preserve">G1 </t>
  </si>
  <si>
    <t>I Shot (Uncorrected)</t>
  </si>
  <si>
    <t>I_Shot Corrected</t>
  </si>
  <si>
    <t>k_B</t>
  </si>
  <si>
    <t>Slope Error</t>
  </si>
  <si>
    <t>average</t>
  </si>
  <si>
    <t>Average</t>
  </si>
  <si>
    <t>Average Error</t>
  </si>
  <si>
    <t>Charge</t>
  </si>
  <si>
    <t>Charge Error</t>
  </si>
  <si>
    <t>high = 10k</t>
  </si>
  <si>
    <t>high = 100k</t>
  </si>
  <si>
    <t>Latex</t>
  </si>
  <si>
    <t>Diode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</si>
</sst>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E+00"/>
    <numFmt numFmtId="165" formatCode="0.000"/>
    <numFmt numFmtId="166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Power vs. Resistance for Johnson</a:t>
            </a:r>
            <a:r>
              <a:rPr lang="en-US" sz="1600" baseline="0"/>
              <a:t>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7.9165214496712835E-2"/>
                  <c:y val="0.30828976403309605"/>
                </c:manualLayout>
              </c:layout>
              <c:numFmt formatCode="0.00E+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percentage"/>
            <c:noEndCap val="0"/>
            <c:val val="1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'Resistor Crap'!$I$52:$I$57</c:f>
                <c:numCache>
                  <c:formatCode>General</c:formatCode>
                  <c:ptCount val="6"/>
                  <c:pt idx="0">
                    <c:v>1.3424776986491396E-17</c:v>
                  </c:pt>
                  <c:pt idx="1">
                    <c:v>1.2841422628252552E-17</c:v>
                  </c:pt>
                  <c:pt idx="2">
                    <c:v>1.0709222400463374E-17</c:v>
                  </c:pt>
                  <c:pt idx="3">
                    <c:v>1.8517546185099387E-16</c:v>
                  </c:pt>
                  <c:pt idx="4">
                    <c:v>2.2878622514094208E-17</c:v>
                  </c:pt>
                  <c:pt idx="5">
                    <c:v>1.1857114611502697E-16</c:v>
                  </c:pt>
                </c:numCache>
              </c:numRef>
            </c:plus>
            <c:minus>
              <c:numRef>
                <c:f>'Resistor Crap'!$I$52:$I$57</c:f>
                <c:numCache>
                  <c:formatCode>General</c:formatCode>
                  <c:ptCount val="6"/>
                  <c:pt idx="0">
                    <c:v>1.3424776986491396E-17</c:v>
                  </c:pt>
                  <c:pt idx="1">
                    <c:v>1.2841422628252552E-17</c:v>
                  </c:pt>
                  <c:pt idx="2">
                    <c:v>1.0709222400463374E-17</c:v>
                  </c:pt>
                  <c:pt idx="3">
                    <c:v>1.8517546185099387E-16</c:v>
                  </c:pt>
                  <c:pt idx="4">
                    <c:v>2.2878622514094208E-17</c:v>
                  </c:pt>
                  <c:pt idx="5">
                    <c:v>1.1857114611502697E-16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'Resistor Crap'!$E$52:$E$57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'Resistor Crap'!$G$52:$G$57</c:f>
              <c:numCache>
                <c:formatCode>General</c:formatCode>
                <c:ptCount val="6"/>
                <c:pt idx="0">
                  <c:v>6.4312647566493747E-17</c:v>
                </c:pt>
                <c:pt idx="1">
                  <c:v>6.7249298140315265E-17</c:v>
                </c:pt>
                <c:pt idx="2">
                  <c:v>8.0757890779894271E-17</c:v>
                </c:pt>
                <c:pt idx="3">
                  <c:v>2.3287639050384912E-16</c:v>
                </c:pt>
                <c:pt idx="4">
                  <c:v>1.7355604891283218E-15</c:v>
                </c:pt>
                <c:pt idx="5">
                  <c:v>1.1834701812500535E-14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EB-4015-A8A6-13F9CCAEF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962000"/>
        <c:axId val="370958720"/>
      </c:scatterChart>
      <c:valAx>
        <c:axId val="3709620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Resistance [Ohm]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58720"/>
        <c:crosses val="autoZero"/>
        <c:crossBetween val="midCat"/>
      </c:valAx>
      <c:valAx>
        <c:axId val="37095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6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Temperature</a:t>
            </a:r>
            <a:r>
              <a:rPr lang="en-US" sz="1600" baseline="0"/>
              <a:t> vs.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664716113562727E-2"/>
                  <c:y val="-0.3541909853505900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-0.373x + 455.68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0.9991</a:t>
                    </a:r>
                    <a:endParaRPr lang="en-US" sz="1200"/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'Temperature Crap'!$C$4:$C$36</c:f>
              <c:numCache>
                <c:formatCode>General</c:formatCode>
                <c:ptCount val="33"/>
                <c:pt idx="0">
                  <c:v>993.51400000000001</c:v>
                </c:pt>
                <c:pt idx="1">
                  <c:v>965.97799999999995</c:v>
                </c:pt>
                <c:pt idx="2">
                  <c:v>943.30600000000004</c:v>
                </c:pt>
                <c:pt idx="3">
                  <c:v>920.01800000000003</c:v>
                </c:pt>
                <c:pt idx="4">
                  <c:v>896.21100000000001</c:v>
                </c:pt>
                <c:pt idx="5">
                  <c:v>871.89499999999998</c:v>
                </c:pt>
                <c:pt idx="6">
                  <c:v>847.226</c:v>
                </c:pt>
                <c:pt idx="7">
                  <c:v>822.20799999999997</c:v>
                </c:pt>
                <c:pt idx="8">
                  <c:v>796.81899999999996</c:v>
                </c:pt>
                <c:pt idx="9">
                  <c:v>771.22400000000005</c:v>
                </c:pt>
                <c:pt idx="10">
                  <c:v>745.37800000000004</c:v>
                </c:pt>
                <c:pt idx="11">
                  <c:v>719.31</c:v>
                </c:pt>
                <c:pt idx="12">
                  <c:v>693.02300000000002</c:v>
                </c:pt>
                <c:pt idx="13">
                  <c:v>666.54399999999998</c:v>
                </c:pt>
                <c:pt idx="14">
                  <c:v>639.87400000000002</c:v>
                </c:pt>
                <c:pt idx="15">
                  <c:v>613.05700000000002</c:v>
                </c:pt>
                <c:pt idx="16">
                  <c:v>586.09799999999996</c:v>
                </c:pt>
                <c:pt idx="17">
                  <c:v>558.91099999999994</c:v>
                </c:pt>
                <c:pt idx="18">
                  <c:v>531.61300000000006</c:v>
                </c:pt>
                <c:pt idx="19">
                  <c:v>504.15199999999999</c:v>
                </c:pt>
                <c:pt idx="20">
                  <c:v>476.60500000000002</c:v>
                </c:pt>
                <c:pt idx="21">
                  <c:v>448.86500000000001</c:v>
                </c:pt>
                <c:pt idx="22">
                  <c:v>420.95499999999998</c:v>
                </c:pt>
                <c:pt idx="23">
                  <c:v>393.01799999999997</c:v>
                </c:pt>
                <c:pt idx="24">
                  <c:v>364.98700000000002</c:v>
                </c:pt>
                <c:pt idx="25">
                  <c:v>336.76400000000001</c:v>
                </c:pt>
                <c:pt idx="26">
                  <c:v>308.56299999999999</c:v>
                </c:pt>
                <c:pt idx="27">
                  <c:v>280.11</c:v>
                </c:pt>
                <c:pt idx="28">
                  <c:v>251.643</c:v>
                </c:pt>
                <c:pt idx="29">
                  <c:v>223.09899999999999</c:v>
                </c:pt>
                <c:pt idx="30">
                  <c:v>194.494</c:v>
                </c:pt>
                <c:pt idx="31">
                  <c:v>165.9</c:v>
                </c:pt>
                <c:pt idx="32">
                  <c:v>137.44399999999999</c:v>
                </c:pt>
              </c:numCache>
            </c:numRef>
          </c:xVal>
          <c:yVal>
            <c:numRef>
              <c:f>'Temperature Crap'!$B$4:$B$36</c:f>
              <c:numCache>
                <c:formatCode>General</c:formatCode>
                <c:ptCount val="33"/>
                <c:pt idx="0">
                  <c:v>77.319999999999993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210</c:v>
                </c:pt>
                <c:pt idx="14">
                  <c:v>220</c:v>
                </c:pt>
                <c:pt idx="15">
                  <c:v>230</c:v>
                </c:pt>
                <c:pt idx="16">
                  <c:v>240</c:v>
                </c:pt>
                <c:pt idx="17">
                  <c:v>250</c:v>
                </c:pt>
                <c:pt idx="18">
                  <c:v>260</c:v>
                </c:pt>
                <c:pt idx="19">
                  <c:v>270</c:v>
                </c:pt>
                <c:pt idx="20">
                  <c:v>280</c:v>
                </c:pt>
                <c:pt idx="21">
                  <c:v>290</c:v>
                </c:pt>
                <c:pt idx="22">
                  <c:v>300</c:v>
                </c:pt>
                <c:pt idx="23">
                  <c:v>310</c:v>
                </c:pt>
                <c:pt idx="24">
                  <c:v>320</c:v>
                </c:pt>
                <c:pt idx="25">
                  <c:v>330</c:v>
                </c:pt>
                <c:pt idx="26">
                  <c:v>340</c:v>
                </c:pt>
                <c:pt idx="27">
                  <c:v>350</c:v>
                </c:pt>
                <c:pt idx="28">
                  <c:v>360</c:v>
                </c:pt>
                <c:pt idx="29">
                  <c:v>370</c:v>
                </c:pt>
                <c:pt idx="30">
                  <c:v>380</c:v>
                </c:pt>
                <c:pt idx="31">
                  <c:v>390</c:v>
                </c:pt>
                <c:pt idx="32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E-405C-B754-A0FF00992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249968"/>
        <c:axId val="367245376"/>
      </c:scatterChart>
      <c:valAx>
        <c:axId val="36724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Voltage [mV]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45376"/>
        <c:crosses val="autoZero"/>
        <c:crossBetween val="midCat"/>
      </c:valAx>
      <c:valAx>
        <c:axId val="36724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Absolute</a:t>
                </a:r>
                <a:r>
                  <a:rPr lang="en-US" sz="1400" baseline="0"/>
                  <a:t> Temperature [K]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4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Power vs. Absolute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8973078477571"/>
          <c:y val="8.20097769015391E-2"/>
          <c:w val="0.86714912920347764"/>
          <c:h val="0.64915813764575125"/>
        </c:manualLayout>
      </c:layout>
      <c:scatterChart>
        <c:scatterStyle val="lineMarker"/>
        <c:varyColors val="0"/>
        <c:ser>
          <c:idx val="2"/>
          <c:order val="0"/>
          <c:tx>
            <c:v>R = 10 Ohm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448374395855628"/>
                  <c:y val="0.2602073478894155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'Temperature Crap'!$E$44:$E$51</c:f>
                <c:numCache>
                  <c:formatCode>General</c:formatCode>
                  <c:ptCount val="8"/>
                  <c:pt idx="0">
                    <c:v>0.746</c:v>
                  </c:pt>
                  <c:pt idx="1">
                    <c:v>0.746</c:v>
                  </c:pt>
                  <c:pt idx="2">
                    <c:v>0.746</c:v>
                  </c:pt>
                  <c:pt idx="3">
                    <c:v>1.492</c:v>
                  </c:pt>
                  <c:pt idx="4">
                    <c:v>1.119</c:v>
                  </c:pt>
                  <c:pt idx="5">
                    <c:v>0.746</c:v>
                  </c:pt>
                  <c:pt idx="6">
                    <c:v>0.746</c:v>
                  </c:pt>
                  <c:pt idx="7">
                    <c:v>0.746</c:v>
                  </c:pt>
                </c:numCache>
              </c:numRef>
            </c:plus>
            <c:minus>
              <c:numRef>
                <c:f>'Temperature Crap'!$E$44:$E$51</c:f>
                <c:numCache>
                  <c:formatCode>General</c:formatCode>
                  <c:ptCount val="8"/>
                  <c:pt idx="0">
                    <c:v>0.746</c:v>
                  </c:pt>
                  <c:pt idx="1">
                    <c:v>0.746</c:v>
                  </c:pt>
                  <c:pt idx="2">
                    <c:v>0.746</c:v>
                  </c:pt>
                  <c:pt idx="3">
                    <c:v>1.492</c:v>
                  </c:pt>
                  <c:pt idx="4">
                    <c:v>1.119</c:v>
                  </c:pt>
                  <c:pt idx="5">
                    <c:v>0.746</c:v>
                  </c:pt>
                  <c:pt idx="6">
                    <c:v>0.746</c:v>
                  </c:pt>
                  <c:pt idx="7">
                    <c:v>0.746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'Temperature Crap'!$K$44:$K$51</c:f>
                <c:numCache>
                  <c:formatCode>General</c:formatCode>
                  <c:ptCount val="8"/>
                  <c:pt idx="0">
                    <c:v>1.288007985418322E-17</c:v>
                  </c:pt>
                  <c:pt idx="1">
                    <c:v>1.2823842318169226E-17</c:v>
                  </c:pt>
                  <c:pt idx="2">
                    <c:v>2.5760109491723203E-17</c:v>
                  </c:pt>
                  <c:pt idx="3">
                    <c:v>1.2712830368668064E-17</c:v>
                  </c:pt>
                  <c:pt idx="4">
                    <c:v>2.5315986606421044E-17</c:v>
                  </c:pt>
                  <c:pt idx="5">
                    <c:v>2.5315986606421044E-17</c:v>
                  </c:pt>
                  <c:pt idx="6">
                    <c:v>1.2658043378811021E-17</c:v>
                  </c:pt>
                  <c:pt idx="7">
                    <c:v>1.2658043378811021E-17</c:v>
                  </c:pt>
                </c:numCache>
              </c:numRef>
            </c:plus>
            <c:minus>
              <c:numRef>
                <c:f>'Temperature Crap'!$K$44:$K$51</c:f>
                <c:numCache>
                  <c:formatCode>General</c:formatCode>
                  <c:ptCount val="8"/>
                  <c:pt idx="0">
                    <c:v>1.288007985418322E-17</c:v>
                  </c:pt>
                  <c:pt idx="1">
                    <c:v>1.2823842318169226E-17</c:v>
                  </c:pt>
                  <c:pt idx="2">
                    <c:v>2.5760109491723203E-17</c:v>
                  </c:pt>
                  <c:pt idx="3">
                    <c:v>1.2712830368668064E-17</c:v>
                  </c:pt>
                  <c:pt idx="4">
                    <c:v>2.5315986606421044E-17</c:v>
                  </c:pt>
                  <c:pt idx="5">
                    <c:v>2.5315986606421044E-17</c:v>
                  </c:pt>
                  <c:pt idx="6">
                    <c:v>1.2658043378811021E-17</c:v>
                  </c:pt>
                  <c:pt idx="7">
                    <c:v>1.2658043378811021E-17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'Temperature Crap'!$D$44:$D$51</c:f>
              <c:numCache>
                <c:formatCode>General</c:formatCode>
                <c:ptCount val="8"/>
                <c:pt idx="0">
                  <c:v>98.718999999999994</c:v>
                </c:pt>
                <c:pt idx="1">
                  <c:v>120.35300000000001</c:v>
                </c:pt>
                <c:pt idx="2">
                  <c:v>139.37600000000003</c:v>
                </c:pt>
                <c:pt idx="3">
                  <c:v>186.74700000000001</c:v>
                </c:pt>
                <c:pt idx="4">
                  <c:v>236.35599999999999</c:v>
                </c:pt>
                <c:pt idx="5">
                  <c:v>272.16399999999999</c:v>
                </c:pt>
                <c:pt idx="6">
                  <c:v>305.36099999999999</c:v>
                </c:pt>
                <c:pt idx="7">
                  <c:v>332.96300000000002</c:v>
                </c:pt>
              </c:numCache>
            </c:numRef>
          </c:xVal>
          <c:yVal>
            <c:numRef>
              <c:f>'Temperature Crap'!$J$44:$J$51</c:f>
              <c:numCache>
                <c:formatCode>General</c:formatCode>
                <c:ptCount val="8"/>
                <c:pt idx="0">
                  <c:v>2.9366505738215286E-18</c:v>
                </c:pt>
                <c:pt idx="1">
                  <c:v>3.230315631203673E-18</c:v>
                </c:pt>
                <c:pt idx="2">
                  <c:v>2.9366505738215286E-18</c:v>
                </c:pt>
                <c:pt idx="3">
                  <c:v>3.817645745967974E-18</c:v>
                </c:pt>
                <c:pt idx="4">
                  <c:v>4.1113108033501303E-18</c:v>
                </c:pt>
                <c:pt idx="5">
                  <c:v>4.1113108033501303E-18</c:v>
                </c:pt>
                <c:pt idx="6">
                  <c:v>4.1113108033501303E-18</c:v>
                </c:pt>
                <c:pt idx="7">
                  <c:v>4.1113108033501303E-18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D8-4D6C-81D1-C165353CD650}"/>
            </c:ext>
          </c:extLst>
        </c:ser>
        <c:ser>
          <c:idx val="0"/>
          <c:order val="1"/>
          <c:tx>
            <c:v>R = 10K Ohm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5326835749550169"/>
                  <c:y val="0.3138894870468643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b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'Temperature Crap'!$E$56:$E$63</c:f>
                <c:numCache>
                  <c:formatCode>General</c:formatCode>
                  <c:ptCount val="8"/>
                  <c:pt idx="0">
                    <c:v>0.746</c:v>
                  </c:pt>
                  <c:pt idx="1">
                    <c:v>0.746</c:v>
                  </c:pt>
                  <c:pt idx="2">
                    <c:v>0.746</c:v>
                  </c:pt>
                  <c:pt idx="3">
                    <c:v>1.492</c:v>
                  </c:pt>
                  <c:pt idx="4">
                    <c:v>1.119</c:v>
                  </c:pt>
                  <c:pt idx="5">
                    <c:v>0.746</c:v>
                  </c:pt>
                  <c:pt idx="6">
                    <c:v>0.746</c:v>
                  </c:pt>
                  <c:pt idx="7">
                    <c:v>0.746</c:v>
                  </c:pt>
                </c:numCache>
              </c:numRef>
            </c:plus>
            <c:minus>
              <c:numRef>
                <c:f>'Temperature Crap'!$E$56:$E$63</c:f>
                <c:numCache>
                  <c:formatCode>General</c:formatCode>
                  <c:ptCount val="8"/>
                  <c:pt idx="0">
                    <c:v>0.746</c:v>
                  </c:pt>
                  <c:pt idx="1">
                    <c:v>0.746</c:v>
                  </c:pt>
                  <c:pt idx="2">
                    <c:v>0.746</c:v>
                  </c:pt>
                  <c:pt idx="3">
                    <c:v>1.492</c:v>
                  </c:pt>
                  <c:pt idx="4">
                    <c:v>1.119</c:v>
                  </c:pt>
                  <c:pt idx="5">
                    <c:v>0.746</c:v>
                  </c:pt>
                  <c:pt idx="6">
                    <c:v>0.746</c:v>
                  </c:pt>
                  <c:pt idx="7">
                    <c:v>0.746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'Temperature Crap'!$K$56:$K$63</c:f>
                <c:numCache>
                  <c:formatCode>General</c:formatCode>
                  <c:ptCount val="8"/>
                  <c:pt idx="0">
                    <c:v>7.2541688675251191E-18</c:v>
                  </c:pt>
                  <c:pt idx="1">
                    <c:v>3.2709157393419847E-17</c:v>
                  </c:pt>
                  <c:pt idx="2">
                    <c:v>1.770976517017984E-17</c:v>
                  </c:pt>
                  <c:pt idx="3">
                    <c:v>9.7742320668493578E-18</c:v>
                  </c:pt>
                  <c:pt idx="4">
                    <c:v>2.5647490288276729E-17</c:v>
                  </c:pt>
                  <c:pt idx="5">
                    <c:v>2.3607383735350908E-17</c:v>
                  </c:pt>
                  <c:pt idx="6">
                    <c:v>1.8232671552525891E-17</c:v>
                  </c:pt>
                  <c:pt idx="7">
                    <c:v>1.7061710612790554E-17</c:v>
                  </c:pt>
                </c:numCache>
              </c:numRef>
            </c:plus>
            <c:minus>
              <c:numRef>
                <c:f>'Temperature Crap'!$K$56:$K$63</c:f>
                <c:numCache>
                  <c:formatCode>General</c:formatCode>
                  <c:ptCount val="8"/>
                  <c:pt idx="0">
                    <c:v>7.2541688675251191E-18</c:v>
                  </c:pt>
                  <c:pt idx="1">
                    <c:v>3.2709157393419847E-17</c:v>
                  </c:pt>
                  <c:pt idx="2">
                    <c:v>1.770976517017984E-17</c:v>
                  </c:pt>
                  <c:pt idx="3">
                    <c:v>9.7742320668493578E-18</c:v>
                  </c:pt>
                  <c:pt idx="4">
                    <c:v>2.5647490288276729E-17</c:v>
                  </c:pt>
                  <c:pt idx="5">
                    <c:v>2.3607383735350908E-17</c:v>
                  </c:pt>
                  <c:pt idx="6">
                    <c:v>1.8232671552525891E-17</c:v>
                  </c:pt>
                  <c:pt idx="7">
                    <c:v>1.7061710612790554E-17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'Temperature Crap'!$D$56:$D$63</c:f>
              <c:numCache>
                <c:formatCode>General</c:formatCode>
                <c:ptCount val="8"/>
                <c:pt idx="0">
                  <c:v>98.346000000000004</c:v>
                </c:pt>
                <c:pt idx="1">
                  <c:v>114.75799999999998</c:v>
                </c:pt>
                <c:pt idx="2">
                  <c:v>141.24099999999999</c:v>
                </c:pt>
                <c:pt idx="3">
                  <c:v>189.73099999999999</c:v>
                </c:pt>
                <c:pt idx="4">
                  <c:v>229.642</c:v>
                </c:pt>
                <c:pt idx="5">
                  <c:v>280.37</c:v>
                </c:pt>
                <c:pt idx="6">
                  <c:v>304.24200000000002</c:v>
                </c:pt>
                <c:pt idx="7">
                  <c:v>337.06600000000003</c:v>
                </c:pt>
              </c:numCache>
            </c:numRef>
          </c:xVal>
          <c:yVal>
            <c:numRef>
              <c:f>'Temperature Crap'!$J$56:$J$63</c:f>
              <c:numCache>
                <c:formatCode>General</c:formatCode>
                <c:ptCount val="8"/>
                <c:pt idx="0">
                  <c:v>5.5209030787844609E-17</c:v>
                </c:pt>
                <c:pt idx="1">
                  <c:v>6.7836628255277149E-17</c:v>
                </c:pt>
                <c:pt idx="2">
                  <c:v>8.2226216067002621E-17</c:v>
                </c:pt>
                <c:pt idx="3">
                  <c:v>1.1364837720689292E-16</c:v>
                </c:pt>
                <c:pt idx="4">
                  <c:v>1.3802257696961154E-16</c:v>
                </c:pt>
                <c:pt idx="5">
                  <c:v>1.5564248041254068E-16</c:v>
                </c:pt>
                <c:pt idx="6">
                  <c:v>1.7355604891285198E-16</c:v>
                </c:pt>
                <c:pt idx="7">
                  <c:v>1.9029495718363463E-16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D8-4D6C-81D1-C165353CD650}"/>
            </c:ext>
          </c:extLst>
        </c:ser>
        <c:ser>
          <c:idx val="1"/>
          <c:order val="2"/>
          <c:tx>
            <c:v>R = 100K Ohm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2.63132842362059E-3"/>
                  <c:y val="0.7705046230959542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'Temperature Crap'!$E$68:$E$75</c:f>
                <c:numCache>
                  <c:formatCode>General</c:formatCode>
                  <c:ptCount val="8"/>
                  <c:pt idx="0">
                    <c:v>0.746</c:v>
                  </c:pt>
                  <c:pt idx="1">
                    <c:v>0.746</c:v>
                  </c:pt>
                  <c:pt idx="2">
                    <c:v>0.746</c:v>
                  </c:pt>
                  <c:pt idx="3">
                    <c:v>1.492</c:v>
                  </c:pt>
                  <c:pt idx="4">
                    <c:v>1.119</c:v>
                  </c:pt>
                  <c:pt idx="5">
                    <c:v>0.746</c:v>
                  </c:pt>
                  <c:pt idx="6">
                    <c:v>0.746</c:v>
                  </c:pt>
                  <c:pt idx="7">
                    <c:v>0.746</c:v>
                  </c:pt>
                </c:numCache>
              </c:numRef>
            </c:plus>
            <c:minus>
              <c:numRef>
                <c:f>'Temperature Crap'!$E$68:$E$75</c:f>
                <c:numCache>
                  <c:formatCode>General</c:formatCode>
                  <c:ptCount val="8"/>
                  <c:pt idx="0">
                    <c:v>0.746</c:v>
                  </c:pt>
                  <c:pt idx="1">
                    <c:v>0.746</c:v>
                  </c:pt>
                  <c:pt idx="2">
                    <c:v>0.746</c:v>
                  </c:pt>
                  <c:pt idx="3">
                    <c:v>1.492</c:v>
                  </c:pt>
                  <c:pt idx="4">
                    <c:v>1.119</c:v>
                  </c:pt>
                  <c:pt idx="5">
                    <c:v>0.746</c:v>
                  </c:pt>
                  <c:pt idx="6">
                    <c:v>0.746</c:v>
                  </c:pt>
                  <c:pt idx="7">
                    <c:v>0.746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'Temperature Crap'!$K$68:$K$75</c:f>
                <c:numCache>
                  <c:formatCode>General</c:formatCode>
                  <c:ptCount val="8"/>
                  <c:pt idx="0">
                    <c:v>1.6288239139555996E-17</c:v>
                  </c:pt>
                  <c:pt idx="1">
                    <c:v>1.3483190435956704E-16</c:v>
                  </c:pt>
                  <c:pt idx="2">
                    <c:v>5.4868693364757083E-17</c:v>
                  </c:pt>
                  <c:pt idx="3">
                    <c:v>4.8587506143700818E-17</c:v>
                  </c:pt>
                  <c:pt idx="4">
                    <c:v>1.8182542368605175E-17</c:v>
                  </c:pt>
                  <c:pt idx="5">
                    <c:v>2.7247175703276276E-17</c:v>
                  </c:pt>
                  <c:pt idx="6">
                    <c:v>1.6257588532843838E-17</c:v>
                  </c:pt>
                  <c:pt idx="7">
                    <c:v>2.9769121686796837E-17</c:v>
                  </c:pt>
                </c:numCache>
              </c:numRef>
            </c:plus>
            <c:minus>
              <c:numRef>
                <c:f>'Temperature Crap'!$K$68:$K$75</c:f>
                <c:numCache>
                  <c:formatCode>General</c:formatCode>
                  <c:ptCount val="8"/>
                  <c:pt idx="0">
                    <c:v>1.6288239139555996E-17</c:v>
                  </c:pt>
                  <c:pt idx="1">
                    <c:v>1.3483190435956704E-16</c:v>
                  </c:pt>
                  <c:pt idx="2">
                    <c:v>5.4868693364757083E-17</c:v>
                  </c:pt>
                  <c:pt idx="3">
                    <c:v>4.8587506143700818E-17</c:v>
                  </c:pt>
                  <c:pt idx="4">
                    <c:v>1.8182542368605175E-17</c:v>
                  </c:pt>
                  <c:pt idx="5">
                    <c:v>2.7247175703276276E-17</c:v>
                  </c:pt>
                  <c:pt idx="6">
                    <c:v>1.6257588532843838E-17</c:v>
                  </c:pt>
                  <c:pt idx="7">
                    <c:v>2.9769121686796837E-17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'Temperature Crap'!$D$68:$D$75</c:f>
              <c:numCache>
                <c:formatCode>General</c:formatCode>
                <c:ptCount val="8"/>
                <c:pt idx="0">
                  <c:v>99.465000000000032</c:v>
                </c:pt>
                <c:pt idx="1">
                  <c:v>112.51999999999998</c:v>
                </c:pt>
                <c:pt idx="2">
                  <c:v>142.733</c:v>
                </c:pt>
                <c:pt idx="3">
                  <c:v>192.34199999999998</c:v>
                </c:pt>
                <c:pt idx="4">
                  <c:v>225.53900000000002</c:v>
                </c:pt>
                <c:pt idx="5">
                  <c:v>285.59199999999998</c:v>
                </c:pt>
                <c:pt idx="6">
                  <c:v>301.25800000000004</c:v>
                </c:pt>
                <c:pt idx="7">
                  <c:v>340.423</c:v>
                </c:pt>
              </c:numCache>
            </c:numRef>
          </c:xVal>
          <c:yVal>
            <c:numRef>
              <c:f>'Temperature Crap'!$J$68:$J$75</c:f>
              <c:numCache>
                <c:formatCode>General</c:formatCode>
                <c:ptCount val="8"/>
                <c:pt idx="0">
                  <c:v>4.9130164100034063E-16</c:v>
                </c:pt>
                <c:pt idx="1">
                  <c:v>5.7617084258378265E-16</c:v>
                </c:pt>
                <c:pt idx="2">
                  <c:v>7.2887667242250184E-16</c:v>
                </c:pt>
                <c:pt idx="3">
                  <c:v>1.0254783803784757E-15</c:v>
                </c:pt>
                <c:pt idx="4">
                  <c:v>1.1928674630863026E-15</c:v>
                </c:pt>
                <c:pt idx="5">
                  <c:v>1.4189895572705595E-15</c:v>
                </c:pt>
                <c:pt idx="6">
                  <c:v>1.5335189296495991E-15</c:v>
                </c:pt>
                <c:pt idx="7">
                  <c:v>1.7009080123574254E-15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D8-4D6C-81D1-C165353CD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044544"/>
        <c:axId val="470051432"/>
      </c:scatterChart>
      <c:valAx>
        <c:axId val="47004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Absolute</a:t>
                </a:r>
                <a:r>
                  <a:rPr lang="en-US" sz="1200" baseline="0"/>
                  <a:t> Temperature [K]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51432"/>
        <c:crosses val="autoZero"/>
        <c:crossBetween val="midCat"/>
      </c:valAx>
      <c:valAx>
        <c:axId val="47005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Power</a:t>
                </a:r>
                <a:r>
                  <a:rPr lang="en-US" sz="1200" baseline="0"/>
                  <a:t> [Watt]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4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886621386632002"/>
          <c:y val="0.81189638794625463"/>
          <c:w val="0.73298673583092655"/>
          <c:h val="8.26728027833319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Power Spectral Density vs. 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7.7528433945756783E-3"/>
                  <c:y val="0.29168708078156896"/>
                </c:manualLayout>
              </c:layout>
              <c:numFmt formatCode="0.00E+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ShotNoise!$E$6:$E$11</c:f>
                <c:numCache>
                  <c:formatCode>General</c:formatCode>
                  <c:ptCount val="6"/>
                  <c:pt idx="0">
                    <c:v>12.56</c:v>
                  </c:pt>
                  <c:pt idx="1">
                    <c:v>39.36</c:v>
                  </c:pt>
                  <c:pt idx="2">
                    <c:v>131.36000000000001</c:v>
                  </c:pt>
                  <c:pt idx="3">
                    <c:v>399.36</c:v>
                  </c:pt>
                  <c:pt idx="4">
                    <c:v>1319.3600000000001</c:v>
                  </c:pt>
                  <c:pt idx="5">
                    <c:v>3999.36</c:v>
                  </c:pt>
                </c:numCache>
              </c:numRef>
            </c:plus>
            <c:minus>
              <c:numRef>
                <c:f>ShotNoise!$E$6:$E$11</c:f>
                <c:numCache>
                  <c:formatCode>General</c:formatCode>
                  <c:ptCount val="6"/>
                  <c:pt idx="0">
                    <c:v>12.56</c:v>
                  </c:pt>
                  <c:pt idx="1">
                    <c:v>39.36</c:v>
                  </c:pt>
                  <c:pt idx="2">
                    <c:v>131.36000000000001</c:v>
                  </c:pt>
                  <c:pt idx="3">
                    <c:v>399.36</c:v>
                  </c:pt>
                  <c:pt idx="4">
                    <c:v>1319.3600000000001</c:v>
                  </c:pt>
                  <c:pt idx="5">
                    <c:v>3999.36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ShotNoise!$M$6:$M$11</c:f>
                <c:numCache>
                  <c:formatCode>General</c:formatCode>
                  <c:ptCount val="6"/>
                  <c:pt idx="0">
                    <c:v>4.329904319105285E-22</c:v>
                  </c:pt>
                  <c:pt idx="1">
                    <c:v>8.8029459710735557E-22</c:v>
                  </c:pt>
                  <c:pt idx="2">
                    <c:v>2.3402953923097986E-21</c:v>
                  </c:pt>
                  <c:pt idx="3">
                    <c:v>6.3338269791870699E-21</c:v>
                  </c:pt>
                  <c:pt idx="4">
                    <c:v>2.057599159905404E-20</c:v>
                  </c:pt>
                  <c:pt idx="5">
                    <c:v>6.1763759130377862E-20</c:v>
                  </c:pt>
                </c:numCache>
              </c:numRef>
            </c:plus>
            <c:minus>
              <c:numRef>
                <c:f>ShotNoise!$M$6:$M$11</c:f>
                <c:numCache>
                  <c:formatCode>General</c:formatCode>
                  <c:ptCount val="6"/>
                  <c:pt idx="0">
                    <c:v>4.329904319105285E-22</c:v>
                  </c:pt>
                  <c:pt idx="1">
                    <c:v>8.8029459710735557E-22</c:v>
                  </c:pt>
                  <c:pt idx="2">
                    <c:v>2.3402953923097986E-21</c:v>
                  </c:pt>
                  <c:pt idx="3">
                    <c:v>6.3338269791870699E-21</c:v>
                  </c:pt>
                  <c:pt idx="4">
                    <c:v>2.057599159905404E-20</c:v>
                  </c:pt>
                  <c:pt idx="5">
                    <c:v>6.1763759130377862E-20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ShotNoise!$D$6:$D$11</c:f>
              <c:numCache>
                <c:formatCode>General</c:formatCode>
                <c:ptCount val="6"/>
                <c:pt idx="0">
                  <c:v>314</c:v>
                </c:pt>
                <c:pt idx="1">
                  <c:v>984</c:v>
                </c:pt>
                <c:pt idx="2">
                  <c:v>3284</c:v>
                </c:pt>
                <c:pt idx="3">
                  <c:v>9984</c:v>
                </c:pt>
                <c:pt idx="4">
                  <c:v>32984</c:v>
                </c:pt>
                <c:pt idx="5">
                  <c:v>99984</c:v>
                </c:pt>
              </c:numCache>
            </c:numRef>
          </c:xVal>
          <c:yVal>
            <c:numRef>
              <c:f>ShotNoise!$L$6:$L$11</c:f>
              <c:numCache>
                <c:formatCode>General</c:formatCode>
                <c:ptCount val="6"/>
                <c:pt idx="0">
                  <c:v>9.6799999999999988E-21</c:v>
                </c:pt>
                <c:pt idx="1">
                  <c:v>1.968E-20</c:v>
                </c:pt>
                <c:pt idx="2">
                  <c:v>5.2319999999999995E-20</c:v>
                </c:pt>
                <c:pt idx="3">
                  <c:v>1.4159999999999998E-19</c:v>
                </c:pt>
                <c:pt idx="4">
                  <c:v>4.5999999999999996E-19</c:v>
                </c:pt>
                <c:pt idx="5">
                  <c:v>1.3807999999999998E-18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53-4F9D-8623-8DE67D505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701904"/>
        <c:axId val="450706496"/>
      </c:scatterChart>
      <c:valAx>
        <c:axId val="45070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Bandwidth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06496"/>
        <c:crosses val="autoZero"/>
        <c:crossBetween val="midCat"/>
      </c:valAx>
      <c:valAx>
        <c:axId val="4507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Power Spectral Density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0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Spectral Density vs. Photodiode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1.8469011839472985E-2"/>
                  <c:y val="0.28200615270791624"/>
                </c:manualLayout>
              </c:layout>
              <c:numFmt formatCode="0.00E+00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ShotNoise!$C$41:$C$50</c:f>
                <c:numCache>
                  <c:formatCode>General</c:formatCode>
                  <c:ptCount val="10"/>
                  <c:pt idx="0">
                    <c:v>1.9999999999999999E-7</c:v>
                  </c:pt>
                  <c:pt idx="1">
                    <c:v>1.9999999999999999E-7</c:v>
                  </c:pt>
                  <c:pt idx="2">
                    <c:v>1.9999999999999999E-7</c:v>
                  </c:pt>
                  <c:pt idx="3">
                    <c:v>3.9999999999999998E-7</c:v>
                  </c:pt>
                  <c:pt idx="4">
                    <c:v>9.9999999999999995E-8</c:v>
                  </c:pt>
                  <c:pt idx="5">
                    <c:v>9.9999999999999995E-8</c:v>
                  </c:pt>
                  <c:pt idx="6">
                    <c:v>9.9999999999999995E-8</c:v>
                  </c:pt>
                  <c:pt idx="7">
                    <c:v>1.9999999999999999E-7</c:v>
                  </c:pt>
                  <c:pt idx="8">
                    <c:v>1.9999999999999999E-7</c:v>
                  </c:pt>
                  <c:pt idx="9">
                    <c:v>1.9999999999999999E-7</c:v>
                  </c:pt>
                </c:numCache>
              </c:numRef>
            </c:plus>
            <c:minus>
              <c:numRef>
                <c:f>ShotNoise!$C$41:$C$50</c:f>
                <c:numCache>
                  <c:formatCode>General</c:formatCode>
                  <c:ptCount val="10"/>
                  <c:pt idx="0">
                    <c:v>1.9999999999999999E-7</c:v>
                  </c:pt>
                  <c:pt idx="1">
                    <c:v>1.9999999999999999E-7</c:v>
                  </c:pt>
                  <c:pt idx="2">
                    <c:v>1.9999999999999999E-7</c:v>
                  </c:pt>
                  <c:pt idx="3">
                    <c:v>3.9999999999999998E-7</c:v>
                  </c:pt>
                  <c:pt idx="4">
                    <c:v>9.9999999999999995E-8</c:v>
                  </c:pt>
                  <c:pt idx="5">
                    <c:v>9.9999999999999995E-8</c:v>
                  </c:pt>
                  <c:pt idx="6">
                    <c:v>9.9999999999999995E-8</c:v>
                  </c:pt>
                  <c:pt idx="7">
                    <c:v>1.9999999999999999E-7</c:v>
                  </c:pt>
                  <c:pt idx="8">
                    <c:v>1.9999999999999999E-7</c:v>
                  </c:pt>
                  <c:pt idx="9">
                    <c:v>1.9999999999999999E-7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ShotNoise!$N$40:$N$50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6.6617338752648344E-27</c:v>
                  </c:pt>
                  <c:pt idx="2">
                    <c:v>1.1047235858726918E-26</c:v>
                  </c:pt>
                  <c:pt idx="3">
                    <c:v>1.015842506435669E-26</c:v>
                  </c:pt>
                  <c:pt idx="4">
                    <c:v>1.7031155282204066E-26</c:v>
                  </c:pt>
                  <c:pt idx="5">
                    <c:v>1.0576923076923059E-26</c:v>
                  </c:pt>
                  <c:pt idx="6">
                    <c:v>1.1813438844119979E-26</c:v>
                  </c:pt>
                  <c:pt idx="7">
                    <c:v>1.4258874190205921E-26</c:v>
                  </c:pt>
                  <c:pt idx="8">
                    <c:v>1.7344795300074238E-26</c:v>
                  </c:pt>
                  <c:pt idx="9">
                    <c:v>1.9236266954469526E-26</c:v>
                  </c:pt>
                  <c:pt idx="10">
                    <c:v>2.1874999999999973E-26</c:v>
                  </c:pt>
                </c:numCache>
              </c:numRef>
            </c:plus>
            <c:minus>
              <c:numRef>
                <c:f>ShotNoise!$N$40:$N$50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6.6617338752648344E-27</c:v>
                  </c:pt>
                  <c:pt idx="2">
                    <c:v>1.1047235858726918E-26</c:v>
                  </c:pt>
                  <c:pt idx="3">
                    <c:v>1.015842506435669E-26</c:v>
                  </c:pt>
                  <c:pt idx="4">
                    <c:v>1.7031155282204066E-26</c:v>
                  </c:pt>
                  <c:pt idx="5">
                    <c:v>1.0576923076923059E-26</c:v>
                  </c:pt>
                  <c:pt idx="6">
                    <c:v>1.1813438844119979E-26</c:v>
                  </c:pt>
                  <c:pt idx="7">
                    <c:v>1.4258874190205921E-26</c:v>
                  </c:pt>
                  <c:pt idx="8">
                    <c:v>1.7344795300074238E-26</c:v>
                  </c:pt>
                  <c:pt idx="9">
                    <c:v>1.9236266954469526E-26</c:v>
                  </c:pt>
                  <c:pt idx="10">
                    <c:v>2.1874999999999973E-26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ShotNoise!$B$41:$B$50</c:f>
              <c:numCache>
                <c:formatCode>0.00E+00</c:formatCode>
                <c:ptCount val="10"/>
                <c:pt idx="0">
                  <c:v>9.9999999999999995E-7</c:v>
                </c:pt>
                <c:pt idx="1">
                  <c:v>1.9999999999999999E-6</c:v>
                </c:pt>
                <c:pt idx="2">
                  <c:v>3.0000000000000001E-6</c:v>
                </c:pt>
                <c:pt idx="3">
                  <c:v>3.9999999999999998E-6</c:v>
                </c:pt>
                <c:pt idx="4">
                  <c:v>5.0000000000000004E-6</c:v>
                </c:pt>
                <c:pt idx="5">
                  <c:v>6.0000000000000002E-6</c:v>
                </c:pt>
                <c:pt idx="6">
                  <c:v>6.9999999999999999E-6</c:v>
                </c:pt>
                <c:pt idx="7">
                  <c:v>7.9999999999999996E-6</c:v>
                </c:pt>
                <c:pt idx="8">
                  <c:v>9.0000000000000002E-6</c:v>
                </c:pt>
                <c:pt idx="9">
                  <c:v>1.0000000000000001E-5</c:v>
                </c:pt>
              </c:numCache>
            </c:numRef>
          </c:xVal>
          <c:yVal>
            <c:numRef>
              <c:f>ShotNoise!$K$40:$K$50</c:f>
              <c:numCache>
                <c:formatCode>General</c:formatCode>
                <c:ptCount val="11"/>
                <c:pt idx="0">
                  <c:v>0</c:v>
                </c:pt>
                <c:pt idx="1">
                  <c:v>3.2051282051281671E-26</c:v>
                </c:pt>
                <c:pt idx="2">
                  <c:v>9.615384615384561E-26</c:v>
                </c:pt>
                <c:pt idx="3">
                  <c:v>1.1618589743589696E-25</c:v>
                </c:pt>
                <c:pt idx="4">
                  <c:v>1.4823717948717923E-25</c:v>
                </c:pt>
                <c:pt idx="5">
                  <c:v>1.7628205128205098E-25</c:v>
                </c:pt>
                <c:pt idx="6">
                  <c:v>2.0032051282051223E-25</c:v>
                </c:pt>
                <c:pt idx="7">
                  <c:v>2.4439102564102542E-25</c:v>
                </c:pt>
                <c:pt idx="8">
                  <c:v>2.8044871794871703E-25</c:v>
                </c:pt>
                <c:pt idx="9">
                  <c:v>3.1650641025640979E-25</c:v>
                </c:pt>
                <c:pt idx="10">
                  <c:v>3.645833333333329E-25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C-463E-8987-7840F4468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677008"/>
        <c:axId val="446674056"/>
      </c:scatterChart>
      <c:valAx>
        <c:axId val="4466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Photodiode Current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74056"/>
        <c:crosses val="autoZero"/>
        <c:crossBetween val="midCat"/>
      </c:valAx>
      <c:valAx>
        <c:axId val="44667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Power Density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195262</xdr:colOff>
      <xdr:row>57</xdr:row>
      <xdr:rowOff>111919</xdr:rowOff>
    </xdr:from>
    <xdr:to>
      <xdr:col>10</xdr:col>
      <xdr:colOff>85724</xdr:colOff>
      <xdr:row>76</xdr:row>
      <xdr:rowOff>151924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B489D-A00D-4939-A0AB-1DFE1818E5E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52388</xdr:colOff>
      <xdr:row>1</xdr:row>
      <xdr:rowOff>2380</xdr:rowOff>
    </xdr:from>
    <xdr:to>
      <xdr:col>12</xdr:col>
      <xdr:colOff>238125</xdr:colOff>
      <xdr:row>30</xdr:row>
      <xdr:rowOff>23232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156642-A0FD-43E3-91D2-B9F2FAF93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824792</xdr:colOff>
      <xdr:row>39</xdr:row>
      <xdr:rowOff>145495</xdr:rowOff>
    </xdr:from>
    <xdr:to>
      <xdr:col>23</xdr:col>
      <xdr:colOff>325243</xdr:colOff>
      <xdr:row>70</xdr:row>
      <xdr:rowOff>92925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663C83-A3A0-4D64-BFC4-1633BA551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204787</xdr:colOff>
      <xdr:row>12</xdr:row>
      <xdr:rowOff>121443</xdr:rowOff>
    </xdr:from>
    <xdr:to>
      <xdr:col>10</xdr:col>
      <xdr:colOff>661988</xdr:colOff>
      <xdr:row>34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9B89F6-5D42-45FA-B3DB-38FEF6BED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538161</xdr:colOff>
      <xdr:row>50</xdr:row>
      <xdr:rowOff>145256</xdr:rowOff>
    </xdr:from>
    <xdr:to>
      <xdr:col>9</xdr:col>
      <xdr:colOff>600075</xdr:colOff>
      <xdr:row>73</xdr:row>
      <xdr:rowOff>42863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46E437-2039-480C-BF33-46F0A0EBC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86226</xdr:colOff>
      <xdr:row>19</xdr:row>
      <xdr:rowOff>118601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40DCCB7-6E72-4499-9860-40C9B47AE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413548" cy="38530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86"/>
  <sheetViews>
    <sheetView tabSelected="1" topLeftCell="C46" zoomScale="86" workbookViewId="0">
      <selection activeCell="L58" sqref="L58"/>
    </sheetView>
  </sheetViews>
  <sheetFormatPr defaultRowHeight="15.75" x14ac:dyDescent="0.5"/>
  <cols>
    <col min="2" max="3" width="9.0625" bestFit="1" customWidth="1"/>
    <col min="4" max="4" width="11.75" bestFit="1" customWidth="1"/>
    <col min="5" max="5" width="9.0625" bestFit="1" customWidth="1"/>
    <col min="6" max="8" width="11.75" bestFit="1" customWidth="1"/>
    <col min="9" max="10" width="11.8125" bestFit="1" customWidth="1"/>
    <col min="11" max="11" width="10.4375" customWidth="1"/>
    <col min="12" max="13" width="11.75" bestFit="1" customWidth="1"/>
    <col min="14" max="14" width="12.9375" bestFit="1" customWidth="1"/>
    <col min="15" max="15" width="11.8125" bestFit="1" customWidth="1"/>
    <col min="16" max="16" width="9.0625" bestFit="1" customWidth="1"/>
    <col min="17" max="17" width="11.875" bestFit="1" customWidth="1"/>
    <col min="19" max="20" width="11.8125" bestFit="1" customWidth="1"/>
    <col min="22" max="22" width="11.8125" bestFit="1" customWidth="1"/>
    <col min="25" max="25" width="11.8125" bestFit="1" customWidth="1"/>
  </cols>
  <sheetData>
    <row r="3" spans="3:14" x14ac:dyDescent="0.5">
      <c r="C3" s="1">
        <v>43164</v>
      </c>
    </row>
    <row r="4" spans="3:14" x14ac:dyDescent="0.5">
      <c r="C4" s="2" t="s">
        <v>5</v>
      </c>
    </row>
    <row r="5" spans="3:14" x14ac:dyDescent="0.5">
      <c r="C5" t="s">
        <v>6</v>
      </c>
      <c r="E5" t="s">
        <v>7</v>
      </c>
      <c r="G5" t="s">
        <v>15</v>
      </c>
      <c r="I5" t="s">
        <v>0</v>
      </c>
      <c r="M5" t="s">
        <v>9</v>
      </c>
      <c r="N5" t="s">
        <v>10</v>
      </c>
    </row>
    <row r="6" spans="3:14" x14ac:dyDescent="0.5">
      <c r="I6" t="s">
        <v>1</v>
      </c>
      <c r="J6" t="s">
        <v>2</v>
      </c>
      <c r="K6" t="s">
        <v>4</v>
      </c>
    </row>
    <row r="7" spans="3:14" x14ac:dyDescent="0.5">
      <c r="C7" t="s">
        <v>1</v>
      </c>
      <c r="D7" t="s">
        <v>2</v>
      </c>
      <c r="E7" t="s">
        <v>3</v>
      </c>
      <c r="I7">
        <v>1</v>
      </c>
      <c r="J7">
        <v>22.9</v>
      </c>
      <c r="K7">
        <v>0.1</v>
      </c>
    </row>
    <row r="8" spans="3:14" x14ac:dyDescent="0.5">
      <c r="C8">
        <v>10</v>
      </c>
      <c r="D8">
        <v>22.9</v>
      </c>
      <c r="E8">
        <v>0.1</v>
      </c>
    </row>
    <row r="9" spans="3:14" x14ac:dyDescent="0.5">
      <c r="C9">
        <v>100</v>
      </c>
      <c r="D9">
        <v>23</v>
      </c>
      <c r="E9">
        <v>1</v>
      </c>
    </row>
    <row r="10" spans="3:14" x14ac:dyDescent="0.5">
      <c r="C10">
        <v>1000</v>
      </c>
      <c r="D10">
        <v>28</v>
      </c>
      <c r="E10">
        <v>1</v>
      </c>
    </row>
    <row r="11" spans="3:14" x14ac:dyDescent="0.5">
      <c r="C11">
        <v>10000</v>
      </c>
      <c r="D11">
        <v>83</v>
      </c>
      <c r="E11">
        <v>1</v>
      </c>
    </row>
    <row r="12" spans="3:14" x14ac:dyDescent="0.5">
      <c r="C12">
        <v>100000</v>
      </c>
      <c r="D12">
        <v>482</v>
      </c>
      <c r="E12">
        <v>1</v>
      </c>
    </row>
    <row r="13" spans="3:14" x14ac:dyDescent="0.5">
      <c r="C13">
        <v>1000000</v>
      </c>
      <c r="D13">
        <v>906</v>
      </c>
      <c r="E13">
        <v>1</v>
      </c>
    </row>
    <row r="16" spans="3:14" x14ac:dyDescent="0.5">
      <c r="C16" t="s">
        <v>16</v>
      </c>
      <c r="D16" t="s">
        <v>17</v>
      </c>
    </row>
    <row r="17" spans="3:4" x14ac:dyDescent="0.5">
      <c r="C17">
        <f>C8</f>
        <v>10</v>
      </c>
      <c r="D17">
        <f>D8-$J$7</f>
        <v>0</v>
      </c>
    </row>
    <row r="18" spans="3:4" x14ac:dyDescent="0.5">
      <c r="C18">
        <f t="shared" ref="C18:C22" si="0">C9</f>
        <v>100</v>
      </c>
      <c r="D18">
        <f t="shared" ref="D18:D22" si="1">D9-$J$7</f>
        <v>0.10000000000000142</v>
      </c>
    </row>
    <row r="19" spans="3:4" x14ac:dyDescent="0.5">
      <c r="C19">
        <f t="shared" si="0"/>
        <v>1000</v>
      </c>
      <c r="D19">
        <f t="shared" si="1"/>
        <v>5.1000000000000014</v>
      </c>
    </row>
    <row r="20" spans="3:4" x14ac:dyDescent="0.5">
      <c r="C20">
        <f t="shared" si="0"/>
        <v>10000</v>
      </c>
      <c r="D20">
        <f t="shared" si="1"/>
        <v>60.1</v>
      </c>
    </row>
    <row r="21" spans="3:4" x14ac:dyDescent="0.5">
      <c r="C21">
        <f t="shared" si="0"/>
        <v>100000</v>
      </c>
      <c r="D21">
        <f t="shared" si="1"/>
        <v>459.1</v>
      </c>
    </row>
    <row r="22" spans="3:4" x14ac:dyDescent="0.5">
      <c r="C22">
        <f t="shared" si="0"/>
        <v>1000000</v>
      </c>
      <c r="D22">
        <f t="shared" si="1"/>
        <v>883.1</v>
      </c>
    </row>
    <row r="33" spans="3:13" x14ac:dyDescent="0.5">
      <c r="K33">
        <v>-0.373</v>
      </c>
    </row>
    <row r="34" spans="3:13" x14ac:dyDescent="0.5">
      <c r="K34">
        <v>455.68</v>
      </c>
    </row>
    <row r="35" spans="3:13" x14ac:dyDescent="0.5">
      <c r="C35" s="2" t="s">
        <v>8</v>
      </c>
    </row>
    <row r="36" spans="3:13" x14ac:dyDescent="0.5">
      <c r="C36" t="s">
        <v>26</v>
      </c>
      <c r="D36" s="3">
        <v>3000</v>
      </c>
      <c r="F36" t="s">
        <v>19</v>
      </c>
      <c r="G36">
        <v>600</v>
      </c>
      <c r="I36" t="s">
        <v>47</v>
      </c>
      <c r="J36">
        <v>433</v>
      </c>
    </row>
    <row r="37" spans="3:13" x14ac:dyDescent="0.5">
      <c r="C37" t="s">
        <v>25</v>
      </c>
      <c r="D37" s="3">
        <v>3300</v>
      </c>
      <c r="F37" t="s">
        <v>20</v>
      </c>
      <c r="G37">
        <v>3000</v>
      </c>
      <c r="I37" t="s">
        <v>48</v>
      </c>
      <c r="J37">
        <f>J36*K33+K34</f>
        <v>294.17100000000005</v>
      </c>
    </row>
    <row r="38" spans="3:13" x14ac:dyDescent="0.5">
      <c r="C38" s="2" t="s">
        <v>11</v>
      </c>
      <c r="D38" s="2" t="s">
        <v>45</v>
      </c>
      <c r="E38" s="2" t="s">
        <v>31</v>
      </c>
      <c r="F38" s="2" t="s">
        <v>41</v>
      </c>
      <c r="G38" s="2" t="s">
        <v>19</v>
      </c>
      <c r="H38" s="2" t="s">
        <v>24</v>
      </c>
      <c r="I38" s="2" t="s">
        <v>0</v>
      </c>
    </row>
    <row r="39" spans="3:13" x14ac:dyDescent="0.5">
      <c r="C39">
        <v>1</v>
      </c>
      <c r="D39">
        <f xml:space="preserve"> 0.1*C39</f>
        <v>0.1</v>
      </c>
      <c r="E39">
        <f>21.8/1000</f>
        <v>2.18E-2</v>
      </c>
      <c r="F39">
        <v>1E-4</v>
      </c>
      <c r="G39">
        <f>600</f>
        <v>600</v>
      </c>
      <c r="H39">
        <f>(10)/($G$36*$G$37)^2</f>
        <v>3.0864197530864196E-12</v>
      </c>
      <c r="I39">
        <f>H39*E39</f>
        <v>6.7283950617283949E-14</v>
      </c>
      <c r="L39" t="s">
        <v>53</v>
      </c>
      <c r="M39" t="s">
        <v>29</v>
      </c>
    </row>
    <row r="40" spans="3:13" x14ac:dyDescent="0.5">
      <c r="C40">
        <v>10</v>
      </c>
      <c r="D40">
        <f t="shared" ref="D40:D45" si="2" xml:space="preserve"> 0.1*C40</f>
        <v>1</v>
      </c>
      <c r="E40">
        <f>21.9/1000</f>
        <v>2.1899999999999999E-2</v>
      </c>
      <c r="F40">
        <v>1E-4</v>
      </c>
      <c r="G40">
        <f>600</f>
        <v>600</v>
      </c>
      <c r="L40">
        <v>1000</v>
      </c>
      <c r="M40">
        <v>200</v>
      </c>
    </row>
    <row r="41" spans="3:13" x14ac:dyDescent="0.5">
      <c r="C41">
        <v>100</v>
      </c>
      <c r="D41">
        <f t="shared" si="2"/>
        <v>10</v>
      </c>
      <c r="E41">
        <f>22.9/1000</f>
        <v>2.29E-2</v>
      </c>
      <c r="F41">
        <v>1E-4</v>
      </c>
      <c r="G41">
        <f>600</f>
        <v>600</v>
      </c>
      <c r="L41">
        <f xml:space="preserve"> 0.1*L40</f>
        <v>100</v>
      </c>
      <c r="M41">
        <f>0.1*M40</f>
        <v>20</v>
      </c>
    </row>
    <row r="42" spans="3:13" x14ac:dyDescent="0.5">
      <c r="C42">
        <v>1000</v>
      </c>
      <c r="D42">
        <f t="shared" si="2"/>
        <v>100</v>
      </c>
      <c r="E42">
        <f>27.5/1000</f>
        <v>2.75E-2</v>
      </c>
      <c r="F42">
        <v>1E-4</v>
      </c>
      <c r="G42">
        <f>600</f>
        <v>600</v>
      </c>
      <c r="L42" t="s">
        <v>52</v>
      </c>
    </row>
    <row r="43" spans="3:13" x14ac:dyDescent="0.5">
      <c r="C43">
        <v>10000</v>
      </c>
      <c r="D43">
        <f t="shared" si="2"/>
        <v>1000</v>
      </c>
      <c r="E43">
        <f>79.3/1000</f>
        <v>7.9299999999999995E-2</v>
      </c>
      <c r="F43">
        <v>5.0000000000000001E-3</v>
      </c>
      <c r="G43">
        <f>600</f>
        <v>600</v>
      </c>
      <c r="L43">
        <f>20/((G36*G37)^3)*(G37*(L40/M40^2*M41+L41/M40))</f>
        <v>1.0288065843621399E-14</v>
      </c>
    </row>
    <row r="44" spans="3:13" x14ac:dyDescent="0.5">
      <c r="C44">
        <v>100000</v>
      </c>
      <c r="D44">
        <f t="shared" si="2"/>
        <v>10000</v>
      </c>
      <c r="E44">
        <f>591/1000</f>
        <v>0.59099999999999997</v>
      </c>
      <c r="F44">
        <v>3.0000000000000001E-3</v>
      </c>
      <c r="G44">
        <f>600</f>
        <v>600</v>
      </c>
    </row>
    <row r="45" spans="3:13" x14ac:dyDescent="0.5">
      <c r="C45">
        <v>1000000</v>
      </c>
      <c r="D45">
        <f t="shared" si="2"/>
        <v>100000</v>
      </c>
      <c r="E45">
        <f>4030/1000</f>
        <v>4.03</v>
      </c>
      <c r="F45">
        <v>0.01</v>
      </c>
      <c r="G45">
        <f>600</f>
        <v>600</v>
      </c>
    </row>
    <row r="46" spans="3:13" x14ac:dyDescent="0.5">
      <c r="C46" t="s">
        <v>12</v>
      </c>
      <c r="E46">
        <f>23/1000</f>
        <v>2.3E-2</v>
      </c>
      <c r="F46">
        <v>1E-3</v>
      </c>
    </row>
    <row r="47" spans="3:13" x14ac:dyDescent="0.5">
      <c r="C47" t="s">
        <v>13</v>
      </c>
      <c r="E47">
        <f>79.8/1000</f>
        <v>7.9799999999999996E-2</v>
      </c>
      <c r="F47">
        <v>5.0000000000000001E-3</v>
      </c>
    </row>
    <row r="48" spans="3:13" x14ac:dyDescent="0.5">
      <c r="C48" t="s">
        <v>14</v>
      </c>
      <c r="E48">
        <f>538/1000</f>
        <v>0.53800000000000003</v>
      </c>
      <c r="F48">
        <v>4.0000000000000001E-3</v>
      </c>
    </row>
    <row r="49" spans="2:25" x14ac:dyDescent="0.5">
      <c r="M49" t="s">
        <v>49</v>
      </c>
    </row>
    <row r="50" spans="2:25" x14ac:dyDescent="0.5">
      <c r="B50" s="2" t="s">
        <v>46</v>
      </c>
      <c r="C50" s="2" t="s">
        <v>21</v>
      </c>
      <c r="D50" s="2" t="s">
        <v>18</v>
      </c>
      <c r="E50" s="2" t="s">
        <v>23</v>
      </c>
      <c r="F50" s="2" t="s">
        <v>45</v>
      </c>
      <c r="G50" s="2" t="s">
        <v>22</v>
      </c>
      <c r="H50" s="2" t="s">
        <v>27</v>
      </c>
      <c r="I50" s="2" t="s">
        <v>28</v>
      </c>
      <c r="J50" s="2" t="s">
        <v>51</v>
      </c>
      <c r="K50" s="2"/>
      <c r="L50" s="2" t="s">
        <v>50</v>
      </c>
      <c r="M50" s="2" t="s">
        <v>66</v>
      </c>
      <c r="N50" s="2" t="s">
        <v>67</v>
      </c>
      <c r="O50" s="2" t="s">
        <v>68</v>
      </c>
      <c r="P50" s="2" t="s">
        <v>49</v>
      </c>
      <c r="Q50" s="2" t="s">
        <v>72</v>
      </c>
    </row>
    <row r="51" spans="2:25" x14ac:dyDescent="0.5">
      <c r="B51">
        <f>0.01*C51</f>
        <v>10.51</v>
      </c>
      <c r="C51">
        <v>1051</v>
      </c>
      <c r="D51">
        <f>$H$39*(E39-$I$39)</f>
        <v>6.7283950617076283E-14</v>
      </c>
      <c r="E51">
        <f>C39</f>
        <v>1</v>
      </c>
      <c r="F51">
        <f xml:space="preserve"> 0.04*E51</f>
        <v>0.04</v>
      </c>
      <c r="G51">
        <f t="shared" ref="G51:G57" si="3">D51/$C$51</f>
        <v>6.4018982509111591E-17</v>
      </c>
      <c r="H51">
        <f>($H$39)*(F39/E39)</f>
        <v>1.4157888775625779E-14</v>
      </c>
      <c r="I51">
        <f>G51*SQRT( (F51/E51)^2 + ($B$51/$C$51)^2)</f>
        <v>2.6395702692963664E-18</v>
      </c>
      <c r="J51">
        <f>AVERAGE(I51:I57)</f>
        <v>5.2320031823516958E-17</v>
      </c>
      <c r="L51" s="4">
        <f>1.18E-20/(4*J37)</f>
        <v>1.0028180887986918E-23</v>
      </c>
      <c r="M51" s="3">
        <f t="shared" ref="M51:M57" si="4">(I51/G51)^2</f>
        <v>1.7000000000000003E-3</v>
      </c>
      <c r="N51">
        <f>(F51/E51)^2</f>
        <v>1.6000000000000001E-3</v>
      </c>
      <c r="O51">
        <f>(1/$J$37)^2</f>
        <v>1.1555807172902738E-5</v>
      </c>
      <c r="P51" s="9">
        <f>0.25*$L$51*SQRT(M51+N51+O51)</f>
        <v>1.4427072257908119E-25</v>
      </c>
      <c r="Q51" s="3">
        <f xml:space="preserve"> AVERAGE(P52:P57)</f>
        <v>5.9586366229202817E-25</v>
      </c>
    </row>
    <row r="52" spans="2:25" x14ac:dyDescent="0.5">
      <c r="D52">
        <f t="shared" ref="D52:D57" si="5">$H$39*(E40-$I$39)</f>
        <v>6.7592592592384929E-14</v>
      </c>
      <c r="E52">
        <f t="shared" ref="E52:E57" si="6">C40</f>
        <v>10</v>
      </c>
      <c r="F52">
        <f t="shared" ref="F52:F57" si="7" xml:space="preserve"> 0.04*E52</f>
        <v>0.4</v>
      </c>
      <c r="G52">
        <f>D52/$C$51</f>
        <v>6.4312647566493747E-17</v>
      </c>
      <c r="H52">
        <f t="shared" ref="H52:H57" si="8">($H$39)*(F40/E40)</f>
        <v>1.409324088167315E-14</v>
      </c>
      <c r="I52">
        <f>G52*SQRT( (H52/D52)^2 + ($B$51/$C$51)^2)</f>
        <v>1.3424776986491396E-17</v>
      </c>
      <c r="M52" s="3">
        <f>(I52/G52)^2</f>
        <v>4.357339334299451E-2</v>
      </c>
      <c r="N52">
        <f>(F52/E52)^2</f>
        <v>1.6000000000000001E-3</v>
      </c>
      <c r="O52">
        <f>(1/$J$37)^2</f>
        <v>1.1555807172902738E-5</v>
      </c>
      <c r="P52" s="9">
        <f t="shared" ref="P52:P57" si="9">0.25*$L$51*SQRT(M52+N52+O52)</f>
        <v>5.3291637706002171E-25</v>
      </c>
    </row>
    <row r="53" spans="2:25" x14ac:dyDescent="0.5">
      <c r="D53">
        <f t="shared" si="5"/>
        <v>7.0679012345471343E-14</v>
      </c>
      <c r="E53">
        <f t="shared" si="6"/>
        <v>100</v>
      </c>
      <c r="F53">
        <f t="shared" si="7"/>
        <v>4</v>
      </c>
      <c r="G53">
        <f t="shared" si="3"/>
        <v>6.7249298140315265E-17</v>
      </c>
      <c r="H53">
        <f t="shared" si="8"/>
        <v>1.3477815515661221E-14</v>
      </c>
      <c r="I53">
        <f t="shared" ref="I53:I57" si="10">G53*SQRT( (H53/D53)^2 + ($B$51/$C$51)^2)</f>
        <v>1.2841422628252552E-17</v>
      </c>
      <c r="M53" s="3">
        <f t="shared" si="4"/>
        <v>3.6462863077815266E-2</v>
      </c>
      <c r="N53">
        <f t="shared" ref="N53:N56" si="11">(F53/E53)^2</f>
        <v>1.6000000000000001E-3</v>
      </c>
      <c r="O53">
        <f t="shared" ref="O53:O57" si="12">(1/$J$37)^2</f>
        <v>1.1555807172902738E-5</v>
      </c>
      <c r="P53" s="9">
        <f t="shared" si="9"/>
        <v>4.891913955988885E-25</v>
      </c>
    </row>
    <row r="54" spans="2:25" x14ac:dyDescent="0.5">
      <c r="D54">
        <f t="shared" si="5"/>
        <v>8.4876543209668877E-14</v>
      </c>
      <c r="E54">
        <f t="shared" si="6"/>
        <v>1000</v>
      </c>
      <c r="F54">
        <f t="shared" si="7"/>
        <v>40</v>
      </c>
      <c r="G54">
        <f t="shared" si="3"/>
        <v>8.0757890779894271E-17</v>
      </c>
      <c r="H54">
        <f t="shared" si="8"/>
        <v>1.122334455667789E-14</v>
      </c>
      <c r="I54">
        <f t="shared" si="10"/>
        <v>1.0709222400463374E-17</v>
      </c>
      <c r="M54" s="3">
        <f t="shared" si="4"/>
        <v>1.7585144457431371E-2</v>
      </c>
      <c r="N54">
        <f t="shared" si="11"/>
        <v>1.6000000000000001E-3</v>
      </c>
      <c r="O54">
        <f t="shared" si="12"/>
        <v>1.1555807172902738E-5</v>
      </c>
      <c r="P54" s="9">
        <f t="shared" si="9"/>
        <v>3.4735652370406865E-25</v>
      </c>
    </row>
    <row r="55" spans="2:25" x14ac:dyDescent="0.5">
      <c r="D55">
        <f t="shared" si="5"/>
        <v>2.4475308641954542E-13</v>
      </c>
      <c r="E55">
        <f t="shared" si="6"/>
        <v>10000</v>
      </c>
      <c r="F55">
        <f t="shared" si="7"/>
        <v>400</v>
      </c>
      <c r="G55">
        <f t="shared" si="3"/>
        <v>2.3287639050384912E-16</v>
      </c>
      <c r="H55">
        <f t="shared" si="8"/>
        <v>1.9460401974063176E-13</v>
      </c>
      <c r="I55">
        <f t="shared" si="10"/>
        <v>1.8517546185099387E-16</v>
      </c>
      <c r="M55" s="3">
        <f t="shared" si="4"/>
        <v>0.63228947235919064</v>
      </c>
      <c r="N55">
        <f t="shared" si="11"/>
        <v>1.6000000000000001E-3</v>
      </c>
      <c r="O55">
        <f t="shared" si="12"/>
        <v>1.1555807172902738E-5</v>
      </c>
      <c r="P55" s="9">
        <f t="shared" si="9"/>
        <v>1.9960568020853559E-24</v>
      </c>
    </row>
    <row r="56" spans="2:25" x14ac:dyDescent="0.5">
      <c r="D56">
        <f t="shared" si="5"/>
        <v>1.8240740740738661E-12</v>
      </c>
      <c r="E56">
        <f t="shared" si="6"/>
        <v>100000</v>
      </c>
      <c r="F56">
        <f t="shared" si="7"/>
        <v>4000</v>
      </c>
      <c r="G56">
        <f t="shared" si="3"/>
        <v>1.7355604891283218E-15</v>
      </c>
      <c r="H56">
        <f t="shared" si="8"/>
        <v>1.5667105345616344E-14</v>
      </c>
      <c r="I56">
        <f t="shared" si="10"/>
        <v>2.2878622514094208E-17</v>
      </c>
      <c r="M56" s="3">
        <f t="shared" si="4"/>
        <v>1.7377217467902704E-4</v>
      </c>
      <c r="N56">
        <f t="shared" si="11"/>
        <v>1.6000000000000001E-3</v>
      </c>
      <c r="O56">
        <f t="shared" si="12"/>
        <v>1.1555807172902738E-5</v>
      </c>
      <c r="P56" s="9">
        <f t="shared" si="9"/>
        <v>1.0593053696384092E-25</v>
      </c>
    </row>
    <row r="57" spans="2:25" x14ac:dyDescent="0.5">
      <c r="D57">
        <f t="shared" si="5"/>
        <v>1.2438271604938063E-11</v>
      </c>
      <c r="E57">
        <f t="shared" si="6"/>
        <v>1000000</v>
      </c>
      <c r="F57">
        <f t="shared" si="7"/>
        <v>40000</v>
      </c>
      <c r="G57">
        <f t="shared" si="3"/>
        <v>1.1834701812500535E-14</v>
      </c>
      <c r="H57">
        <f t="shared" si="8"/>
        <v>7.6586098091474434E-15</v>
      </c>
      <c r="I57">
        <f t="shared" si="10"/>
        <v>1.1857114611502697E-16</v>
      </c>
      <c r="M57" s="3">
        <f t="shared" si="4"/>
        <v>1.0037912272340942E-4</v>
      </c>
      <c r="N57">
        <f t="shared" ref="N57" si="13">(F57/E57)^2</f>
        <v>1.6000000000000001E-3</v>
      </c>
      <c r="O57">
        <f t="shared" si="12"/>
        <v>1.1555807172902738E-5</v>
      </c>
      <c r="P57" s="9">
        <f t="shared" si="9"/>
        <v>1.0373033833999324E-25</v>
      </c>
    </row>
    <row r="58" spans="2:25" x14ac:dyDescent="0.5">
      <c r="P58" s="9"/>
    </row>
    <row r="61" spans="2:25" x14ac:dyDescent="0.5">
      <c r="L61" t="s">
        <v>23</v>
      </c>
      <c r="M61" t="s">
        <v>64</v>
      </c>
      <c r="N61" t="s">
        <v>22</v>
      </c>
      <c r="O61" t="s">
        <v>28</v>
      </c>
      <c r="V61" t="s">
        <v>65</v>
      </c>
      <c r="W61" t="s">
        <v>69</v>
      </c>
      <c r="X61" t="s">
        <v>71</v>
      </c>
      <c r="Y61" t="s">
        <v>70</v>
      </c>
    </row>
    <row r="62" spans="2:25" x14ac:dyDescent="0.5">
      <c r="L62">
        <v>10</v>
      </c>
      <c r="M62">
        <f>F51</f>
        <v>0.04</v>
      </c>
      <c r="N62" s="3">
        <f>G52</f>
        <v>6.4312647566493747E-17</v>
      </c>
      <c r="O62" s="3">
        <f>I52</f>
        <v>1.3424776986491396E-17</v>
      </c>
      <c r="V62" s="3">
        <f>N62*SQRT(W62+X62+Y62)</f>
        <v>1.3429021229021984E-17</v>
      </c>
      <c r="W62">
        <f t="shared" ref="W62:W67" si="14">(O62/N62)^2</f>
        <v>4.357339334299451E-2</v>
      </c>
      <c r="X62">
        <f>(M62/L62)^2</f>
        <v>1.5999999999999999E-5</v>
      </c>
      <c r="Y62">
        <f>(1/$J$37)^2</f>
        <v>1.1555807172902738E-5</v>
      </c>
    </row>
    <row r="63" spans="2:25" x14ac:dyDescent="0.5">
      <c r="L63">
        <v>100</v>
      </c>
      <c r="M63">
        <f t="shared" ref="M63:M67" si="15">F52</f>
        <v>0.4</v>
      </c>
      <c r="N63" s="3">
        <f t="shared" ref="N63:N66" si="16">G53</f>
        <v>6.7249298140315265E-17</v>
      </c>
      <c r="O63" s="3">
        <f t="shared" ref="O63:O67" si="17">I53</f>
        <v>1.2841422628252552E-17</v>
      </c>
      <c r="V63" s="3">
        <f t="shared" ref="V63:V67" si="18">N63*SQRT(W63+X63+Y63)</f>
        <v>1.2846273988060349E-17</v>
      </c>
      <c r="W63">
        <f t="shared" si="14"/>
        <v>3.6462863077815266E-2</v>
      </c>
      <c r="X63">
        <f t="shared" ref="X63:X67" si="19">(M63/L63)^2</f>
        <v>1.5999999999999999E-5</v>
      </c>
      <c r="Y63">
        <f t="shared" ref="Y63:Y67" si="20">(1/$J$37)^2</f>
        <v>1.1555807172902738E-5</v>
      </c>
    </row>
    <row r="64" spans="2:25" x14ac:dyDescent="0.5">
      <c r="L64">
        <v>1000</v>
      </c>
      <c r="M64">
        <f t="shared" si="15"/>
        <v>4</v>
      </c>
      <c r="N64" s="3">
        <f t="shared" si="16"/>
        <v>8.0757890779894271E-17</v>
      </c>
      <c r="O64" s="3">
        <f t="shared" si="17"/>
        <v>1.0709222400463374E-17</v>
      </c>
      <c r="V64" s="3">
        <f t="shared" si="18"/>
        <v>1.0717609756995996E-17</v>
      </c>
      <c r="W64">
        <f t="shared" si="14"/>
        <v>1.7585144457431371E-2</v>
      </c>
      <c r="X64">
        <f t="shared" si="19"/>
        <v>1.5999999999999999E-5</v>
      </c>
      <c r="Y64">
        <f t="shared" si="20"/>
        <v>1.1555807172902738E-5</v>
      </c>
    </row>
    <row r="65" spans="3:25" x14ac:dyDescent="0.5">
      <c r="L65">
        <v>10000</v>
      </c>
      <c r="M65">
        <f t="shared" si="15"/>
        <v>40</v>
      </c>
      <c r="N65" s="3">
        <f t="shared" si="16"/>
        <v>2.3287639050384912E-16</v>
      </c>
      <c r="O65" s="3">
        <f t="shared" si="17"/>
        <v>1.8517546185099387E-16</v>
      </c>
      <c r="V65" s="3">
        <f t="shared" si="18"/>
        <v>1.8517949687288608E-16</v>
      </c>
      <c r="W65">
        <f t="shared" si="14"/>
        <v>0.63228947235919064</v>
      </c>
      <c r="X65">
        <f t="shared" si="19"/>
        <v>1.5999999999999999E-5</v>
      </c>
      <c r="Y65">
        <f t="shared" si="20"/>
        <v>1.1555807172902738E-5</v>
      </c>
    </row>
    <row r="66" spans="3:25" x14ac:dyDescent="0.5">
      <c r="L66">
        <v>100000</v>
      </c>
      <c r="M66">
        <f t="shared" si="15"/>
        <v>400</v>
      </c>
      <c r="N66" s="3">
        <f t="shared" si="16"/>
        <v>1.7355604891283218E-15</v>
      </c>
      <c r="O66" s="3">
        <f t="shared" si="17"/>
        <v>2.2878622514094208E-17</v>
      </c>
      <c r="V66" s="3">
        <f t="shared" si="18"/>
        <v>2.4625883733591401E-17</v>
      </c>
      <c r="W66">
        <f t="shared" si="14"/>
        <v>1.7377217467902704E-4</v>
      </c>
      <c r="X66">
        <f t="shared" si="19"/>
        <v>1.5999999999999999E-5</v>
      </c>
      <c r="Y66">
        <f t="shared" si="20"/>
        <v>1.1555807172902738E-5</v>
      </c>
    </row>
    <row r="67" spans="3:25" x14ac:dyDescent="0.5">
      <c r="L67">
        <v>1000000</v>
      </c>
      <c r="M67">
        <f t="shared" si="15"/>
        <v>4000</v>
      </c>
      <c r="N67" s="3">
        <f>G57</f>
        <v>1.1834701812500535E-14</v>
      </c>
      <c r="O67" s="3">
        <f t="shared" si="17"/>
        <v>1.1857114611502697E-16</v>
      </c>
      <c r="V67" s="3">
        <f t="shared" si="18"/>
        <v>1.3386032887018548E-16</v>
      </c>
      <c r="W67">
        <f t="shared" si="14"/>
        <v>1.0037912272340942E-4</v>
      </c>
      <c r="X67">
        <f t="shared" si="19"/>
        <v>1.5999999999999999E-5</v>
      </c>
      <c r="Y67">
        <f t="shared" si="20"/>
        <v>1.1555807172902738E-5</v>
      </c>
    </row>
    <row r="79" spans="3:25" x14ac:dyDescent="0.5">
      <c r="C79" t="s">
        <v>29</v>
      </c>
      <c r="D79" t="s">
        <v>19</v>
      </c>
      <c r="E79" t="s">
        <v>20</v>
      </c>
      <c r="F79" t="s">
        <v>24</v>
      </c>
      <c r="H79" t="s">
        <v>30</v>
      </c>
      <c r="I79" t="s">
        <v>0</v>
      </c>
      <c r="K79" t="s">
        <v>29</v>
      </c>
      <c r="L79" t="s">
        <v>18</v>
      </c>
    </row>
    <row r="80" spans="3:25" x14ac:dyDescent="0.5">
      <c r="C80">
        <v>1</v>
      </c>
      <c r="D80">
        <f t="shared" ref="D80:D86" si="21">(1+1000/C80)</f>
        <v>1001</v>
      </c>
      <c r="E80">
        <v>5000</v>
      </c>
      <c r="F80">
        <f>10000/(D80*E80)^2</f>
        <v>3.9920119840199759E-10</v>
      </c>
      <c r="H80">
        <v>58.4</v>
      </c>
      <c r="I80">
        <f>F80*H80</f>
        <v>2.3313349986676659E-8</v>
      </c>
      <c r="K80">
        <f>C80</f>
        <v>1</v>
      </c>
      <c r="L80">
        <f t="shared" ref="L80:L86" si="22">$F$80*H80-$I$80</f>
        <v>0</v>
      </c>
    </row>
    <row r="81" spans="3:12" x14ac:dyDescent="0.5">
      <c r="C81">
        <v>10</v>
      </c>
      <c r="D81">
        <f t="shared" si="21"/>
        <v>101</v>
      </c>
      <c r="E81">
        <v>5000</v>
      </c>
      <c r="F81">
        <f t="shared" ref="F81:F85" si="23">10000/(D81*E81)^2</f>
        <v>3.9211841976276834E-8</v>
      </c>
      <c r="H81">
        <v>58.7</v>
      </c>
      <c r="K81">
        <f t="shared" ref="K81:K86" si="24">C81</f>
        <v>10</v>
      </c>
      <c r="L81">
        <f t="shared" si="22"/>
        <v>1.1976035952059999E-10</v>
      </c>
    </row>
    <row r="82" spans="3:12" x14ac:dyDescent="0.5">
      <c r="C82">
        <v>100</v>
      </c>
      <c r="D82">
        <f t="shared" si="21"/>
        <v>11</v>
      </c>
      <c r="E82">
        <v>5000</v>
      </c>
      <c r="F82">
        <f t="shared" si="23"/>
        <v>3.305785123966942E-6</v>
      </c>
      <c r="H82">
        <v>60</v>
      </c>
      <c r="K82">
        <f t="shared" si="24"/>
        <v>100</v>
      </c>
      <c r="L82">
        <f t="shared" si="22"/>
        <v>6.3872191744319663E-10</v>
      </c>
    </row>
    <row r="83" spans="3:12" x14ac:dyDescent="0.5">
      <c r="C83">
        <v>1000</v>
      </c>
      <c r="D83">
        <f t="shared" si="21"/>
        <v>2</v>
      </c>
      <c r="E83">
        <v>5000</v>
      </c>
      <c r="F83">
        <f t="shared" si="23"/>
        <v>1E-4</v>
      </c>
      <c r="H83">
        <v>73.8</v>
      </c>
      <c r="K83">
        <f t="shared" si="24"/>
        <v>1000</v>
      </c>
      <c r="L83">
        <f t="shared" si="22"/>
        <v>6.147698455390763E-9</v>
      </c>
    </row>
    <row r="84" spans="3:12" x14ac:dyDescent="0.5">
      <c r="C84">
        <v>10000</v>
      </c>
      <c r="D84">
        <f t="shared" si="21"/>
        <v>1.1000000000000001</v>
      </c>
      <c r="E84">
        <v>5000</v>
      </c>
      <c r="F84">
        <f t="shared" si="23"/>
        <v>3.3057851239669424E-4</v>
      </c>
      <c r="H84">
        <v>216</v>
      </c>
      <c r="K84">
        <f t="shared" si="24"/>
        <v>10000</v>
      </c>
      <c r="L84">
        <f t="shared" si="22"/>
        <v>6.2914108868154824E-8</v>
      </c>
    </row>
    <row r="85" spans="3:12" x14ac:dyDescent="0.5">
      <c r="C85">
        <v>100000</v>
      </c>
      <c r="D85">
        <f t="shared" si="21"/>
        <v>1.01</v>
      </c>
      <c r="E85">
        <v>5000</v>
      </c>
      <c r="F85">
        <f t="shared" si="23"/>
        <v>3.9211841976276833E-4</v>
      </c>
      <c r="H85">
        <v>1626</v>
      </c>
      <c r="K85">
        <f t="shared" si="24"/>
        <v>100000</v>
      </c>
      <c r="L85">
        <f t="shared" si="22"/>
        <v>6.2578779861497133E-7</v>
      </c>
    </row>
    <row r="86" spans="3:12" x14ac:dyDescent="0.5">
      <c r="C86">
        <v>1000000</v>
      </c>
      <c r="D86">
        <f t="shared" si="21"/>
        <v>1.0009999999999999</v>
      </c>
      <c r="E86">
        <v>5000</v>
      </c>
      <c r="F86">
        <f>10000/(D86*E86)^2</f>
        <v>3.992011984019977E-4</v>
      </c>
      <c r="H86">
        <v>6890</v>
      </c>
      <c r="K86">
        <f t="shared" si="24"/>
        <v>1000000</v>
      </c>
      <c r="L86">
        <f t="shared" si="22"/>
        <v>2.7271829070030864E-6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90"/>
  <sheetViews>
    <sheetView topLeftCell="J45" zoomScale="90" workbookViewId="0">
      <selection activeCell="R76" sqref="R76"/>
    </sheetView>
  </sheetViews>
  <sheetFormatPr defaultRowHeight="15.75" x14ac:dyDescent="0.5"/>
  <cols>
    <col min="1" max="1" width="11.125" bestFit="1" customWidth="1"/>
    <col min="2" max="2" width="14.6875" bestFit="1" customWidth="1"/>
    <col min="3" max="3" width="11.3125" bestFit="1" customWidth="1"/>
    <col min="4" max="4" width="11.75" bestFit="1" customWidth="1"/>
    <col min="6" max="6" width="12.25" bestFit="1" customWidth="1"/>
    <col min="8" max="9" width="15.1875" bestFit="1" customWidth="1"/>
    <col min="10" max="10" width="12.1875" bestFit="1" customWidth="1"/>
    <col min="11" max="11" width="12.25" bestFit="1" customWidth="1"/>
    <col min="12" max="12" width="12.25" customWidth="1"/>
    <col min="14" max="14" width="16.1875" bestFit="1" customWidth="1"/>
    <col min="15" max="15" width="12.0625" bestFit="1" customWidth="1"/>
    <col min="18" max="18" width="12.0625" bestFit="1" customWidth="1"/>
    <col min="21" max="21" width="12.0625" bestFit="1" customWidth="1"/>
  </cols>
  <sheetData>
    <row r="2" spans="2:3" x14ac:dyDescent="0.5">
      <c r="B2" t="s">
        <v>34</v>
      </c>
    </row>
    <row r="3" spans="2:3" x14ac:dyDescent="0.5">
      <c r="B3" t="s">
        <v>35</v>
      </c>
      <c r="C3" t="s">
        <v>36</v>
      </c>
    </row>
    <row r="4" spans="2:3" x14ac:dyDescent="0.5">
      <c r="B4">
        <v>77.319999999999993</v>
      </c>
      <c r="C4">
        <v>993.51400000000001</v>
      </c>
    </row>
    <row r="5" spans="2:3" x14ac:dyDescent="0.5">
      <c r="B5">
        <v>90</v>
      </c>
      <c r="C5">
        <v>965.97799999999995</v>
      </c>
    </row>
    <row r="6" spans="2:3" x14ac:dyDescent="0.5">
      <c r="B6">
        <v>100</v>
      </c>
      <c r="C6">
        <v>943.30600000000004</v>
      </c>
    </row>
    <row r="7" spans="2:3" x14ac:dyDescent="0.5">
      <c r="B7">
        <v>110</v>
      </c>
      <c r="C7">
        <v>920.01800000000003</v>
      </c>
    </row>
    <row r="8" spans="2:3" x14ac:dyDescent="0.5">
      <c r="B8">
        <v>120</v>
      </c>
      <c r="C8">
        <v>896.21100000000001</v>
      </c>
    </row>
    <row r="9" spans="2:3" x14ac:dyDescent="0.5">
      <c r="B9">
        <v>130</v>
      </c>
      <c r="C9">
        <v>871.89499999999998</v>
      </c>
    </row>
    <row r="10" spans="2:3" x14ac:dyDescent="0.5">
      <c r="B10">
        <v>140</v>
      </c>
      <c r="C10">
        <v>847.226</v>
      </c>
    </row>
    <row r="11" spans="2:3" x14ac:dyDescent="0.5">
      <c r="B11">
        <v>150</v>
      </c>
      <c r="C11">
        <v>822.20799999999997</v>
      </c>
    </row>
    <row r="12" spans="2:3" x14ac:dyDescent="0.5">
      <c r="B12">
        <v>160</v>
      </c>
      <c r="C12">
        <v>796.81899999999996</v>
      </c>
    </row>
    <row r="13" spans="2:3" x14ac:dyDescent="0.5">
      <c r="B13">
        <v>170</v>
      </c>
      <c r="C13">
        <v>771.22400000000005</v>
      </c>
    </row>
    <row r="14" spans="2:3" x14ac:dyDescent="0.5">
      <c r="B14">
        <v>180</v>
      </c>
      <c r="C14">
        <v>745.37800000000004</v>
      </c>
    </row>
    <row r="15" spans="2:3" x14ac:dyDescent="0.5">
      <c r="B15">
        <v>190</v>
      </c>
      <c r="C15">
        <v>719.31</v>
      </c>
    </row>
    <row r="16" spans="2:3" x14ac:dyDescent="0.5">
      <c r="B16">
        <v>200</v>
      </c>
      <c r="C16">
        <v>693.02300000000002</v>
      </c>
    </row>
    <row r="17" spans="2:3" x14ac:dyDescent="0.5">
      <c r="B17">
        <v>210</v>
      </c>
      <c r="C17">
        <v>666.54399999999998</v>
      </c>
    </row>
    <row r="18" spans="2:3" x14ac:dyDescent="0.5">
      <c r="B18">
        <v>220</v>
      </c>
      <c r="C18">
        <v>639.87400000000002</v>
      </c>
    </row>
    <row r="19" spans="2:3" x14ac:dyDescent="0.5">
      <c r="B19">
        <v>230</v>
      </c>
      <c r="C19">
        <v>613.05700000000002</v>
      </c>
    </row>
    <row r="20" spans="2:3" x14ac:dyDescent="0.5">
      <c r="B20">
        <v>240</v>
      </c>
      <c r="C20">
        <v>586.09799999999996</v>
      </c>
    </row>
    <row r="21" spans="2:3" x14ac:dyDescent="0.5">
      <c r="B21">
        <v>250</v>
      </c>
      <c r="C21">
        <v>558.91099999999994</v>
      </c>
    </row>
    <row r="22" spans="2:3" x14ac:dyDescent="0.5">
      <c r="B22">
        <v>260</v>
      </c>
      <c r="C22">
        <v>531.61300000000006</v>
      </c>
    </row>
    <row r="23" spans="2:3" x14ac:dyDescent="0.5">
      <c r="B23">
        <v>270</v>
      </c>
      <c r="C23">
        <v>504.15199999999999</v>
      </c>
    </row>
    <row r="24" spans="2:3" x14ac:dyDescent="0.5">
      <c r="B24">
        <v>280</v>
      </c>
      <c r="C24">
        <v>476.60500000000002</v>
      </c>
    </row>
    <row r="25" spans="2:3" x14ac:dyDescent="0.5">
      <c r="B25">
        <v>290</v>
      </c>
      <c r="C25">
        <v>448.86500000000001</v>
      </c>
    </row>
    <row r="26" spans="2:3" x14ac:dyDescent="0.5">
      <c r="B26">
        <v>300</v>
      </c>
      <c r="C26">
        <v>420.95499999999998</v>
      </c>
    </row>
    <row r="27" spans="2:3" x14ac:dyDescent="0.5">
      <c r="B27">
        <v>310</v>
      </c>
      <c r="C27">
        <v>393.01799999999997</v>
      </c>
    </row>
    <row r="28" spans="2:3" x14ac:dyDescent="0.5">
      <c r="B28">
        <v>320</v>
      </c>
      <c r="C28">
        <v>364.98700000000002</v>
      </c>
    </row>
    <row r="29" spans="2:3" x14ac:dyDescent="0.5">
      <c r="B29">
        <v>330</v>
      </c>
      <c r="C29">
        <v>336.76400000000001</v>
      </c>
    </row>
    <row r="30" spans="2:3" x14ac:dyDescent="0.5">
      <c r="B30">
        <v>340</v>
      </c>
      <c r="C30">
        <v>308.56299999999999</v>
      </c>
    </row>
    <row r="31" spans="2:3" x14ac:dyDescent="0.5">
      <c r="B31">
        <v>350</v>
      </c>
      <c r="C31">
        <v>280.11</v>
      </c>
    </row>
    <row r="32" spans="2:3" x14ac:dyDescent="0.5">
      <c r="B32">
        <v>360</v>
      </c>
      <c r="C32">
        <v>251.643</v>
      </c>
    </row>
    <row r="33" spans="1:11" x14ac:dyDescent="0.5">
      <c r="B33">
        <v>370</v>
      </c>
      <c r="C33">
        <v>223.09899999999999</v>
      </c>
    </row>
    <row r="34" spans="1:11" x14ac:dyDescent="0.5">
      <c r="B34">
        <v>380</v>
      </c>
      <c r="C34">
        <v>194.494</v>
      </c>
    </row>
    <row r="35" spans="1:11" x14ac:dyDescent="0.5">
      <c r="B35">
        <v>390</v>
      </c>
      <c r="C35">
        <v>165.9</v>
      </c>
    </row>
    <row r="36" spans="1:11" x14ac:dyDescent="0.5">
      <c r="B36">
        <v>400</v>
      </c>
      <c r="C36">
        <v>137.44399999999999</v>
      </c>
    </row>
    <row r="38" spans="1:11" x14ac:dyDescent="0.5">
      <c r="A38" t="s">
        <v>0</v>
      </c>
      <c r="B38" t="s">
        <v>57</v>
      </c>
      <c r="C38" t="s">
        <v>58</v>
      </c>
      <c r="D38" t="s">
        <v>24</v>
      </c>
    </row>
    <row r="39" spans="1:11" x14ac:dyDescent="0.5">
      <c r="A39">
        <v>6.7283950617283949E-14</v>
      </c>
      <c r="B39">
        <v>600</v>
      </c>
      <c r="C39">
        <v>3000</v>
      </c>
      <c r="D39">
        <v>3.0864197530864196E-12</v>
      </c>
    </row>
    <row r="41" spans="1:11" x14ac:dyDescent="0.5">
      <c r="A41" t="s">
        <v>54</v>
      </c>
      <c r="B41" t="s">
        <v>43</v>
      </c>
      <c r="C41">
        <v>-0.373</v>
      </c>
    </row>
    <row r="42" spans="1:11" x14ac:dyDescent="0.5">
      <c r="A42">
        <v>1051</v>
      </c>
      <c r="B42" t="s">
        <v>37</v>
      </c>
      <c r="C42">
        <v>455.68</v>
      </c>
    </row>
    <row r="43" spans="1:11" x14ac:dyDescent="0.5">
      <c r="A43">
        <f>0.01*A42</f>
        <v>10.51</v>
      </c>
      <c r="B43" t="s">
        <v>32</v>
      </c>
      <c r="C43" t="s">
        <v>4</v>
      </c>
      <c r="D43" t="s">
        <v>33</v>
      </c>
      <c r="E43" t="s">
        <v>44</v>
      </c>
      <c r="F43" t="s">
        <v>31</v>
      </c>
      <c r="G43" t="s">
        <v>41</v>
      </c>
      <c r="H43" t="s">
        <v>56</v>
      </c>
      <c r="I43" t="s">
        <v>55</v>
      </c>
      <c r="J43" t="s">
        <v>22</v>
      </c>
      <c r="K43" t="s">
        <v>28</v>
      </c>
    </row>
    <row r="44" spans="1:11" x14ac:dyDescent="0.5">
      <c r="B44">
        <v>957</v>
      </c>
      <c r="C44">
        <v>2</v>
      </c>
      <c r="D44">
        <f t="shared" ref="D44:D51" si="0">B44*$C$41 + $C$42</f>
        <v>98.718999999999994</v>
      </c>
      <c r="E44">
        <f t="shared" ref="E44:E51" si="1">ABS($C$41*C44)</f>
        <v>0.746</v>
      </c>
      <c r="F44">
        <v>2.2800000000000001E-2</v>
      </c>
      <c r="G44">
        <v>1E-4</v>
      </c>
      <c r="H44">
        <f>F44*10/($B$39*$C$39)^2-$A$39</f>
        <v>3.0864197530864264E-15</v>
      </c>
      <c r="I44">
        <f>$D$39*G44/F44</f>
        <v>1.3536928741607104E-14</v>
      </c>
      <c r="J44">
        <f>H44/$A$42</f>
        <v>2.9366505738215286E-18</v>
      </c>
      <c r="K44">
        <f>J44*SQRT( ($A$56/$A$55)^2+ (I44/H44)^2 )</f>
        <v>1.288007985418322E-17</v>
      </c>
    </row>
    <row r="45" spans="1:11" x14ac:dyDescent="0.5">
      <c r="B45">
        <v>899</v>
      </c>
      <c r="C45">
        <v>2</v>
      </c>
      <c r="D45">
        <f t="shared" si="0"/>
        <v>120.35300000000001</v>
      </c>
      <c r="E45">
        <f t="shared" si="1"/>
        <v>0.746</v>
      </c>
      <c r="F45">
        <v>2.29E-2</v>
      </c>
      <c r="G45">
        <v>1E-4</v>
      </c>
      <c r="H45">
        <f t="shared" ref="H45:H51" si="2">F45*10/($B$39*$C$39)^2-$A$39</f>
        <v>3.3950617283950602E-15</v>
      </c>
      <c r="I45">
        <f t="shared" ref="I45:I51" si="3">$D$39*G45/F45</f>
        <v>1.3477815515661223E-14</v>
      </c>
      <c r="J45">
        <f t="shared" ref="J45:J50" si="4">H45/$A$42</f>
        <v>3.230315631203673E-18</v>
      </c>
      <c r="K45">
        <f t="shared" ref="K45:K51" si="5">J45*SQRT( ($A$56/$A$55)^2+ (I45/H45)^2 )</f>
        <v>1.2823842318169226E-17</v>
      </c>
    </row>
    <row r="46" spans="1:11" x14ac:dyDescent="0.5">
      <c r="B46">
        <v>848</v>
      </c>
      <c r="C46">
        <v>2</v>
      </c>
      <c r="D46">
        <f t="shared" si="0"/>
        <v>139.37600000000003</v>
      </c>
      <c r="E46">
        <f t="shared" si="1"/>
        <v>0.746</v>
      </c>
      <c r="F46">
        <v>2.2800000000000001E-2</v>
      </c>
      <c r="G46">
        <v>2.0000000000000001E-4</v>
      </c>
      <c r="H46">
        <f t="shared" si="2"/>
        <v>3.0864197530864264E-15</v>
      </c>
      <c r="I46">
        <f t="shared" si="3"/>
        <v>2.7073857483214209E-14</v>
      </c>
      <c r="J46">
        <f t="shared" si="4"/>
        <v>2.9366505738215286E-18</v>
      </c>
      <c r="K46">
        <f t="shared" si="5"/>
        <v>2.5760109491723203E-17</v>
      </c>
    </row>
    <row r="47" spans="1:11" x14ac:dyDescent="0.5">
      <c r="B47">
        <v>721</v>
      </c>
      <c r="C47">
        <v>4</v>
      </c>
      <c r="D47">
        <f t="shared" si="0"/>
        <v>186.74700000000001</v>
      </c>
      <c r="E47">
        <f t="shared" si="1"/>
        <v>1.492</v>
      </c>
      <c r="F47">
        <v>2.3099999999999999E-2</v>
      </c>
      <c r="G47">
        <v>1E-4</v>
      </c>
      <c r="H47">
        <f t="shared" si="2"/>
        <v>4.0123456790123404E-15</v>
      </c>
      <c r="I47">
        <f t="shared" si="3"/>
        <v>1.3361124472235585E-14</v>
      </c>
      <c r="J47">
        <f t="shared" si="4"/>
        <v>3.817645745967974E-18</v>
      </c>
      <c r="K47">
        <f t="shared" si="5"/>
        <v>1.2712830368668064E-17</v>
      </c>
    </row>
    <row r="48" spans="1:11" x14ac:dyDescent="0.5">
      <c r="B48">
        <v>588</v>
      </c>
      <c r="C48">
        <v>3</v>
      </c>
      <c r="D48">
        <f t="shared" si="0"/>
        <v>236.35599999999999</v>
      </c>
      <c r="E48">
        <f t="shared" si="1"/>
        <v>1.119</v>
      </c>
      <c r="F48">
        <v>2.3199999999999998E-2</v>
      </c>
      <c r="G48">
        <v>2.0000000000000001E-4</v>
      </c>
      <c r="H48">
        <f t="shared" si="2"/>
        <v>4.3209876543209869E-15</v>
      </c>
      <c r="I48">
        <f t="shared" si="3"/>
        <v>2.6607066836951896E-14</v>
      </c>
      <c r="J48">
        <f t="shared" si="4"/>
        <v>4.1113108033501303E-18</v>
      </c>
      <c r="K48">
        <f t="shared" si="5"/>
        <v>2.5315986606421044E-17</v>
      </c>
    </row>
    <row r="49" spans="1:11" x14ac:dyDescent="0.5">
      <c r="B49">
        <v>492</v>
      </c>
      <c r="C49">
        <v>2</v>
      </c>
      <c r="D49">
        <f t="shared" si="0"/>
        <v>272.16399999999999</v>
      </c>
      <c r="E49">
        <f t="shared" si="1"/>
        <v>0.746</v>
      </c>
      <c r="F49">
        <v>2.3199999999999998E-2</v>
      </c>
      <c r="G49">
        <v>2.0000000000000001E-4</v>
      </c>
      <c r="H49">
        <f t="shared" si="2"/>
        <v>4.3209876543209869E-15</v>
      </c>
      <c r="I49">
        <f t="shared" si="3"/>
        <v>2.6607066836951896E-14</v>
      </c>
      <c r="J49">
        <f t="shared" si="4"/>
        <v>4.1113108033501303E-18</v>
      </c>
      <c r="K49">
        <f t="shared" si="5"/>
        <v>2.5315986606421044E-17</v>
      </c>
    </row>
    <row r="50" spans="1:11" x14ac:dyDescent="0.5">
      <c r="B50">
        <v>403</v>
      </c>
      <c r="C50">
        <v>2</v>
      </c>
      <c r="D50">
        <f t="shared" si="0"/>
        <v>305.36099999999999</v>
      </c>
      <c r="E50">
        <f t="shared" si="1"/>
        <v>0.746</v>
      </c>
      <c r="F50">
        <v>2.3199999999999998E-2</v>
      </c>
      <c r="G50">
        <v>1E-4</v>
      </c>
      <c r="H50">
        <f t="shared" si="2"/>
        <v>4.3209876543209869E-15</v>
      </c>
      <c r="I50">
        <f t="shared" si="3"/>
        <v>1.3303533418475948E-14</v>
      </c>
      <c r="J50">
        <f t="shared" si="4"/>
        <v>4.1113108033501303E-18</v>
      </c>
      <c r="K50">
        <f t="shared" si="5"/>
        <v>1.2658043378811021E-17</v>
      </c>
    </row>
    <row r="51" spans="1:11" x14ac:dyDescent="0.5">
      <c r="B51">
        <v>329</v>
      </c>
      <c r="C51">
        <v>2</v>
      </c>
      <c r="D51">
        <f t="shared" si="0"/>
        <v>332.96300000000002</v>
      </c>
      <c r="E51">
        <f t="shared" si="1"/>
        <v>0.746</v>
      </c>
      <c r="F51">
        <v>2.3199999999999998E-2</v>
      </c>
      <c r="G51">
        <v>1E-4</v>
      </c>
      <c r="H51">
        <f t="shared" si="2"/>
        <v>4.3209876543209869E-15</v>
      </c>
      <c r="I51">
        <f t="shared" si="3"/>
        <v>1.3303533418475948E-14</v>
      </c>
      <c r="J51">
        <f>H51/$A$42</f>
        <v>4.1113108033501303E-18</v>
      </c>
      <c r="K51">
        <f t="shared" si="5"/>
        <v>1.2658043378811021E-17</v>
      </c>
    </row>
    <row r="52" spans="1:11" x14ac:dyDescent="0.5">
      <c r="C52" t="s">
        <v>89</v>
      </c>
      <c r="D52">
        <f>AVERAGE(D44:D51)</f>
        <v>211.504875</v>
      </c>
      <c r="E52">
        <f>AVERAGE(E44:E51)</f>
        <v>0.88587500000000019</v>
      </c>
      <c r="I52" t="s">
        <v>89</v>
      </c>
      <c r="J52">
        <f>AVERAGE(J44:J51)</f>
        <v>3.6708132172769032E-18</v>
      </c>
      <c r="K52">
        <f>AVERAGE(K44:K51)</f>
        <v>1.751561525040098E-17</v>
      </c>
    </row>
    <row r="54" spans="1:11" x14ac:dyDescent="0.5">
      <c r="A54" t="s">
        <v>54</v>
      </c>
      <c r="B54" t="s">
        <v>38</v>
      </c>
    </row>
    <row r="55" spans="1:11" x14ac:dyDescent="0.5">
      <c r="A55">
        <v>1051</v>
      </c>
      <c r="B55" t="s">
        <v>32</v>
      </c>
      <c r="C55" t="s">
        <v>4</v>
      </c>
      <c r="D55" t="s">
        <v>33</v>
      </c>
      <c r="E55" t="s">
        <v>44</v>
      </c>
      <c r="F55" t="s">
        <v>31</v>
      </c>
      <c r="G55" t="s">
        <v>42</v>
      </c>
      <c r="H55" t="s">
        <v>56</v>
      </c>
      <c r="I55" t="s">
        <v>55</v>
      </c>
      <c r="J55" t="s">
        <v>22</v>
      </c>
      <c r="K55" t="s">
        <v>28</v>
      </c>
    </row>
    <row r="56" spans="1:11" x14ac:dyDescent="0.5">
      <c r="A56">
        <f>0.01*A55</f>
        <v>10.51</v>
      </c>
      <c r="B56">
        <v>958</v>
      </c>
      <c r="C56">
        <v>2</v>
      </c>
      <c r="D56">
        <f t="shared" ref="D56:D63" si="6">B56*$C$41+$C$42</f>
        <v>98.346000000000004</v>
      </c>
      <c r="E56">
        <f t="shared" ref="E56:E63" si="7">ABS($C$41*C56)</f>
        <v>0.746</v>
      </c>
      <c r="F56">
        <v>4.0599999999999997E-2</v>
      </c>
      <c r="G56">
        <v>1E-4</v>
      </c>
      <c r="H56">
        <f>F56*10/($B$39*$C$39)^2-$A$39</f>
        <v>5.8024691358024682E-14</v>
      </c>
      <c r="I56">
        <f>$D$39*G56/F56</f>
        <v>7.6020190962719709E-15</v>
      </c>
      <c r="J56">
        <f>H56/$A$55</f>
        <v>5.5209030787844609E-17</v>
      </c>
      <c r="K56">
        <f>J56*SQRT( ($A$56/$A$55)^2+ (I56/H56)^2 )</f>
        <v>7.2541688675251191E-18</v>
      </c>
    </row>
    <row r="57" spans="1:11" x14ac:dyDescent="0.5">
      <c r="B57">
        <v>914</v>
      </c>
      <c r="C57">
        <v>2</v>
      </c>
      <c r="D57">
        <f t="shared" si="6"/>
        <v>114.75799999999998</v>
      </c>
      <c r="E57">
        <f t="shared" si="7"/>
        <v>0.746</v>
      </c>
      <c r="F57">
        <v>4.4900000000000002E-2</v>
      </c>
      <c r="G57">
        <v>5.0000000000000001E-4</v>
      </c>
      <c r="H57">
        <f t="shared" ref="H57:H63" si="8">F57*10/($B$39*$C$39)^2-$A$39</f>
        <v>7.1296296296296289E-14</v>
      </c>
      <c r="I57">
        <f t="shared" ref="I57:I63" si="9">$D$39*G57/F57</f>
        <v>3.4369930435260798E-14</v>
      </c>
      <c r="J57">
        <f t="shared" ref="J57:J63" si="10">H57/$A$55</f>
        <v>6.7836628255277149E-17</v>
      </c>
      <c r="K57">
        <f t="shared" ref="K57:K63" si="11">J57*SQRT( ($A$56/$A$55)^2+ (I57/H57)^2 )</f>
        <v>3.2709157393419847E-17</v>
      </c>
    </row>
    <row r="58" spans="1:11" x14ac:dyDescent="0.5">
      <c r="B58">
        <v>843</v>
      </c>
      <c r="C58">
        <v>2</v>
      </c>
      <c r="D58">
        <f t="shared" si="6"/>
        <v>141.24099999999999</v>
      </c>
      <c r="E58">
        <f t="shared" si="7"/>
        <v>0.746</v>
      </c>
      <c r="F58">
        <v>4.9799999999999997E-2</v>
      </c>
      <c r="G58">
        <v>2.9999999999999997E-4</v>
      </c>
      <c r="H58">
        <f t="shared" si="8"/>
        <v>8.641975308641975E-14</v>
      </c>
      <c r="I58">
        <f t="shared" si="9"/>
        <v>1.8592890078833855E-14</v>
      </c>
      <c r="J58">
        <f t="shared" si="10"/>
        <v>8.2226216067002621E-17</v>
      </c>
      <c r="K58">
        <f t="shared" si="11"/>
        <v>1.770976517017984E-17</v>
      </c>
    </row>
    <row r="59" spans="1:11" x14ac:dyDescent="0.5">
      <c r="B59">
        <v>713</v>
      </c>
      <c r="C59">
        <v>4</v>
      </c>
      <c r="D59">
        <f t="shared" si="6"/>
        <v>189.73099999999999</v>
      </c>
      <c r="E59">
        <f t="shared" si="7"/>
        <v>1.492</v>
      </c>
      <c r="F59">
        <v>6.0499999999999998E-2</v>
      </c>
      <c r="G59">
        <v>2.0000000000000001E-4</v>
      </c>
      <c r="H59">
        <f t="shared" si="8"/>
        <v>1.1944444444444446E-13</v>
      </c>
      <c r="I59">
        <f t="shared" si="9"/>
        <v>1.020304050607081E-14</v>
      </c>
      <c r="J59">
        <f t="shared" si="10"/>
        <v>1.1364837720689292E-16</v>
      </c>
      <c r="K59">
        <f t="shared" si="11"/>
        <v>9.7742320668493578E-18</v>
      </c>
    </row>
    <row r="60" spans="1:11" x14ac:dyDescent="0.5">
      <c r="B60">
        <v>606</v>
      </c>
      <c r="C60">
        <v>3</v>
      </c>
      <c r="D60">
        <f t="shared" si="6"/>
        <v>229.642</v>
      </c>
      <c r="E60">
        <f t="shared" si="7"/>
        <v>1.119</v>
      </c>
      <c r="F60">
        <v>6.88E-2</v>
      </c>
      <c r="G60">
        <v>5.9999999999999995E-4</v>
      </c>
      <c r="H60">
        <f t="shared" si="8"/>
        <v>1.4506172839506172E-13</v>
      </c>
      <c r="I60">
        <f t="shared" si="9"/>
        <v>2.6916451335055983E-14</v>
      </c>
      <c r="J60">
        <f t="shared" si="10"/>
        <v>1.3802257696961154E-16</v>
      </c>
      <c r="K60">
        <f t="shared" si="11"/>
        <v>2.5647490288276729E-17</v>
      </c>
    </row>
    <row r="61" spans="1:11" x14ac:dyDescent="0.5">
      <c r="B61">
        <v>470</v>
      </c>
      <c r="C61">
        <v>2</v>
      </c>
      <c r="D61">
        <f t="shared" si="6"/>
        <v>280.37</v>
      </c>
      <c r="E61">
        <f t="shared" si="7"/>
        <v>0.746</v>
      </c>
      <c r="F61">
        <v>7.4800000000000005E-2</v>
      </c>
      <c r="G61">
        <v>5.9999999999999995E-4</v>
      </c>
      <c r="H61">
        <f t="shared" si="8"/>
        <v>1.6358024691358026E-13</v>
      </c>
      <c r="I61">
        <f t="shared" si="9"/>
        <v>2.4757377698554165E-14</v>
      </c>
      <c r="J61">
        <f t="shared" si="10"/>
        <v>1.5564248041254068E-16</v>
      </c>
      <c r="K61">
        <f t="shared" si="11"/>
        <v>2.3607383735350908E-17</v>
      </c>
    </row>
    <row r="62" spans="1:11" x14ac:dyDescent="0.5">
      <c r="B62">
        <v>406</v>
      </c>
      <c r="C62">
        <v>2</v>
      </c>
      <c r="D62">
        <f t="shared" si="6"/>
        <v>304.24200000000002</v>
      </c>
      <c r="E62">
        <f t="shared" si="7"/>
        <v>0.746</v>
      </c>
      <c r="F62">
        <v>8.09E-2</v>
      </c>
      <c r="G62">
        <v>5.0000000000000001E-4</v>
      </c>
      <c r="H62">
        <f t="shared" si="8"/>
        <v>1.8240740740740742E-13</v>
      </c>
      <c r="I62">
        <f t="shared" si="9"/>
        <v>1.907552381388393E-14</v>
      </c>
      <c r="J62">
        <f t="shared" si="10"/>
        <v>1.7355604891285198E-16</v>
      </c>
      <c r="K62">
        <f t="shared" si="11"/>
        <v>1.8232671552525891E-17</v>
      </c>
    </row>
    <row r="63" spans="1:11" x14ac:dyDescent="0.5">
      <c r="B63">
        <v>318</v>
      </c>
      <c r="C63">
        <v>2</v>
      </c>
      <c r="D63">
        <f t="shared" si="6"/>
        <v>337.06600000000003</v>
      </c>
      <c r="E63">
        <f t="shared" si="7"/>
        <v>0.746</v>
      </c>
      <c r="F63">
        <v>8.6599999999999996E-2</v>
      </c>
      <c r="G63">
        <v>5.0000000000000001E-4</v>
      </c>
      <c r="H63">
        <f t="shared" si="8"/>
        <v>2.0000000000000001E-13</v>
      </c>
      <c r="I63">
        <f t="shared" si="9"/>
        <v>1.7819975479713739E-14</v>
      </c>
      <c r="J63">
        <f t="shared" si="10"/>
        <v>1.9029495718363463E-16</v>
      </c>
      <c r="K63">
        <f t="shared" si="11"/>
        <v>1.7061710612790554E-17</v>
      </c>
    </row>
    <row r="64" spans="1:11" x14ac:dyDescent="0.5">
      <c r="C64" t="s">
        <v>89</v>
      </c>
      <c r="D64">
        <f>AVERAGE(D56:D63)</f>
        <v>211.92450000000002</v>
      </c>
      <c r="E64">
        <f>AVERAGE(E56:E63)</f>
        <v>0.88587500000000019</v>
      </c>
      <c r="I64" t="s">
        <v>89</v>
      </c>
      <c r="J64">
        <f>AVERAGE(J56:J63)</f>
        <v>1.2205453947445702E-16</v>
      </c>
      <c r="K64">
        <f>AVERAGE(K56:K63)</f>
        <v>1.899957246086478E-17</v>
      </c>
    </row>
    <row r="66" spans="1:21" x14ac:dyDescent="0.5">
      <c r="A66" t="s">
        <v>54</v>
      </c>
      <c r="B66" t="s">
        <v>39</v>
      </c>
    </row>
    <row r="67" spans="1:21" x14ac:dyDescent="0.5">
      <c r="A67">
        <v>1051</v>
      </c>
      <c r="B67" t="s">
        <v>32</v>
      </c>
      <c r="C67" t="s">
        <v>40</v>
      </c>
      <c r="D67" t="s">
        <v>33</v>
      </c>
      <c r="E67" t="s">
        <v>44</v>
      </c>
      <c r="F67" t="s">
        <v>31</v>
      </c>
      <c r="G67" t="s">
        <v>41</v>
      </c>
      <c r="H67" t="s">
        <v>56</v>
      </c>
      <c r="I67" t="s">
        <v>55</v>
      </c>
      <c r="J67" t="s">
        <v>22</v>
      </c>
      <c r="K67" t="s">
        <v>28</v>
      </c>
    </row>
    <row r="68" spans="1:21" x14ac:dyDescent="0.5">
      <c r="A68">
        <f>0.01*A67</f>
        <v>10.51</v>
      </c>
      <c r="B68">
        <v>955</v>
      </c>
      <c r="C68">
        <v>2</v>
      </c>
      <c r="D68">
        <f t="shared" ref="D68:D75" si="12">B68*$C$41+$C$42</f>
        <v>99.465000000000032</v>
      </c>
      <c r="E68">
        <f t="shared" ref="E68:E75" si="13">ABS($C$41*C68)</f>
        <v>0.746</v>
      </c>
      <c r="F68">
        <v>0.18909999999999999</v>
      </c>
      <c r="G68">
        <v>1E-3</v>
      </c>
      <c r="H68">
        <f>F68*10/($B$39*$C$39)^2-$A$39</f>
        <v>5.1635802469135804E-13</v>
      </c>
      <c r="I68">
        <f>$D$39*G68/F68</f>
        <v>1.6321627462117502E-14</v>
      </c>
      <c r="J68">
        <f>H68/$A$67</f>
        <v>4.9130164100034063E-16</v>
      </c>
      <c r="K68">
        <f>J68*SQRT( ($A$56/$A$55)^2+ (I68/H68)^2 )</f>
        <v>1.6288239139555996E-17</v>
      </c>
    </row>
    <row r="69" spans="1:21" x14ac:dyDescent="0.5">
      <c r="B69">
        <v>920</v>
      </c>
      <c r="C69">
        <v>2</v>
      </c>
      <c r="D69">
        <f t="shared" si="12"/>
        <v>112.51999999999998</v>
      </c>
      <c r="E69">
        <f t="shared" si="13"/>
        <v>0.746</v>
      </c>
      <c r="F69">
        <v>0.218</v>
      </c>
      <c r="G69">
        <v>0.01</v>
      </c>
      <c r="H69">
        <f t="shared" ref="H69:H75" si="14">F69*10/($B$39*$C$39)^2-$A$39</f>
        <v>6.0555555555555558E-13</v>
      </c>
      <c r="I69">
        <f t="shared" ref="I69:I75" si="15">$D$39*G69/F69</f>
        <v>1.4157888775625777E-13</v>
      </c>
      <c r="J69">
        <f t="shared" ref="J69:J75" si="16">H69/$A$67</f>
        <v>5.7617084258378265E-16</v>
      </c>
      <c r="K69">
        <f t="shared" ref="K69:K75" si="17">J69*SQRT( ($A$56/$A$55)^2+ (I69/H69)^2 )</f>
        <v>1.3483190435956704E-16</v>
      </c>
    </row>
    <row r="70" spans="1:21" x14ac:dyDescent="0.5">
      <c r="B70">
        <v>839</v>
      </c>
      <c r="C70">
        <v>2</v>
      </c>
      <c r="D70">
        <f t="shared" si="12"/>
        <v>142.733</v>
      </c>
      <c r="E70">
        <f t="shared" si="13"/>
        <v>0.746</v>
      </c>
      <c r="F70">
        <v>0.27</v>
      </c>
      <c r="G70">
        <v>5.0000000000000001E-3</v>
      </c>
      <c r="H70">
        <f t="shared" si="14"/>
        <v>7.660493827160494E-13</v>
      </c>
      <c r="I70">
        <f t="shared" si="15"/>
        <v>5.715592135345221E-14</v>
      </c>
      <c r="J70">
        <f t="shared" si="16"/>
        <v>7.2887667242250184E-16</v>
      </c>
      <c r="K70">
        <f t="shared" si="17"/>
        <v>5.4868693364757083E-17</v>
      </c>
    </row>
    <row r="71" spans="1:21" x14ac:dyDescent="0.5">
      <c r="B71">
        <v>706</v>
      </c>
      <c r="C71">
        <v>4</v>
      </c>
      <c r="D71">
        <f t="shared" si="12"/>
        <v>192.34199999999998</v>
      </c>
      <c r="E71">
        <f t="shared" si="13"/>
        <v>1.492</v>
      </c>
      <c r="F71">
        <v>0.371</v>
      </c>
      <c r="G71">
        <v>6.0000000000000001E-3</v>
      </c>
      <c r="H71">
        <f t="shared" si="14"/>
        <v>1.0777777777777779E-12</v>
      </c>
      <c r="I71">
        <f t="shared" si="15"/>
        <v>4.9915144254766896E-14</v>
      </c>
      <c r="J71">
        <f t="shared" si="16"/>
        <v>1.0254783803784757E-15</v>
      </c>
      <c r="K71">
        <f t="shared" si="17"/>
        <v>4.8587506143700818E-17</v>
      </c>
    </row>
    <row r="72" spans="1:21" x14ac:dyDescent="0.5">
      <c r="B72">
        <v>617</v>
      </c>
      <c r="C72">
        <v>3</v>
      </c>
      <c r="D72">
        <f t="shared" si="12"/>
        <v>225.53900000000002</v>
      </c>
      <c r="E72">
        <f t="shared" si="13"/>
        <v>1.119</v>
      </c>
      <c r="F72">
        <v>0.42799999999999999</v>
      </c>
      <c r="G72">
        <v>2E-3</v>
      </c>
      <c r="H72">
        <f t="shared" si="14"/>
        <v>1.2537037037037039E-12</v>
      </c>
      <c r="I72">
        <f t="shared" si="15"/>
        <v>1.4422522210684203E-14</v>
      </c>
      <c r="J72">
        <f t="shared" si="16"/>
        <v>1.1928674630863026E-15</v>
      </c>
      <c r="K72">
        <f t="shared" si="17"/>
        <v>1.8182542368605175E-17</v>
      </c>
    </row>
    <row r="73" spans="1:21" x14ac:dyDescent="0.5">
      <c r="B73">
        <v>456</v>
      </c>
      <c r="C73">
        <v>2</v>
      </c>
      <c r="D73">
        <f t="shared" si="12"/>
        <v>285.59199999999998</v>
      </c>
      <c r="E73">
        <f t="shared" si="13"/>
        <v>0.746</v>
      </c>
      <c r="F73">
        <v>0.505</v>
      </c>
      <c r="G73">
        <v>4.0000000000000001E-3</v>
      </c>
      <c r="H73">
        <f t="shared" si="14"/>
        <v>1.4913580246913581E-12</v>
      </c>
      <c r="I73">
        <f t="shared" si="15"/>
        <v>2.4446889133357779E-14</v>
      </c>
      <c r="J73">
        <f t="shared" si="16"/>
        <v>1.4189895572705595E-15</v>
      </c>
      <c r="K73">
        <f t="shared" si="17"/>
        <v>2.7247175703276276E-17</v>
      </c>
      <c r="N73" t="s">
        <v>87</v>
      </c>
      <c r="O73">
        <f>5.57E-21/(4*10)</f>
        <v>1.3925E-22</v>
      </c>
      <c r="R73">
        <f>5.73E-19/(4*10000)</f>
        <v>1.4324999999999999E-23</v>
      </c>
      <c r="U73">
        <f>5.08E-18/(4*100000)</f>
        <v>1.27E-23</v>
      </c>
    </row>
    <row r="74" spans="1:21" x14ac:dyDescent="0.5">
      <c r="B74">
        <v>414</v>
      </c>
      <c r="C74">
        <v>2</v>
      </c>
      <c r="D74">
        <f t="shared" si="12"/>
        <v>301.25800000000004</v>
      </c>
      <c r="E74">
        <f t="shared" si="13"/>
        <v>0.746</v>
      </c>
      <c r="F74">
        <v>0.54400000000000004</v>
      </c>
      <c r="G74">
        <v>1E-3</v>
      </c>
      <c r="H74">
        <f t="shared" si="14"/>
        <v>1.6117283950617286E-12</v>
      </c>
      <c r="I74">
        <f t="shared" si="15"/>
        <v>5.6735657225853303E-15</v>
      </c>
      <c r="J74">
        <f t="shared" si="16"/>
        <v>1.5335189296495991E-15</v>
      </c>
      <c r="K74">
        <f t="shared" si="17"/>
        <v>1.6257588532843838E-17</v>
      </c>
      <c r="N74" t="s">
        <v>64</v>
      </c>
      <c r="O74">
        <f>0.25*O73*SQRT( (O76/5.57E-21)^2 + (0.04)^2)</f>
        <v>1.6611687370488256E-22</v>
      </c>
      <c r="R74">
        <f>0.25*R73*SQRT( (R76/5.73E-19)^2 +0.04^2)</f>
        <v>5.7577930263123626E-25</v>
      </c>
      <c r="U74">
        <f>0.25*U73*SQRT( (U76/5.08E-18)^2 + 0.04^2)</f>
        <v>1.7991367493366399E-25</v>
      </c>
    </row>
    <row r="75" spans="1:21" x14ac:dyDescent="0.5">
      <c r="B75">
        <v>309</v>
      </c>
      <c r="C75">
        <v>2</v>
      </c>
      <c r="D75">
        <f t="shared" si="12"/>
        <v>340.423</v>
      </c>
      <c r="E75">
        <f t="shared" si="13"/>
        <v>0.746</v>
      </c>
      <c r="F75">
        <v>0.60099999999999998</v>
      </c>
      <c r="G75">
        <v>5.0000000000000001E-3</v>
      </c>
      <c r="H75">
        <f t="shared" si="14"/>
        <v>1.7876543209876542E-12</v>
      </c>
      <c r="I75">
        <f t="shared" si="15"/>
        <v>2.5677368994063391E-14</v>
      </c>
      <c r="J75">
        <f t="shared" si="16"/>
        <v>1.7009080123574254E-15</v>
      </c>
      <c r="K75">
        <f t="shared" si="17"/>
        <v>2.9769121686796837E-17</v>
      </c>
    </row>
    <row r="76" spans="1:21" x14ac:dyDescent="0.5">
      <c r="C76" t="s">
        <v>89</v>
      </c>
      <c r="D76">
        <f>AVERAGE(D68:D75)</f>
        <v>212.48399999999998</v>
      </c>
      <c r="E76">
        <f>AVERAGE(E68:E75)</f>
        <v>0.88587500000000019</v>
      </c>
      <c r="I76" t="s">
        <v>89</v>
      </c>
      <c r="J76">
        <f>AVERAGE(J68:J75)</f>
        <v>1.0835139373436235E-15</v>
      </c>
      <c r="K76">
        <f>AVERAGE(K68:K75)</f>
        <v>4.3254096412387876E-17</v>
      </c>
      <c r="N76" t="s">
        <v>88</v>
      </c>
      <c r="O76">
        <f>5.57E-21*SQRT( (K52/J52)^2 + (E52/D52)^2 )</f>
        <v>2.6577765948905262E-20</v>
      </c>
      <c r="R76">
        <f>5.73E-19*SQRT( (K64/J64)^2 + (E64/D64)^2 )</f>
        <v>8.922797664783128E-20</v>
      </c>
      <c r="U76">
        <f>5.08E-18*SQRT( (K76/J76)^2 + (E76/D76)^2 )</f>
        <v>2.0389757697439288E-19</v>
      </c>
    </row>
    <row r="78" spans="1:21" x14ac:dyDescent="0.5">
      <c r="N78" s="2" t="s">
        <v>90</v>
      </c>
      <c r="O78">
        <f>AVERAGE(O73,R73,U73)</f>
        <v>5.5424999999999993E-23</v>
      </c>
    </row>
    <row r="79" spans="1:21" x14ac:dyDescent="0.5">
      <c r="N79" s="2" t="s">
        <v>91</v>
      </c>
      <c r="O79">
        <f>AVERAGE(O74,R74,U74)</f>
        <v>5.5624188894149152E-23</v>
      </c>
    </row>
    <row r="81" spans="1:15" x14ac:dyDescent="0.5">
      <c r="A81" t="s">
        <v>59</v>
      </c>
    </row>
    <row r="82" spans="1:15" x14ac:dyDescent="0.5">
      <c r="B82" t="s">
        <v>60</v>
      </c>
      <c r="C82" t="s">
        <v>61</v>
      </c>
      <c r="D82" t="s">
        <v>62</v>
      </c>
      <c r="E82" t="s">
        <v>63</v>
      </c>
      <c r="G82" t="s">
        <v>33</v>
      </c>
      <c r="H82" t="s">
        <v>44</v>
      </c>
      <c r="I82" t="s">
        <v>22</v>
      </c>
      <c r="J82" t="s">
        <v>28</v>
      </c>
      <c r="L82" t="s">
        <v>33</v>
      </c>
      <c r="M82" t="s">
        <v>44</v>
      </c>
      <c r="N82" t="s">
        <v>22</v>
      </c>
      <c r="O82" t="s">
        <v>28</v>
      </c>
    </row>
    <row r="83" spans="1:15" x14ac:dyDescent="0.5">
      <c r="B83" s="7">
        <v>98.718999999999994</v>
      </c>
      <c r="C83">
        <v>0.746</v>
      </c>
      <c r="D83" s="3">
        <v>2.9366505738215286E-18</v>
      </c>
      <c r="E83" s="3">
        <v>1.288007985418322E-17</v>
      </c>
      <c r="G83" s="7">
        <v>98.346000000000004</v>
      </c>
      <c r="H83">
        <v>0.746</v>
      </c>
      <c r="I83" s="3">
        <v>5.5209030787844609E-17</v>
      </c>
      <c r="J83" s="3">
        <v>7.2541688675251191E-18</v>
      </c>
      <c r="L83" s="7">
        <v>99.465000000000032</v>
      </c>
      <c r="M83">
        <v>0.746</v>
      </c>
      <c r="N83" s="3">
        <v>4.9130164100034063E-16</v>
      </c>
      <c r="O83" s="3">
        <v>1.6288239139555996E-17</v>
      </c>
    </row>
    <row r="84" spans="1:15" x14ac:dyDescent="0.5">
      <c r="B84" s="8">
        <v>120.35300000000001</v>
      </c>
      <c r="C84">
        <v>0.746</v>
      </c>
      <c r="D84" s="3">
        <v>3.230315631203673E-18</v>
      </c>
      <c r="E84" s="3">
        <v>1.2823842318169226E-17</v>
      </c>
      <c r="G84" s="8">
        <v>114.75799999999998</v>
      </c>
      <c r="H84">
        <v>0.746</v>
      </c>
      <c r="I84" s="3">
        <v>6.7836628255277149E-17</v>
      </c>
      <c r="J84" s="3">
        <v>3.2709157393419847E-17</v>
      </c>
      <c r="L84" s="8">
        <v>112.51999999999998</v>
      </c>
      <c r="M84">
        <v>0.746</v>
      </c>
      <c r="N84" s="3">
        <v>5.7617084258378265E-16</v>
      </c>
      <c r="O84" s="3">
        <v>1.3483190435956704E-16</v>
      </c>
    </row>
    <row r="85" spans="1:15" x14ac:dyDescent="0.5">
      <c r="B85" s="8">
        <v>139.37600000000003</v>
      </c>
      <c r="C85">
        <v>0.746</v>
      </c>
      <c r="D85" s="3">
        <v>2.9366505738215286E-18</v>
      </c>
      <c r="E85" s="3">
        <v>2.5760109491723203E-17</v>
      </c>
      <c r="G85" s="8">
        <v>141.24099999999999</v>
      </c>
      <c r="H85">
        <v>0.746</v>
      </c>
      <c r="I85" s="3">
        <v>8.2226216067002621E-17</v>
      </c>
      <c r="J85" s="3">
        <v>1.770976517017984E-17</v>
      </c>
      <c r="L85" s="8">
        <v>142.733</v>
      </c>
      <c r="M85">
        <v>0.746</v>
      </c>
      <c r="N85" s="3">
        <v>7.2887667242250184E-16</v>
      </c>
      <c r="O85" s="3">
        <v>5.4868693364757083E-17</v>
      </c>
    </row>
    <row r="86" spans="1:15" x14ac:dyDescent="0.5">
      <c r="B86" s="8">
        <v>186.74700000000001</v>
      </c>
      <c r="C86" s="6">
        <v>1.492</v>
      </c>
      <c r="D86" s="3">
        <v>3.817645745967974E-18</v>
      </c>
      <c r="E86" s="3">
        <v>1.2712830368668064E-17</v>
      </c>
      <c r="G86" s="8">
        <v>189.73099999999999</v>
      </c>
      <c r="H86" s="6">
        <v>1.492</v>
      </c>
      <c r="I86" s="3">
        <v>1.1364837720689292E-16</v>
      </c>
      <c r="J86" s="3">
        <v>9.7742320668493578E-18</v>
      </c>
      <c r="L86" s="8">
        <v>192.34199999999998</v>
      </c>
      <c r="M86" s="6">
        <v>1.492</v>
      </c>
      <c r="N86" s="3">
        <v>1.0254783803784757E-15</v>
      </c>
      <c r="O86" s="3">
        <v>4.8587506143700818E-17</v>
      </c>
    </row>
    <row r="87" spans="1:15" x14ac:dyDescent="0.5">
      <c r="B87" s="8">
        <v>236.35599999999999</v>
      </c>
      <c r="C87" s="6">
        <v>1.119</v>
      </c>
      <c r="D87" s="3">
        <v>4.1113108033501303E-18</v>
      </c>
      <c r="E87" s="3">
        <v>2.5315986606421044E-17</v>
      </c>
      <c r="G87" s="8">
        <v>229.642</v>
      </c>
      <c r="H87" s="6">
        <v>1.119</v>
      </c>
      <c r="I87" s="3">
        <v>1.3802257696961154E-16</v>
      </c>
      <c r="J87" s="3">
        <v>2.5647490288276729E-17</v>
      </c>
      <c r="L87" s="8">
        <v>225.53900000000002</v>
      </c>
      <c r="M87" s="6">
        <v>1.119</v>
      </c>
      <c r="N87" s="3">
        <v>1.1928674630863026E-15</v>
      </c>
      <c r="O87" s="3">
        <v>1.8182542368605175E-17</v>
      </c>
    </row>
    <row r="88" spans="1:15" x14ac:dyDescent="0.5">
      <c r="B88" s="8">
        <v>272.16399999999999</v>
      </c>
      <c r="C88">
        <v>0.746</v>
      </c>
      <c r="D88" s="3">
        <v>4.1113108033501303E-18</v>
      </c>
      <c r="E88" s="3">
        <v>2.5315986606421044E-17</v>
      </c>
      <c r="G88" s="8">
        <v>280.37</v>
      </c>
      <c r="H88">
        <v>0.746</v>
      </c>
      <c r="I88" s="3">
        <v>1.5564248041254068E-16</v>
      </c>
      <c r="J88" s="3">
        <v>2.3607383735350908E-17</v>
      </c>
      <c r="L88" s="8">
        <v>285.59199999999998</v>
      </c>
      <c r="M88">
        <v>0.746</v>
      </c>
      <c r="N88" s="3">
        <v>1.4189895572705595E-15</v>
      </c>
      <c r="O88" s="3">
        <v>2.7247175703276276E-17</v>
      </c>
    </row>
    <row r="89" spans="1:15" x14ac:dyDescent="0.5">
      <c r="B89" s="8">
        <v>305.36099999999999</v>
      </c>
      <c r="C89">
        <v>0.746</v>
      </c>
      <c r="D89" s="3">
        <v>4.1113108033501303E-18</v>
      </c>
      <c r="E89" s="3">
        <v>1.2658043378811021E-17</v>
      </c>
      <c r="G89" s="8">
        <v>304.24200000000002</v>
      </c>
      <c r="H89">
        <v>0.746</v>
      </c>
      <c r="I89" s="3">
        <v>1.7355604891285198E-16</v>
      </c>
      <c r="J89" s="3">
        <v>1.8232671552525891E-17</v>
      </c>
      <c r="L89" s="8">
        <v>301.25800000000004</v>
      </c>
      <c r="M89">
        <v>0.746</v>
      </c>
      <c r="N89" s="3">
        <v>1.5335189296495991E-15</v>
      </c>
      <c r="O89" s="3">
        <v>1.6257588532843838E-17</v>
      </c>
    </row>
    <row r="90" spans="1:15" x14ac:dyDescent="0.5">
      <c r="B90" s="8">
        <v>332.96300000000002</v>
      </c>
      <c r="C90">
        <v>0.746</v>
      </c>
      <c r="D90" s="3">
        <v>4.1113108033501303E-18</v>
      </c>
      <c r="E90" s="3">
        <v>1.2658043378811021E-17</v>
      </c>
      <c r="G90" s="8">
        <v>337.06600000000003</v>
      </c>
      <c r="H90">
        <v>0.746</v>
      </c>
      <c r="I90" s="3">
        <v>1.9029495718363463E-16</v>
      </c>
      <c r="J90" s="3">
        <v>1.7061710612790554E-17</v>
      </c>
      <c r="L90" s="8">
        <v>340.423</v>
      </c>
      <c r="M90">
        <v>0.746</v>
      </c>
      <c r="N90" s="3">
        <v>1.7009080123574254E-15</v>
      </c>
      <c r="O90" s="3">
        <v>2.9769121686796837E-17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83"/>
  <sheetViews>
    <sheetView workbookViewId="0">
      <selection activeCell="N14" sqref="N14"/>
    </sheetView>
  </sheetViews>
  <sheetFormatPr defaultRowHeight="15.75" x14ac:dyDescent="0.5"/>
  <cols>
    <col min="2" max="2" width="11.6875" bestFit="1" customWidth="1"/>
    <col min="6" max="14" width="11.6875" bestFit="1" customWidth="1"/>
    <col min="15" max="15" width="10.6875" bestFit="1" customWidth="1"/>
    <col min="16" max="16" width="11.6875" bestFit="1" customWidth="1"/>
    <col min="17" max="17" width="9.6875" bestFit="1" customWidth="1"/>
  </cols>
  <sheetData>
    <row r="2" spans="2:16" x14ac:dyDescent="0.5">
      <c r="B2" t="s">
        <v>84</v>
      </c>
      <c r="C2">
        <v>100</v>
      </c>
      <c r="E2" t="s">
        <v>0</v>
      </c>
      <c r="F2">
        <v>6.7283950617283949E-14</v>
      </c>
      <c r="H2" t="s">
        <v>83</v>
      </c>
      <c r="I2" s="6">
        <v>0.5</v>
      </c>
    </row>
    <row r="3" spans="2:16" x14ac:dyDescent="0.5">
      <c r="B3" t="s">
        <v>20</v>
      </c>
      <c r="C3">
        <v>5000</v>
      </c>
      <c r="H3" t="s">
        <v>64</v>
      </c>
      <c r="I3">
        <f>0.02*I2</f>
        <v>0.01</v>
      </c>
    </row>
    <row r="4" spans="2:16" x14ac:dyDescent="0.5">
      <c r="B4" t="s">
        <v>76</v>
      </c>
      <c r="C4" s="3">
        <v>1.111E-5</v>
      </c>
      <c r="D4" s="3">
        <v>1E-8</v>
      </c>
      <c r="G4" t="s">
        <v>64</v>
      </c>
    </row>
    <row r="5" spans="2:16" x14ac:dyDescent="0.5">
      <c r="B5" t="s">
        <v>81</v>
      </c>
      <c r="C5" t="s">
        <v>25</v>
      </c>
      <c r="D5" t="s">
        <v>80</v>
      </c>
      <c r="E5" t="s">
        <v>64</v>
      </c>
      <c r="F5" t="s">
        <v>31</v>
      </c>
      <c r="G5" t="s">
        <v>41</v>
      </c>
      <c r="H5" t="s">
        <v>77</v>
      </c>
      <c r="I5" t="s">
        <v>69</v>
      </c>
      <c r="J5" t="s">
        <v>71</v>
      </c>
      <c r="K5" t="s">
        <v>78</v>
      </c>
      <c r="L5" t="s">
        <v>22</v>
      </c>
      <c r="M5" t="s">
        <v>28</v>
      </c>
      <c r="O5" t="s">
        <v>92</v>
      </c>
      <c r="P5" t="s">
        <v>93</v>
      </c>
    </row>
    <row r="6" spans="2:16" x14ac:dyDescent="0.5">
      <c r="B6">
        <v>16</v>
      </c>
      <c r="C6">
        <v>330</v>
      </c>
      <c r="D6">
        <f>C6-$B$6</f>
        <v>314</v>
      </c>
      <c r="E6">
        <f>0.04*D6</f>
        <v>12.56</v>
      </c>
      <c r="F6">
        <v>1.21E-2</v>
      </c>
      <c r="G6">
        <v>2.0000000000000001E-4</v>
      </c>
      <c r="H6">
        <f>(10/($C$2*$C$3)^2 * F6)/10000^2</f>
        <v>4.8399999999999994E-21</v>
      </c>
      <c r="I6">
        <f>(D4/C4)^2</f>
        <v>8.1016202430324032E-7</v>
      </c>
      <c r="J6">
        <f>(E6/D6)^2</f>
        <v>1.6000000000000001E-3</v>
      </c>
      <c r="K6">
        <f xml:space="preserve"> H6*SQRT($I$6+J6)</f>
        <v>1.9364900859936389E-22</v>
      </c>
      <c r="L6">
        <f>H6/$I$2</f>
        <v>9.6799999999999988E-21</v>
      </c>
      <c r="M6">
        <f>L6*SQRT(($I$3/$I$2)^2+(K6/H6)^2)</f>
        <v>4.329904319105285E-22</v>
      </c>
      <c r="O6" s="3">
        <f>M16</f>
        <v>6.2106210621062102E-19</v>
      </c>
      <c r="P6">
        <f>$O$6*SQRT( (M6/L6)^2 + (E6/D6)^2 )</f>
        <v>3.7267919144536485E-20</v>
      </c>
    </row>
    <row r="7" spans="2:16" x14ac:dyDescent="0.5">
      <c r="C7">
        <v>1000</v>
      </c>
      <c r="D7">
        <f t="shared" ref="D7:D11" si="0">C7-$B$6</f>
        <v>984</v>
      </c>
      <c r="E7">
        <f t="shared" ref="E7:E11" si="1">0.04*D7</f>
        <v>39.36</v>
      </c>
      <c r="F7">
        <v>2.46E-2</v>
      </c>
      <c r="G7">
        <v>8.0000000000000004E-4</v>
      </c>
      <c r="H7">
        <f t="shared" ref="H7:H11" si="2">(10/($C$2*$C$3)^2 * F7)/10000^2</f>
        <v>9.8399999999999999E-21</v>
      </c>
      <c r="J7">
        <f t="shared" ref="J7:J11" si="3">(E7/D7)^2</f>
        <v>1.6000000000000001E-3</v>
      </c>
      <c r="K7">
        <f t="shared" ref="K7:K11" si="4" xml:space="preserve"> H7*SQRT($I$6+J7)</f>
        <v>3.9369963731771508E-22</v>
      </c>
      <c r="L7">
        <f t="shared" ref="L7:L11" si="5">H7/$I$2</f>
        <v>1.968E-20</v>
      </c>
      <c r="M7">
        <f t="shared" ref="M7:M11" si="6">L7*SQRT(($I$3/$I$2)^2+(K7/H7)^2)</f>
        <v>8.8029459710735557E-22</v>
      </c>
      <c r="P7">
        <f t="shared" ref="P7:P11" si="7">$O$6*SQRT( (M7/L7)^2 + (E7/D7)^2 )</f>
        <v>3.7267919144536485E-20</v>
      </c>
    </row>
    <row r="8" spans="2:16" x14ac:dyDescent="0.5">
      <c r="C8">
        <v>3300</v>
      </c>
      <c r="D8">
        <f t="shared" si="0"/>
        <v>3284</v>
      </c>
      <c r="E8">
        <f t="shared" si="1"/>
        <v>131.36000000000001</v>
      </c>
      <c r="F8">
        <v>6.54E-2</v>
      </c>
      <c r="G8">
        <v>1E-3</v>
      </c>
      <c r="H8">
        <f t="shared" si="2"/>
        <v>2.6159999999999998E-20</v>
      </c>
      <c r="J8">
        <f t="shared" si="3"/>
        <v>1.6000000000000001E-3</v>
      </c>
      <c r="K8">
        <f t="shared" si="4"/>
        <v>1.0466648894544131E-21</v>
      </c>
      <c r="L8">
        <f t="shared" si="5"/>
        <v>5.2319999999999995E-20</v>
      </c>
      <c r="M8">
        <f t="shared" si="6"/>
        <v>2.3402953923097986E-21</v>
      </c>
      <c r="P8">
        <f t="shared" si="7"/>
        <v>3.7267919144536485E-20</v>
      </c>
    </row>
    <row r="9" spans="2:16" x14ac:dyDescent="0.5">
      <c r="C9">
        <v>10000</v>
      </c>
      <c r="D9">
        <f t="shared" si="0"/>
        <v>9984</v>
      </c>
      <c r="E9">
        <f t="shared" si="1"/>
        <v>399.36</v>
      </c>
      <c r="F9">
        <v>0.17699999999999999</v>
      </c>
      <c r="G9">
        <v>2E-3</v>
      </c>
      <c r="H9">
        <f t="shared" si="2"/>
        <v>7.0799999999999991E-20</v>
      </c>
      <c r="J9">
        <f t="shared" si="3"/>
        <v>1.6000000000000001E-3</v>
      </c>
      <c r="K9">
        <f t="shared" si="4"/>
        <v>2.8327169026518521E-21</v>
      </c>
      <c r="L9">
        <f t="shared" si="5"/>
        <v>1.4159999999999998E-19</v>
      </c>
      <c r="M9">
        <f t="shared" si="6"/>
        <v>6.3338269791870699E-21</v>
      </c>
      <c r="P9">
        <f t="shared" si="7"/>
        <v>3.7267919144536485E-20</v>
      </c>
    </row>
    <row r="10" spans="2:16" x14ac:dyDescent="0.5">
      <c r="C10">
        <v>33000</v>
      </c>
      <c r="D10">
        <f t="shared" si="0"/>
        <v>32984</v>
      </c>
      <c r="E10">
        <f t="shared" si="1"/>
        <v>1319.3600000000001</v>
      </c>
      <c r="F10">
        <v>0.57499999999999996</v>
      </c>
      <c r="G10">
        <v>2E-3</v>
      </c>
      <c r="H10">
        <f t="shared" si="2"/>
        <v>2.2999999999999998E-19</v>
      </c>
      <c r="J10">
        <f t="shared" si="3"/>
        <v>1.6000000000000001E-3</v>
      </c>
      <c r="K10">
        <f t="shared" si="4"/>
        <v>9.2023289210441524E-21</v>
      </c>
      <c r="L10">
        <f t="shared" si="5"/>
        <v>4.5999999999999996E-19</v>
      </c>
      <c r="M10">
        <f t="shared" si="6"/>
        <v>2.057599159905404E-20</v>
      </c>
      <c r="P10">
        <f t="shared" si="7"/>
        <v>3.7267919144536485E-20</v>
      </c>
    </row>
    <row r="11" spans="2:16" x14ac:dyDescent="0.5">
      <c r="C11">
        <v>100000</v>
      </c>
      <c r="D11">
        <f t="shared" si="0"/>
        <v>99984</v>
      </c>
      <c r="E11">
        <f t="shared" si="1"/>
        <v>3999.36</v>
      </c>
      <c r="F11">
        <v>1.726</v>
      </c>
      <c r="G11">
        <v>1E-3</v>
      </c>
      <c r="H11">
        <f t="shared" si="2"/>
        <v>6.903999999999999E-19</v>
      </c>
      <c r="J11">
        <f t="shared" si="3"/>
        <v>1.6000000000000001E-3</v>
      </c>
      <c r="K11">
        <f t="shared" si="4"/>
        <v>2.7622990813429923E-20</v>
      </c>
      <c r="L11">
        <f t="shared" si="5"/>
        <v>1.3807999999999998E-18</v>
      </c>
      <c r="M11">
        <f t="shared" si="6"/>
        <v>6.1763759130377862E-20</v>
      </c>
      <c r="P11">
        <f t="shared" si="7"/>
        <v>3.7267919144536485E-20</v>
      </c>
    </row>
    <row r="12" spans="2:16" x14ac:dyDescent="0.5">
      <c r="O12" t="s">
        <v>89</v>
      </c>
      <c r="P12">
        <f>AVERAGE(P6:P11)</f>
        <v>3.7267919144536485E-20</v>
      </c>
    </row>
    <row r="15" spans="2:16" x14ac:dyDescent="0.5">
      <c r="L15" s="3">
        <v>1.3800000000000001E-23</v>
      </c>
    </row>
    <row r="16" spans="2:16" x14ac:dyDescent="0.5">
      <c r="L16" t="s">
        <v>79</v>
      </c>
      <c r="M16" s="3">
        <f>L15/(2*C4)</f>
        <v>6.2106210621062102E-19</v>
      </c>
    </row>
    <row r="19" spans="12:15" x14ac:dyDescent="0.5">
      <c r="L19" t="s">
        <v>96</v>
      </c>
    </row>
    <row r="20" spans="12:15" x14ac:dyDescent="0.5">
      <c r="L20" t="s">
        <v>80</v>
      </c>
      <c r="M20" t="s">
        <v>64</v>
      </c>
      <c r="N20" t="s">
        <v>22</v>
      </c>
      <c r="O20" t="s">
        <v>28</v>
      </c>
    </row>
    <row r="21" spans="12:15" x14ac:dyDescent="0.5">
      <c r="L21">
        <f>D6</f>
        <v>314</v>
      </c>
      <c r="M21">
        <f>E6</f>
        <v>12.56</v>
      </c>
      <c r="N21">
        <f>L6</f>
        <v>9.6799999999999988E-21</v>
      </c>
      <c r="O21" s="3">
        <f>M6</f>
        <v>4.329904319105285E-22</v>
      </c>
    </row>
    <row r="22" spans="12:15" x14ac:dyDescent="0.5">
      <c r="L22">
        <f t="shared" ref="L22:M22" si="8">D7</f>
        <v>984</v>
      </c>
      <c r="M22">
        <f t="shared" si="8"/>
        <v>39.36</v>
      </c>
      <c r="N22" s="3">
        <f t="shared" ref="N22:O22" si="9">L7</f>
        <v>1.968E-20</v>
      </c>
      <c r="O22" s="3">
        <f t="shared" si="9"/>
        <v>8.8029459710735557E-22</v>
      </c>
    </row>
    <row r="23" spans="12:15" x14ac:dyDescent="0.5">
      <c r="L23">
        <f t="shared" ref="L23:M23" si="10">D8</f>
        <v>3284</v>
      </c>
      <c r="M23">
        <f t="shared" si="10"/>
        <v>131.36000000000001</v>
      </c>
      <c r="N23" s="3">
        <f t="shared" ref="N23:O23" si="11">L8</f>
        <v>5.2319999999999995E-20</v>
      </c>
      <c r="O23" s="3">
        <f t="shared" si="11"/>
        <v>2.3402953923097986E-21</v>
      </c>
    </row>
    <row r="24" spans="12:15" x14ac:dyDescent="0.5">
      <c r="L24">
        <f t="shared" ref="L24:M24" si="12">D9</f>
        <v>9984</v>
      </c>
      <c r="M24">
        <f t="shared" si="12"/>
        <v>399.36</v>
      </c>
      <c r="N24" s="3">
        <f t="shared" ref="N24:O24" si="13">L9</f>
        <v>1.4159999999999998E-19</v>
      </c>
      <c r="O24" s="3">
        <f t="shared" si="13"/>
        <v>6.3338269791870699E-21</v>
      </c>
    </row>
    <row r="25" spans="12:15" x14ac:dyDescent="0.5">
      <c r="L25">
        <f t="shared" ref="L25:M25" si="14">D10</f>
        <v>32984</v>
      </c>
      <c r="M25">
        <f t="shared" si="14"/>
        <v>1319.3600000000001</v>
      </c>
      <c r="N25" s="3">
        <f t="shared" ref="N25:O25" si="15">L10</f>
        <v>4.5999999999999996E-19</v>
      </c>
      <c r="O25" s="3">
        <f t="shared" si="15"/>
        <v>2.057599159905404E-20</v>
      </c>
    </row>
    <row r="26" spans="12:15" x14ac:dyDescent="0.5">
      <c r="L26">
        <f t="shared" ref="L26:M26" si="16">D11</f>
        <v>99984</v>
      </c>
      <c r="M26">
        <f t="shared" si="16"/>
        <v>3999.36</v>
      </c>
      <c r="N26" s="3">
        <f t="shared" ref="N26:O26" si="17">L11</f>
        <v>1.3807999999999998E-18</v>
      </c>
      <c r="O26" s="3">
        <f t="shared" si="17"/>
        <v>6.1763759130377862E-20</v>
      </c>
    </row>
    <row r="36" spans="2:17" x14ac:dyDescent="0.5">
      <c r="B36" t="s">
        <v>73</v>
      </c>
      <c r="C36">
        <v>10000</v>
      </c>
      <c r="D36" t="s">
        <v>19</v>
      </c>
      <c r="E36">
        <v>100</v>
      </c>
      <c r="G36">
        <v>100000</v>
      </c>
    </row>
    <row r="37" spans="2:17" x14ac:dyDescent="0.5">
      <c r="B37" t="s">
        <v>81</v>
      </c>
      <c r="C37">
        <v>16</v>
      </c>
      <c r="D37" t="s">
        <v>20</v>
      </c>
      <c r="E37">
        <v>5000</v>
      </c>
    </row>
    <row r="38" spans="2:17" x14ac:dyDescent="0.5">
      <c r="B38" t="s">
        <v>82</v>
      </c>
      <c r="C38">
        <f>C36-C37</f>
        <v>9984</v>
      </c>
      <c r="D38">
        <f>0.04*C38</f>
        <v>399.36</v>
      </c>
      <c r="G38">
        <f>G36-C37</f>
        <v>99984</v>
      </c>
      <c r="H38">
        <f>0.04*G38</f>
        <v>3999.36</v>
      </c>
    </row>
    <row r="39" spans="2:17" x14ac:dyDescent="0.5">
      <c r="B39" t="s">
        <v>74</v>
      </c>
      <c r="C39" t="s">
        <v>64</v>
      </c>
      <c r="D39" t="s">
        <v>31</v>
      </c>
      <c r="E39" t="s">
        <v>75</v>
      </c>
      <c r="F39" t="s">
        <v>85</v>
      </c>
      <c r="G39" t="s">
        <v>86</v>
      </c>
      <c r="H39" t="s">
        <v>69</v>
      </c>
      <c r="I39" t="s">
        <v>71</v>
      </c>
      <c r="J39" t="s">
        <v>78</v>
      </c>
      <c r="K39" t="s">
        <v>22</v>
      </c>
      <c r="L39" t="s">
        <v>69</v>
      </c>
      <c r="M39" t="s">
        <v>71</v>
      </c>
      <c r="N39" t="s">
        <v>28</v>
      </c>
      <c r="P39" t="s">
        <v>92</v>
      </c>
      <c r="Q39" t="s">
        <v>93</v>
      </c>
    </row>
    <row r="40" spans="2:17" x14ac:dyDescent="0.5">
      <c r="B40" s="3">
        <v>9.9999999999999995E-8</v>
      </c>
      <c r="C40" s="3">
        <v>9.9999999999999995E-8</v>
      </c>
      <c r="D40">
        <v>7.1400000000000005E-2</v>
      </c>
      <c r="E40">
        <v>2.0000000000000001E-4</v>
      </c>
      <c r="F40">
        <f>(10/($E$36*$E$37)^2 * D40)/10000^2</f>
        <v>2.8560000000000002E-20</v>
      </c>
      <c r="G40">
        <f>F40-$F$40</f>
        <v>0</v>
      </c>
      <c r="H40">
        <f>(C40/B40)^2</f>
        <v>1</v>
      </c>
      <c r="I40">
        <f>(H38/G38)^2</f>
        <v>1.6000000000000001E-3</v>
      </c>
      <c r="J40">
        <f xml:space="preserve"> G40*SQRT(H40+$I$40)</f>
        <v>0</v>
      </c>
      <c r="K40">
        <f>G40/$C$38</f>
        <v>0</v>
      </c>
      <c r="L40" t="e">
        <f>(J40/G40)^2</f>
        <v>#DIV/0!</v>
      </c>
      <c r="M40">
        <f>($H$38/$G$38)^2</f>
        <v>1.6000000000000001E-3</v>
      </c>
      <c r="N40" t="e">
        <f>K40*SQRT(L40+$M$40)</f>
        <v>#DIV/0!</v>
      </c>
      <c r="P40" s="3">
        <f>M66</f>
        <v>1.515E-20</v>
      </c>
      <c r="Q40" s="9" t="e">
        <f>$P$40*SQRT( (N40/K40)^2 +(C40/B40)^2)</f>
        <v>#DIV/0!</v>
      </c>
    </row>
    <row r="41" spans="2:17" x14ac:dyDescent="0.5">
      <c r="B41" s="3">
        <v>9.9999999999999995E-7</v>
      </c>
      <c r="C41" s="3">
        <v>1.9999999999999999E-7</v>
      </c>
      <c r="D41">
        <v>7.22E-2</v>
      </c>
      <c r="E41">
        <v>2.0000000000000001E-4</v>
      </c>
      <c r="F41">
        <f t="shared" ref="F41:F50" si="18">(10/($E$36*$E$37)^2 * D41)/10000^2</f>
        <v>2.8879999999999998E-20</v>
      </c>
      <c r="G41">
        <f t="shared" ref="G41:G50" si="19">F41-$F$40</f>
        <v>3.1999999999999618E-22</v>
      </c>
      <c r="H41">
        <f t="shared" ref="H41:H50" si="20">(C41/B41)^2</f>
        <v>4.0000000000000008E-2</v>
      </c>
      <c r="J41">
        <f t="shared" ref="J41:J49" si="21" xml:space="preserve"> G41*SQRT(H41+$I$40)</f>
        <v>6.5267449773986875E-23</v>
      </c>
      <c r="K41">
        <f t="shared" ref="K41:K50" si="22">G41/$C$38</f>
        <v>3.2051282051281671E-26</v>
      </c>
      <c r="L41">
        <f>(J41/G41)^2</f>
        <v>4.1600000000000012E-2</v>
      </c>
      <c r="N41">
        <f t="shared" ref="N41:N50" si="23">K41*SQRT(L41+$M$40)</f>
        <v>6.6617338752648344E-27</v>
      </c>
      <c r="Q41" s="9">
        <f t="shared" ref="Q41:Q50" si="24">$P$40*SQRT( (N41/K41)^2 +(C41/B41)^2)</f>
        <v>4.3699281458623553E-21</v>
      </c>
    </row>
    <row r="42" spans="2:17" x14ac:dyDescent="0.5">
      <c r="B42" s="3">
        <v>1.9999999999999999E-6</v>
      </c>
      <c r="C42" s="3">
        <v>1.9999999999999999E-7</v>
      </c>
      <c r="D42">
        <v>7.3800000000000004E-2</v>
      </c>
      <c r="E42">
        <v>2.0000000000000001E-4</v>
      </c>
      <c r="F42">
        <f t="shared" si="18"/>
        <v>2.9519999999999997E-20</v>
      </c>
      <c r="G42">
        <f>F42-$F$40</f>
        <v>9.5999999999999455E-22</v>
      </c>
      <c r="H42">
        <f t="shared" si="20"/>
        <v>1.0000000000000002E-2</v>
      </c>
      <c r="J42">
        <f xml:space="preserve"> G42*SQRT(H42+$I$40)</f>
        <v>1.0339516429698191E-22</v>
      </c>
      <c r="K42">
        <f t="shared" si="22"/>
        <v>9.615384615384561E-26</v>
      </c>
      <c r="L42">
        <f t="shared" ref="L42:L50" si="25">(J42/G42)^2</f>
        <v>1.1600000000000004E-2</v>
      </c>
      <c r="N42">
        <f t="shared" si="23"/>
        <v>1.1047235858726918E-26</v>
      </c>
      <c r="Q42" s="9">
        <f t="shared" si="24"/>
        <v>2.3075792510767646E-21</v>
      </c>
    </row>
    <row r="43" spans="2:17" x14ac:dyDescent="0.5">
      <c r="B43" s="3">
        <v>3.0000000000000001E-6</v>
      </c>
      <c r="C43" s="3">
        <v>1.9999999999999999E-7</v>
      </c>
      <c r="D43">
        <v>7.4300000000000005E-2</v>
      </c>
      <c r="E43">
        <v>2.0000000000000001E-4</v>
      </c>
      <c r="F43">
        <f t="shared" si="18"/>
        <v>2.9719999999999997E-20</v>
      </c>
      <c r="G43">
        <f t="shared" si="19"/>
        <v>1.1599999999999952E-21</v>
      </c>
      <c r="H43">
        <f t="shared" si="20"/>
        <v>4.4444444444444444E-3</v>
      </c>
      <c r="J43">
        <f t="shared" si="21"/>
        <v>9.0185389306940267E-23</v>
      </c>
      <c r="K43">
        <f t="shared" si="22"/>
        <v>1.1618589743589696E-25</v>
      </c>
      <c r="L43">
        <f t="shared" si="25"/>
        <v>6.0444444444444434E-3</v>
      </c>
      <c r="N43">
        <f t="shared" si="23"/>
        <v>1.015842506435669E-26</v>
      </c>
      <c r="Q43" s="9">
        <f t="shared" si="24"/>
        <v>1.6657346727495349E-21</v>
      </c>
    </row>
    <row r="44" spans="2:17" x14ac:dyDescent="0.5">
      <c r="B44" s="3">
        <v>3.9999999999999998E-6</v>
      </c>
      <c r="C44" s="3">
        <v>3.9999999999999998E-7</v>
      </c>
      <c r="D44">
        <v>7.51E-2</v>
      </c>
      <c r="E44">
        <v>4.0000000000000002E-4</v>
      </c>
      <c r="F44">
        <f t="shared" si="18"/>
        <v>3.0039999999999999E-20</v>
      </c>
      <c r="G44">
        <f t="shared" si="19"/>
        <v>1.4799999999999974E-21</v>
      </c>
      <c r="H44">
        <f t="shared" si="20"/>
        <v>1.0000000000000002E-2</v>
      </c>
      <c r="J44">
        <f t="shared" si="21"/>
        <v>1.5940087829118106E-22</v>
      </c>
      <c r="K44">
        <f t="shared" si="22"/>
        <v>1.4823717948717923E-25</v>
      </c>
      <c r="L44">
        <f t="shared" si="25"/>
        <v>1.1600000000000004E-2</v>
      </c>
      <c r="N44">
        <f t="shared" si="23"/>
        <v>1.7031155282204066E-26</v>
      </c>
      <c r="Q44" s="9">
        <f t="shared" si="24"/>
        <v>2.3075792510767646E-21</v>
      </c>
    </row>
    <row r="45" spans="2:17" x14ac:dyDescent="0.5">
      <c r="B45" s="3">
        <v>5.0000000000000004E-6</v>
      </c>
      <c r="C45" s="3">
        <v>9.9999999999999995E-8</v>
      </c>
      <c r="D45">
        <v>7.5800000000000006E-2</v>
      </c>
      <c r="E45">
        <v>1E-4</v>
      </c>
      <c r="F45">
        <f t="shared" si="18"/>
        <v>3.0319999999999999E-20</v>
      </c>
      <c r="G45">
        <f t="shared" si="19"/>
        <v>1.759999999999997E-21</v>
      </c>
      <c r="H45">
        <f t="shared" si="20"/>
        <v>3.9999999999999986E-4</v>
      </c>
      <c r="J45">
        <f t="shared" si="21"/>
        <v>7.8709592807992467E-23</v>
      </c>
      <c r="K45">
        <f t="shared" si="22"/>
        <v>1.7628205128205098E-25</v>
      </c>
      <c r="L45">
        <f t="shared" si="25"/>
        <v>2E-3</v>
      </c>
      <c r="N45">
        <f t="shared" si="23"/>
        <v>1.0576923076923059E-26</v>
      </c>
      <c r="Q45" s="9">
        <f t="shared" si="24"/>
        <v>9.5817013103101892E-22</v>
      </c>
    </row>
    <row r="46" spans="2:17" x14ac:dyDescent="0.5">
      <c r="B46" s="3">
        <v>6.0000000000000002E-6</v>
      </c>
      <c r="C46" s="3">
        <v>9.9999999999999995E-8</v>
      </c>
      <c r="D46">
        <v>7.6399999999999996E-2</v>
      </c>
      <c r="E46">
        <v>1E-4</v>
      </c>
      <c r="F46">
        <f t="shared" si="18"/>
        <v>3.0559999999999996E-20</v>
      </c>
      <c r="G46">
        <f t="shared" si="19"/>
        <v>1.9999999999999942E-21</v>
      </c>
      <c r="H46">
        <f t="shared" si="20"/>
        <v>2.7777777777777778E-4</v>
      </c>
      <c r="J46">
        <f t="shared" si="21"/>
        <v>8.6666666666666415E-23</v>
      </c>
      <c r="K46">
        <f t="shared" si="22"/>
        <v>2.0032051282051223E-25</v>
      </c>
      <c r="L46">
        <f t="shared" si="25"/>
        <v>1.8777777777777779E-3</v>
      </c>
      <c r="N46">
        <f t="shared" si="23"/>
        <v>1.1813438844119979E-26</v>
      </c>
      <c r="Q46" s="9">
        <f t="shared" si="24"/>
        <v>9.2843120369793698E-22</v>
      </c>
    </row>
    <row r="47" spans="2:17" x14ac:dyDescent="0.5">
      <c r="B47" s="3">
        <v>6.9999999999999999E-6</v>
      </c>
      <c r="C47" s="3">
        <v>9.9999999999999995E-8</v>
      </c>
      <c r="D47">
        <v>7.7499999999999999E-2</v>
      </c>
      <c r="E47">
        <v>1E-4</v>
      </c>
      <c r="F47">
        <f t="shared" si="18"/>
        <v>3.1E-20</v>
      </c>
      <c r="G47">
        <f t="shared" si="19"/>
        <v>2.4399999999999979E-21</v>
      </c>
      <c r="H47">
        <f t="shared" si="20"/>
        <v>2.040816326530612E-4</v>
      </c>
      <c r="J47">
        <f t="shared" si="21"/>
        <v>1.0363773640987749E-22</v>
      </c>
      <c r="K47">
        <f t="shared" si="22"/>
        <v>2.4439102564102542E-25</v>
      </c>
      <c r="L47">
        <f t="shared" si="25"/>
        <v>1.8040816326530614E-3</v>
      </c>
      <c r="N47">
        <f t="shared" si="23"/>
        <v>1.4258874190205921E-26</v>
      </c>
      <c r="Q47" s="9">
        <f t="shared" si="24"/>
        <v>9.1003002865906837E-22</v>
      </c>
    </row>
    <row r="48" spans="2:17" x14ac:dyDescent="0.5">
      <c r="B48" s="3">
        <v>7.9999999999999996E-6</v>
      </c>
      <c r="C48" s="3">
        <v>1.9999999999999999E-7</v>
      </c>
      <c r="D48">
        <v>7.8399999999999997E-2</v>
      </c>
      <c r="E48">
        <v>2.0000000000000001E-4</v>
      </c>
      <c r="F48">
        <f t="shared" si="18"/>
        <v>3.1359999999999993E-20</v>
      </c>
      <c r="G48">
        <f t="shared" si="19"/>
        <v>2.7999999999999906E-21</v>
      </c>
      <c r="H48">
        <f t="shared" si="20"/>
        <v>6.2500000000000012E-4</v>
      </c>
      <c r="J48">
        <f t="shared" si="21"/>
        <v>1.3207573584879202E-22</v>
      </c>
      <c r="K48">
        <f t="shared" si="22"/>
        <v>2.8044871794871703E-25</v>
      </c>
      <c r="L48">
        <f t="shared" si="25"/>
        <v>2.225E-3</v>
      </c>
      <c r="N48">
        <f t="shared" si="23"/>
        <v>1.7344795300074238E-26</v>
      </c>
      <c r="Q48" s="9">
        <f t="shared" si="24"/>
        <v>1.0106310528575699E-21</v>
      </c>
    </row>
    <row r="49" spans="2:17" x14ac:dyDescent="0.5">
      <c r="B49" s="3">
        <v>9.0000000000000002E-6</v>
      </c>
      <c r="C49" s="3">
        <v>1.9999999999999999E-7</v>
      </c>
      <c r="D49">
        <v>7.9299999999999995E-2</v>
      </c>
      <c r="E49">
        <v>2.0000000000000001E-4</v>
      </c>
      <c r="F49">
        <f t="shared" si="18"/>
        <v>3.1719999999999997E-20</v>
      </c>
      <c r="G49">
        <f t="shared" si="19"/>
        <v>3.1599999999999954E-21</v>
      </c>
      <c r="H49">
        <f t="shared" si="20"/>
        <v>4.9382716049382706E-4</v>
      </c>
      <c r="J49">
        <f t="shared" si="21"/>
        <v>1.4459640553563942E-22</v>
      </c>
      <c r="K49">
        <f t="shared" si="22"/>
        <v>3.1650641025640979E-25</v>
      </c>
      <c r="L49">
        <f t="shared" si="25"/>
        <v>2.0938271604938269E-3</v>
      </c>
      <c r="N49">
        <f t="shared" si="23"/>
        <v>1.9236266954469526E-26</v>
      </c>
      <c r="Q49" s="9">
        <f t="shared" si="24"/>
        <v>9.8038813175644337E-22</v>
      </c>
    </row>
    <row r="50" spans="2:17" x14ac:dyDescent="0.5">
      <c r="B50" s="3">
        <v>1.0000000000000001E-5</v>
      </c>
      <c r="C50" s="3">
        <v>1.9999999999999999E-7</v>
      </c>
      <c r="D50">
        <v>8.0500000000000002E-2</v>
      </c>
      <c r="E50">
        <v>2.0000000000000001E-4</v>
      </c>
      <c r="F50">
        <f t="shared" si="18"/>
        <v>3.2199999999999998E-20</v>
      </c>
      <c r="G50">
        <f t="shared" si="19"/>
        <v>3.6399999999999957E-21</v>
      </c>
      <c r="H50">
        <f t="shared" si="20"/>
        <v>3.9999999999999986E-4</v>
      </c>
      <c r="J50">
        <f xml:space="preserve"> G50*SQRT(H50+$I$40)</f>
        <v>1.6278574876198449E-22</v>
      </c>
      <c r="K50">
        <f t="shared" si="22"/>
        <v>3.645833333333329E-25</v>
      </c>
      <c r="L50">
        <f t="shared" si="25"/>
        <v>2E-3</v>
      </c>
      <c r="N50">
        <f t="shared" si="23"/>
        <v>2.1874999999999973E-26</v>
      </c>
      <c r="Q50" s="9">
        <f t="shared" si="24"/>
        <v>9.5817013103101892E-22</v>
      </c>
    </row>
    <row r="51" spans="2:17" x14ac:dyDescent="0.5">
      <c r="P51" s="2" t="s">
        <v>90</v>
      </c>
      <c r="Q51" s="10">
        <f>AVERAGE(Q41:Q50)</f>
        <v>1.6396641999798477E-21</v>
      </c>
    </row>
    <row r="52" spans="2:17" x14ac:dyDescent="0.5">
      <c r="K52" t="s">
        <v>94</v>
      </c>
      <c r="N52" t="s">
        <v>95</v>
      </c>
    </row>
    <row r="53" spans="2:17" x14ac:dyDescent="0.5">
      <c r="K53">
        <v>7.1400000000000005E-2</v>
      </c>
      <c r="L53">
        <v>2.0000000000000001E-4</v>
      </c>
      <c r="N53">
        <v>0.72799999999999998</v>
      </c>
      <c r="O53">
        <v>1E-4</v>
      </c>
    </row>
    <row r="54" spans="2:17" x14ac:dyDescent="0.5">
      <c r="K54">
        <v>7.22E-2</v>
      </c>
      <c r="L54">
        <v>2.0000000000000001E-4</v>
      </c>
      <c r="N54">
        <v>0.73699999999999999</v>
      </c>
      <c r="O54">
        <v>1E-4</v>
      </c>
    </row>
    <row r="55" spans="2:17" x14ac:dyDescent="0.5">
      <c r="K55">
        <v>7.3800000000000004E-2</v>
      </c>
      <c r="L55">
        <v>2.0000000000000001E-4</v>
      </c>
      <c r="N55">
        <v>0.745</v>
      </c>
      <c r="O55">
        <v>1E-4</v>
      </c>
    </row>
    <row r="56" spans="2:17" x14ac:dyDescent="0.5">
      <c r="K56">
        <v>7.4300000000000005E-2</v>
      </c>
      <c r="L56">
        <v>2.0000000000000001E-4</v>
      </c>
      <c r="N56">
        <v>0.752</v>
      </c>
      <c r="O56">
        <v>1E-4</v>
      </c>
    </row>
    <row r="57" spans="2:17" x14ac:dyDescent="0.5">
      <c r="K57">
        <v>7.51E-2</v>
      </c>
      <c r="L57">
        <v>4.0000000000000002E-4</v>
      </c>
      <c r="N57">
        <v>0.76100000000000001</v>
      </c>
      <c r="O57">
        <v>1E-4</v>
      </c>
    </row>
    <row r="58" spans="2:17" x14ac:dyDescent="0.5">
      <c r="K58">
        <v>7.5800000000000006E-2</v>
      </c>
      <c r="L58">
        <v>1E-4</v>
      </c>
      <c r="N58">
        <v>0.77100000000000002</v>
      </c>
      <c r="O58">
        <v>1E-4</v>
      </c>
    </row>
    <row r="59" spans="2:17" x14ac:dyDescent="0.5">
      <c r="K59">
        <v>7.6399999999999996E-2</v>
      </c>
      <c r="L59">
        <v>1E-4</v>
      </c>
      <c r="N59">
        <v>0.78600000000000003</v>
      </c>
      <c r="O59">
        <v>1E-4</v>
      </c>
    </row>
    <row r="60" spans="2:17" x14ac:dyDescent="0.5">
      <c r="K60">
        <v>7.7499999999999999E-2</v>
      </c>
      <c r="L60">
        <v>1E-4</v>
      </c>
      <c r="N60">
        <v>0.79100000000000004</v>
      </c>
      <c r="O60">
        <v>1E-4</v>
      </c>
    </row>
    <row r="61" spans="2:17" x14ac:dyDescent="0.5">
      <c r="K61">
        <v>7.8399999999999997E-2</v>
      </c>
      <c r="L61">
        <v>2.0000000000000001E-4</v>
      </c>
      <c r="N61">
        <v>0.80100000000000005</v>
      </c>
      <c r="O61">
        <v>1E-4</v>
      </c>
    </row>
    <row r="62" spans="2:17" x14ac:dyDescent="0.5">
      <c r="K62">
        <v>7.9299999999999995E-2</v>
      </c>
      <c r="L62">
        <v>2.0000000000000001E-4</v>
      </c>
      <c r="N62">
        <v>0.81100000000000005</v>
      </c>
      <c r="O62">
        <v>1E-4</v>
      </c>
    </row>
    <row r="63" spans="2:17" x14ac:dyDescent="0.5">
      <c r="K63">
        <v>8.0500000000000002E-2</v>
      </c>
      <c r="L63">
        <v>2.0000000000000001E-4</v>
      </c>
      <c r="N63" s="5">
        <v>0.82</v>
      </c>
      <c r="O63">
        <v>1E-4</v>
      </c>
    </row>
    <row r="65" spans="11:14" x14ac:dyDescent="0.5">
      <c r="L65" s="11">
        <v>3.0300000000000001E-20</v>
      </c>
    </row>
    <row r="66" spans="11:14" x14ac:dyDescent="0.5">
      <c r="L66" t="s">
        <v>79</v>
      </c>
      <c r="M66" s="11">
        <f>L65/2</f>
        <v>1.515E-20</v>
      </c>
    </row>
    <row r="70" spans="11:14" x14ac:dyDescent="0.5">
      <c r="K70" t="s">
        <v>96</v>
      </c>
    </row>
    <row r="71" spans="11:14" x14ac:dyDescent="0.5">
      <c r="K71" t="s">
        <v>97</v>
      </c>
      <c r="L71" t="s">
        <v>64</v>
      </c>
      <c r="M71" t="s">
        <v>22</v>
      </c>
      <c r="N71" t="s">
        <v>64</v>
      </c>
    </row>
    <row r="72" spans="11:14" x14ac:dyDescent="0.5">
      <c r="K72" s="3">
        <f>B41</f>
        <v>9.9999999999999995E-7</v>
      </c>
      <c r="L72" s="3">
        <f>C41</f>
        <v>1.9999999999999999E-7</v>
      </c>
      <c r="M72" s="3">
        <f>K41</f>
        <v>3.2051282051281671E-26</v>
      </c>
      <c r="N72" s="3">
        <f>N41</f>
        <v>6.6617338752648344E-27</v>
      </c>
    </row>
    <row r="73" spans="11:14" x14ac:dyDescent="0.5">
      <c r="K73" s="3">
        <f t="shared" ref="K73:L73" si="26">B42</f>
        <v>1.9999999999999999E-6</v>
      </c>
      <c r="L73" s="3">
        <f t="shared" si="26"/>
        <v>1.9999999999999999E-7</v>
      </c>
      <c r="M73" s="3">
        <f t="shared" ref="M73:M81" si="27">K42</f>
        <v>9.615384615384561E-26</v>
      </c>
      <c r="N73" s="3">
        <f t="shared" ref="N73:N81" si="28">N42</f>
        <v>1.1047235858726918E-26</v>
      </c>
    </row>
    <row r="74" spans="11:14" x14ac:dyDescent="0.5">
      <c r="K74" s="3">
        <f t="shared" ref="K74:L74" si="29">B43</f>
        <v>3.0000000000000001E-6</v>
      </c>
      <c r="L74" s="3">
        <f t="shared" si="29"/>
        <v>1.9999999999999999E-7</v>
      </c>
      <c r="M74" s="3">
        <f t="shared" si="27"/>
        <v>1.1618589743589696E-25</v>
      </c>
      <c r="N74" s="3">
        <f t="shared" si="28"/>
        <v>1.015842506435669E-26</v>
      </c>
    </row>
    <row r="75" spans="11:14" x14ac:dyDescent="0.5">
      <c r="K75" s="3">
        <f t="shared" ref="K75:L75" si="30">B44</f>
        <v>3.9999999999999998E-6</v>
      </c>
      <c r="L75" s="3">
        <f t="shared" si="30"/>
        <v>3.9999999999999998E-7</v>
      </c>
      <c r="M75" s="3">
        <f t="shared" si="27"/>
        <v>1.4823717948717923E-25</v>
      </c>
      <c r="N75" s="3">
        <f t="shared" si="28"/>
        <v>1.7031155282204066E-26</v>
      </c>
    </row>
    <row r="76" spans="11:14" x14ac:dyDescent="0.5">
      <c r="K76" s="3">
        <f t="shared" ref="K76:L76" si="31">B45</f>
        <v>5.0000000000000004E-6</v>
      </c>
      <c r="L76" s="3">
        <f t="shared" si="31"/>
        <v>9.9999999999999995E-8</v>
      </c>
      <c r="M76" s="3">
        <f t="shared" si="27"/>
        <v>1.7628205128205098E-25</v>
      </c>
      <c r="N76" s="3">
        <f t="shared" si="28"/>
        <v>1.0576923076923059E-26</v>
      </c>
    </row>
    <row r="77" spans="11:14" x14ac:dyDescent="0.5">
      <c r="K77" s="3">
        <f t="shared" ref="K77:L77" si="32">B46</f>
        <v>6.0000000000000002E-6</v>
      </c>
      <c r="L77" s="3">
        <f t="shared" si="32"/>
        <v>9.9999999999999995E-8</v>
      </c>
      <c r="M77" s="3">
        <f t="shared" si="27"/>
        <v>2.0032051282051223E-25</v>
      </c>
      <c r="N77" s="3">
        <f t="shared" si="28"/>
        <v>1.1813438844119979E-26</v>
      </c>
    </row>
    <row r="78" spans="11:14" x14ac:dyDescent="0.5">
      <c r="K78" s="3">
        <f t="shared" ref="K78:L78" si="33">B47</f>
        <v>6.9999999999999999E-6</v>
      </c>
      <c r="L78" s="3">
        <f t="shared" si="33"/>
        <v>9.9999999999999995E-8</v>
      </c>
      <c r="M78" s="3">
        <f t="shared" si="27"/>
        <v>2.4439102564102542E-25</v>
      </c>
      <c r="N78" s="3">
        <f t="shared" si="28"/>
        <v>1.4258874190205921E-26</v>
      </c>
    </row>
    <row r="79" spans="11:14" x14ac:dyDescent="0.5">
      <c r="K79" s="3">
        <f t="shared" ref="K79:L79" si="34">B48</f>
        <v>7.9999999999999996E-6</v>
      </c>
      <c r="L79" s="3">
        <f t="shared" si="34"/>
        <v>1.9999999999999999E-7</v>
      </c>
      <c r="M79" s="3">
        <f t="shared" si="27"/>
        <v>2.8044871794871703E-25</v>
      </c>
      <c r="N79" s="3">
        <f t="shared" si="28"/>
        <v>1.7344795300074238E-26</v>
      </c>
    </row>
    <row r="80" spans="11:14" x14ac:dyDescent="0.5">
      <c r="K80" s="3">
        <f t="shared" ref="K80:L80" si="35">B49</f>
        <v>9.0000000000000002E-6</v>
      </c>
      <c r="L80" s="3">
        <f t="shared" si="35"/>
        <v>1.9999999999999999E-7</v>
      </c>
      <c r="M80" s="3">
        <f t="shared" si="27"/>
        <v>3.1650641025640979E-25</v>
      </c>
      <c r="N80" s="3">
        <f t="shared" si="28"/>
        <v>1.9236266954469526E-26</v>
      </c>
    </row>
    <row r="81" spans="11:14" x14ac:dyDescent="0.5">
      <c r="K81" s="3">
        <f t="shared" ref="K81:L81" si="36">B50</f>
        <v>1.0000000000000001E-5</v>
      </c>
      <c r="L81" s="3">
        <f t="shared" si="36"/>
        <v>1.9999999999999999E-7</v>
      </c>
      <c r="M81" s="3">
        <f t="shared" si="27"/>
        <v>3.645833333333329E-25</v>
      </c>
      <c r="N81" s="3">
        <f t="shared" si="28"/>
        <v>2.1874999999999973E-26</v>
      </c>
    </row>
    <row r="82" spans="11:14" x14ac:dyDescent="0.5">
      <c r="K82" s="3"/>
      <c r="L82" s="3"/>
    </row>
    <row r="83" spans="11:14" x14ac:dyDescent="0.5">
      <c r="K83" s="3"/>
      <c r="L83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Layout" zoomScale="63" zoomScaleNormal="100" zoomScaleSheetLayoutView="116" zoomScalePageLayoutView="63" workbookViewId="0">
      <selection activeCell="H25" sqref="H25"/>
    </sheetView>
  </sheetViews>
  <sheetFormatPr defaultRowHeight="15.75" x14ac:dyDescent="0.5"/>
  <sheetData/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Resistor Crap</vt:lpstr>
      <vt:lpstr>Temperature Crap</vt:lpstr>
      <vt:lpstr>ShotNoise</vt:lpstr>
      <vt:lpstr>Print Crap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Green</dc:creator>
  <cp:lastModifiedBy>Adam Green</cp:lastModifiedBy>
  <cp:lastPrinted>2018-03-09T17:29:42Z</cp:lastPrinted>
  <dcterms:created xsi:type="dcterms:W3CDTF">2018-03-05T22:11:59Z</dcterms:created>
  <dcterms:modified xsi:type="dcterms:W3CDTF">2018-03-18T01:39:39Z</dcterms:modified>
</cp:coreProperties>
</file>