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Z:\001_ MUR Server\002 Virtual Farmer\003 Input Supppliers\001 RSA - IS\006 VIlla\"/>
    </mc:Choice>
  </mc:AlternateContent>
  <xr:revisionPtr revIDLastSave="0" documentId="13_ncr:1_{FBA37460-1556-426D-8BCA-84C1ADB8BB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psomming" sheetId="1" r:id="rId1"/>
    <sheet name="Winter bespuiting" sheetId="2" r:id="rId2"/>
    <sheet name="Vooropkoms" sheetId="3" r:id="rId3"/>
    <sheet name="Na-opkoms" sheetId="4" r:id="rId4"/>
    <sheet name="Pryse" sheetId="6" r:id="rId5"/>
  </sheets>
  <definedNames>
    <definedName name="_xlnm._FilterDatabase" localSheetId="0" hidden="1">Opsomming!$A$9:$S$20</definedName>
    <definedName name="_xlnm._FilterDatabase" localSheetId="4" hidden="1">Pryse!$C$10:$D$22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5" i="3" l="1"/>
  <c r="G26" i="3"/>
  <c r="G27" i="3"/>
  <c r="G28" i="3"/>
  <c r="G17" i="3"/>
  <c r="G18" i="3"/>
  <c r="G7" i="3"/>
  <c r="G8" i="3"/>
  <c r="G9" i="3"/>
  <c r="G10" i="3"/>
  <c r="G7" i="4"/>
  <c r="G8" i="4"/>
  <c r="G9" i="4"/>
  <c r="G10" i="4"/>
  <c r="G11" i="4"/>
  <c r="G12" i="4"/>
  <c r="G13" i="4"/>
  <c r="G6" i="4"/>
  <c r="G24" i="3"/>
  <c r="G16" i="3"/>
  <c r="G6" i="3"/>
  <c r="A12" i="6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Q40" i="1" l="1"/>
  <c r="R40" i="1" s="1"/>
  <c r="U40" i="1" s="1"/>
  <c r="S40" i="1"/>
  <c r="J40" i="1"/>
  <c r="K40" i="1" s="1"/>
  <c r="N40" i="1" s="1"/>
  <c r="L40" i="1"/>
  <c r="C40" i="1"/>
  <c r="D40" i="1" s="1"/>
  <c r="G40" i="1" s="1"/>
  <c r="E40" i="1"/>
  <c r="Q36" i="1"/>
  <c r="R36" i="1" s="1"/>
  <c r="U36" i="1" s="1"/>
  <c r="S36" i="1"/>
  <c r="J36" i="1"/>
  <c r="K36" i="1" s="1"/>
  <c r="N36" i="1" s="1"/>
  <c r="L36" i="1"/>
  <c r="C36" i="1"/>
  <c r="D36" i="1" s="1"/>
  <c r="G36" i="1" s="1"/>
  <c r="E36" i="1"/>
  <c r="Q23" i="1"/>
  <c r="R23" i="1" s="1"/>
  <c r="U23" i="1" s="1"/>
  <c r="S23" i="1"/>
  <c r="J23" i="1"/>
  <c r="K23" i="1" s="1"/>
  <c r="N23" i="1" s="1"/>
  <c r="L23" i="1"/>
  <c r="C23" i="1"/>
  <c r="D23" i="1" s="1"/>
  <c r="G23" i="1" s="1"/>
  <c r="E23" i="1"/>
  <c r="Q19" i="1"/>
  <c r="R19" i="1" s="1"/>
  <c r="U19" i="1" s="1"/>
  <c r="S19" i="1"/>
  <c r="J19" i="1"/>
  <c r="K19" i="1" s="1"/>
  <c r="N19" i="1" s="1"/>
  <c r="L19" i="1"/>
  <c r="C19" i="1"/>
  <c r="D19" i="1" s="1"/>
  <c r="G19" i="1" s="1"/>
  <c r="E19" i="1"/>
  <c r="Q54" i="1"/>
  <c r="R54" i="1" s="1"/>
  <c r="U54" i="1" s="1"/>
  <c r="S54" i="1"/>
  <c r="J54" i="1"/>
  <c r="K54" i="1" s="1"/>
  <c r="N54" i="1" s="1"/>
  <c r="L54" i="1"/>
  <c r="C54" i="1"/>
  <c r="D54" i="1" s="1"/>
  <c r="G54" i="1" s="1"/>
  <c r="E54" i="1"/>
  <c r="Q52" i="1"/>
  <c r="R52" i="1" s="1"/>
  <c r="U52" i="1" s="1"/>
  <c r="S52" i="1"/>
  <c r="J52" i="1"/>
  <c r="K52" i="1" s="1"/>
  <c r="N52" i="1" s="1"/>
  <c r="L52" i="1"/>
  <c r="C52" i="1"/>
  <c r="D52" i="1" s="1"/>
  <c r="G52" i="1" s="1"/>
  <c r="E52" i="1"/>
  <c r="Q48" i="1"/>
  <c r="R48" i="1" s="1"/>
  <c r="U48" i="1" s="1"/>
  <c r="Q49" i="1"/>
  <c r="R49" i="1" s="1"/>
  <c r="U49" i="1" s="1"/>
  <c r="Q50" i="1"/>
  <c r="R50" i="1" s="1"/>
  <c r="U50" i="1" s="1"/>
  <c r="S48" i="1"/>
  <c r="S49" i="1"/>
  <c r="S50" i="1"/>
  <c r="J48" i="1"/>
  <c r="K48" i="1" s="1"/>
  <c r="N48" i="1" s="1"/>
  <c r="J49" i="1"/>
  <c r="K49" i="1" s="1"/>
  <c r="N49" i="1" s="1"/>
  <c r="J50" i="1"/>
  <c r="K50" i="1" s="1"/>
  <c r="N50" i="1" s="1"/>
  <c r="L48" i="1"/>
  <c r="L49" i="1"/>
  <c r="L50" i="1"/>
  <c r="C48" i="1"/>
  <c r="D48" i="1" s="1"/>
  <c r="G48" i="1" s="1"/>
  <c r="C49" i="1"/>
  <c r="D49" i="1" s="1"/>
  <c r="G49" i="1" s="1"/>
  <c r="C50" i="1"/>
  <c r="D50" i="1" s="1"/>
  <c r="G50" i="1" s="1"/>
  <c r="E48" i="1"/>
  <c r="E49" i="1"/>
  <c r="E50" i="1"/>
  <c r="Q45" i="1"/>
  <c r="R45" i="1" s="1"/>
  <c r="U45" i="1" s="1"/>
  <c r="Q46" i="1"/>
  <c r="R46" i="1" s="1"/>
  <c r="U46" i="1" s="1"/>
  <c r="S45" i="1"/>
  <c r="S46" i="1"/>
  <c r="J45" i="1"/>
  <c r="K45" i="1" s="1"/>
  <c r="N45" i="1" s="1"/>
  <c r="J46" i="1"/>
  <c r="K46" i="1" s="1"/>
  <c r="N46" i="1" s="1"/>
  <c r="L45" i="1"/>
  <c r="L46" i="1"/>
  <c r="C45" i="1"/>
  <c r="D45" i="1" s="1"/>
  <c r="G45" i="1" s="1"/>
  <c r="C46" i="1"/>
  <c r="D46" i="1" s="1"/>
  <c r="G46" i="1" s="1"/>
  <c r="E45" i="1"/>
  <c r="E46" i="1"/>
  <c r="E10" i="1"/>
  <c r="E11" i="1"/>
  <c r="E12" i="1"/>
  <c r="E13" i="1"/>
  <c r="E14" i="1"/>
  <c r="E15" i="1"/>
  <c r="E16" i="1"/>
  <c r="E17" i="1"/>
  <c r="E18" i="1"/>
  <c r="E20" i="1"/>
  <c r="E21" i="1"/>
  <c r="E22" i="1"/>
  <c r="E27" i="1"/>
  <c r="E28" i="1"/>
  <c r="E29" i="1"/>
  <c r="E30" i="1"/>
  <c r="E31" i="1"/>
  <c r="E32" i="1"/>
  <c r="E33" i="1"/>
  <c r="E34" i="1"/>
  <c r="E35" i="1"/>
  <c r="E37" i="1"/>
  <c r="E38" i="1"/>
  <c r="E39" i="1"/>
  <c r="C27" i="1"/>
  <c r="D27" i="1" s="1"/>
  <c r="C28" i="1"/>
  <c r="D28" i="1" s="1"/>
  <c r="G28" i="1" s="1"/>
  <c r="C29" i="1"/>
  <c r="D29" i="1" s="1"/>
  <c r="G29" i="1" s="1"/>
  <c r="C30" i="1"/>
  <c r="D30" i="1" s="1"/>
  <c r="G30" i="1" s="1"/>
  <c r="C31" i="1"/>
  <c r="D31" i="1" s="1"/>
  <c r="G31" i="1" s="1"/>
  <c r="C32" i="1"/>
  <c r="D32" i="1" s="1"/>
  <c r="G32" i="1" s="1"/>
  <c r="C33" i="1"/>
  <c r="D33" i="1" s="1"/>
  <c r="G33" i="1" s="1"/>
  <c r="C34" i="1"/>
  <c r="D34" i="1" s="1"/>
  <c r="G34" i="1" s="1"/>
  <c r="C35" i="1"/>
  <c r="D35" i="1" s="1"/>
  <c r="G35" i="1" s="1"/>
  <c r="C37" i="1"/>
  <c r="D37" i="1" s="1"/>
  <c r="G37" i="1" s="1"/>
  <c r="C38" i="1"/>
  <c r="D38" i="1" s="1"/>
  <c r="G38" i="1" s="1"/>
  <c r="C39" i="1"/>
  <c r="D39" i="1" s="1"/>
  <c r="G39" i="1" s="1"/>
  <c r="Q27" i="1"/>
  <c r="R27" i="1" s="1"/>
  <c r="U27" i="1" s="1"/>
  <c r="Q28" i="1"/>
  <c r="R28" i="1" s="1"/>
  <c r="U28" i="1" s="1"/>
  <c r="S27" i="1"/>
  <c r="S28" i="1"/>
  <c r="J27" i="1"/>
  <c r="K27" i="1" s="1"/>
  <c r="N27" i="1" s="1"/>
  <c r="J28" i="1"/>
  <c r="K28" i="1" s="1"/>
  <c r="N28" i="1" s="1"/>
  <c r="L27" i="1"/>
  <c r="L28" i="1"/>
  <c r="S44" i="1"/>
  <c r="S57" i="1"/>
  <c r="S47" i="1"/>
  <c r="S51" i="1"/>
  <c r="S53" i="1"/>
  <c r="S55" i="1"/>
  <c r="S56" i="1"/>
  <c r="Q44" i="1"/>
  <c r="R44" i="1" s="1"/>
  <c r="U44" i="1" s="1"/>
  <c r="Q57" i="1"/>
  <c r="R57" i="1" s="1"/>
  <c r="U57" i="1" s="1"/>
  <c r="Q47" i="1"/>
  <c r="R47" i="1" s="1"/>
  <c r="U47" i="1" s="1"/>
  <c r="Q51" i="1"/>
  <c r="R51" i="1" s="1"/>
  <c r="U51" i="1" s="1"/>
  <c r="Q53" i="1"/>
  <c r="R53" i="1" s="1"/>
  <c r="U53" i="1" s="1"/>
  <c r="Q55" i="1"/>
  <c r="R55" i="1" s="1"/>
  <c r="U55" i="1" s="1"/>
  <c r="Q56" i="1"/>
  <c r="R56" i="1" s="1"/>
  <c r="U56" i="1" s="1"/>
  <c r="Q29" i="1"/>
  <c r="R29" i="1" s="1"/>
  <c r="Q32" i="1"/>
  <c r="R32" i="1" s="1"/>
  <c r="U32" i="1" s="1"/>
  <c r="Q33" i="1"/>
  <c r="R33" i="1" s="1"/>
  <c r="U33" i="1" s="1"/>
  <c r="Q34" i="1"/>
  <c r="R34" i="1" s="1"/>
  <c r="U34" i="1" s="1"/>
  <c r="Q30" i="1"/>
  <c r="R30" i="1" s="1"/>
  <c r="U30" i="1" s="1"/>
  <c r="Q38" i="1"/>
  <c r="R38" i="1" s="1"/>
  <c r="U38" i="1" s="1"/>
  <c r="Q37" i="1"/>
  <c r="R37" i="1" s="1"/>
  <c r="U37" i="1" s="1"/>
  <c r="Q31" i="1"/>
  <c r="R31" i="1" s="1"/>
  <c r="U31" i="1" s="1"/>
  <c r="Q35" i="1"/>
  <c r="R35" i="1" s="1"/>
  <c r="U35" i="1" s="1"/>
  <c r="Q39" i="1"/>
  <c r="R39" i="1" s="1"/>
  <c r="U39" i="1" s="1"/>
  <c r="S34" i="1"/>
  <c r="S30" i="1"/>
  <c r="S38" i="1"/>
  <c r="S37" i="1"/>
  <c r="S31" i="1"/>
  <c r="S35" i="1"/>
  <c r="S39" i="1"/>
  <c r="J34" i="1"/>
  <c r="K34" i="1" s="1"/>
  <c r="N34" i="1" s="1"/>
  <c r="J30" i="1"/>
  <c r="K30" i="1" s="1"/>
  <c r="N30" i="1" s="1"/>
  <c r="J38" i="1"/>
  <c r="K38" i="1" s="1"/>
  <c r="N38" i="1" s="1"/>
  <c r="J37" i="1"/>
  <c r="K37" i="1" s="1"/>
  <c r="N37" i="1" s="1"/>
  <c r="J31" i="1"/>
  <c r="K31" i="1" s="1"/>
  <c r="N31" i="1" s="1"/>
  <c r="J35" i="1"/>
  <c r="K35" i="1" s="1"/>
  <c r="N35" i="1" s="1"/>
  <c r="J39" i="1"/>
  <c r="K39" i="1" s="1"/>
  <c r="N39" i="1" s="1"/>
  <c r="L34" i="1"/>
  <c r="L30" i="1"/>
  <c r="L38" i="1"/>
  <c r="L37" i="1"/>
  <c r="L31" i="1"/>
  <c r="L35" i="1"/>
  <c r="L39" i="1"/>
  <c r="Q18" i="1"/>
  <c r="R18" i="1" s="1"/>
  <c r="U18" i="1" s="1"/>
  <c r="S18" i="1"/>
  <c r="J18" i="1"/>
  <c r="K18" i="1" s="1"/>
  <c r="N18" i="1" s="1"/>
  <c r="L18" i="1"/>
  <c r="C18" i="1"/>
  <c r="D18" i="1" s="1"/>
  <c r="G18" i="1" s="1"/>
  <c r="S10" i="1"/>
  <c r="S11" i="1"/>
  <c r="S12" i="1"/>
  <c r="S13" i="1"/>
  <c r="S14" i="1"/>
  <c r="S15" i="1"/>
  <c r="S16" i="1"/>
  <c r="S17" i="1"/>
  <c r="S20" i="1"/>
  <c r="S21" i="1"/>
  <c r="S22" i="1"/>
  <c r="Q10" i="1"/>
  <c r="R10" i="1" s="1"/>
  <c r="U10" i="1" s="1"/>
  <c r="Q11" i="1"/>
  <c r="R11" i="1" s="1"/>
  <c r="U11" i="1" s="1"/>
  <c r="Q12" i="1"/>
  <c r="R12" i="1" s="1"/>
  <c r="U12" i="1" s="1"/>
  <c r="Q13" i="1"/>
  <c r="R13" i="1" s="1"/>
  <c r="U13" i="1" s="1"/>
  <c r="Q14" i="1"/>
  <c r="R14" i="1" s="1"/>
  <c r="U14" i="1" s="1"/>
  <c r="Q15" i="1"/>
  <c r="R15" i="1" s="1"/>
  <c r="U15" i="1" s="1"/>
  <c r="Q16" i="1"/>
  <c r="R16" i="1" s="1"/>
  <c r="U16" i="1" s="1"/>
  <c r="Q17" i="1"/>
  <c r="R17" i="1" s="1"/>
  <c r="U17" i="1" s="1"/>
  <c r="Q20" i="1"/>
  <c r="R20" i="1" s="1"/>
  <c r="U20" i="1" s="1"/>
  <c r="Q21" i="1"/>
  <c r="R21" i="1" s="1"/>
  <c r="U21" i="1" s="1"/>
  <c r="Q22" i="1"/>
  <c r="R22" i="1" s="1"/>
  <c r="U22" i="1" s="1"/>
  <c r="S33" i="1"/>
  <c r="S32" i="1"/>
  <c r="S29" i="1"/>
  <c r="L29" i="1"/>
  <c r="L32" i="1"/>
  <c r="L33" i="1"/>
  <c r="J29" i="1"/>
  <c r="K29" i="1" s="1"/>
  <c r="J32" i="1"/>
  <c r="K32" i="1" s="1"/>
  <c r="N32" i="1" s="1"/>
  <c r="J33" i="1"/>
  <c r="K33" i="1" s="1"/>
  <c r="N33" i="1" s="1"/>
  <c r="L44" i="1"/>
  <c r="L57" i="1"/>
  <c r="L47" i="1"/>
  <c r="L51" i="1"/>
  <c r="L53" i="1"/>
  <c r="L55" i="1"/>
  <c r="L56" i="1"/>
  <c r="J44" i="1"/>
  <c r="K44" i="1" s="1"/>
  <c r="J57" i="1"/>
  <c r="K57" i="1" s="1"/>
  <c r="N57" i="1" s="1"/>
  <c r="J47" i="1"/>
  <c r="K47" i="1" s="1"/>
  <c r="N47" i="1" s="1"/>
  <c r="J51" i="1"/>
  <c r="K51" i="1" s="1"/>
  <c r="N51" i="1" s="1"/>
  <c r="J53" i="1"/>
  <c r="K53" i="1" s="1"/>
  <c r="N53" i="1" s="1"/>
  <c r="J55" i="1"/>
  <c r="K55" i="1" s="1"/>
  <c r="N55" i="1" s="1"/>
  <c r="J56" i="1"/>
  <c r="K56" i="1" s="1"/>
  <c r="N56" i="1" s="1"/>
  <c r="L10" i="1"/>
  <c r="L11" i="1"/>
  <c r="L12" i="1"/>
  <c r="L13" i="1"/>
  <c r="L14" i="1"/>
  <c r="L15" i="1"/>
  <c r="L16" i="1"/>
  <c r="L17" i="1"/>
  <c r="L20" i="1"/>
  <c r="L21" i="1"/>
  <c r="L22" i="1"/>
  <c r="J10" i="1"/>
  <c r="K10" i="1" s="1"/>
  <c r="J11" i="1"/>
  <c r="K11" i="1" s="1"/>
  <c r="N11" i="1" s="1"/>
  <c r="J12" i="1"/>
  <c r="K12" i="1" s="1"/>
  <c r="N12" i="1" s="1"/>
  <c r="J13" i="1"/>
  <c r="K13" i="1" s="1"/>
  <c r="N13" i="1" s="1"/>
  <c r="J14" i="1"/>
  <c r="K14" i="1" s="1"/>
  <c r="N14" i="1" s="1"/>
  <c r="J15" i="1"/>
  <c r="K15" i="1" s="1"/>
  <c r="N15" i="1" s="1"/>
  <c r="J16" i="1"/>
  <c r="K16" i="1" s="1"/>
  <c r="N16" i="1" s="1"/>
  <c r="J17" i="1"/>
  <c r="K17" i="1" s="1"/>
  <c r="N17" i="1" s="1"/>
  <c r="J20" i="1"/>
  <c r="K20" i="1" s="1"/>
  <c r="N20" i="1" s="1"/>
  <c r="J21" i="1"/>
  <c r="K21" i="1" s="1"/>
  <c r="N21" i="1" s="1"/>
  <c r="J22" i="1"/>
  <c r="K22" i="1" s="1"/>
  <c r="N22" i="1" s="1"/>
  <c r="X36" i="1" l="1"/>
  <c r="X23" i="1"/>
  <c r="Z40" i="1"/>
  <c r="W40" i="1" s="1"/>
  <c r="X19" i="1"/>
  <c r="AC19" i="1" s="1"/>
  <c r="X40" i="1"/>
  <c r="Z36" i="1"/>
  <c r="W36" i="1" s="1"/>
  <c r="Z23" i="1"/>
  <c r="Z19" i="1"/>
  <c r="X50" i="1"/>
  <c r="Z49" i="1"/>
  <c r="W49" i="1" s="1"/>
  <c r="X49" i="1"/>
  <c r="Z50" i="1"/>
  <c r="W50" i="1" s="1"/>
  <c r="Z46" i="1"/>
  <c r="W46" i="1" s="1"/>
  <c r="X46" i="1"/>
  <c r="X27" i="1"/>
  <c r="G27" i="1"/>
  <c r="G41" i="1" s="1"/>
  <c r="D41" i="1"/>
  <c r="X28" i="1"/>
  <c r="X31" i="1"/>
  <c r="X35" i="1"/>
  <c r="X29" i="1"/>
  <c r="Z35" i="1"/>
  <c r="Z33" i="1"/>
  <c r="X33" i="1"/>
  <c r="Z37" i="1"/>
  <c r="X37" i="1"/>
  <c r="X30" i="1"/>
  <c r="X34" i="1"/>
  <c r="X32" i="1"/>
  <c r="X38" i="1"/>
  <c r="Z34" i="1"/>
  <c r="Z39" i="1"/>
  <c r="X39" i="1"/>
  <c r="Z38" i="1"/>
  <c r="Z32" i="1"/>
  <c r="R58" i="1"/>
  <c r="U58" i="1"/>
  <c r="R41" i="1"/>
  <c r="K41" i="1"/>
  <c r="U24" i="1"/>
  <c r="R24" i="1"/>
  <c r="U29" i="1"/>
  <c r="U41" i="1" s="1"/>
  <c r="N29" i="1"/>
  <c r="Z31" i="1" s="1"/>
  <c r="N10" i="1"/>
  <c r="N24" i="1" s="1"/>
  <c r="K24" i="1"/>
  <c r="K58" i="1"/>
  <c r="N44" i="1"/>
  <c r="N58" i="1" s="1"/>
  <c r="AC23" i="1" l="1"/>
  <c r="W19" i="1"/>
  <c r="AE19" i="1"/>
  <c r="AB19" i="1" s="1"/>
  <c r="W23" i="1"/>
  <c r="AE23" i="1"/>
  <c r="AB23" i="1" s="1"/>
  <c r="Z30" i="1"/>
  <c r="W30" i="1" s="1"/>
  <c r="Z28" i="1"/>
  <c r="W28" i="1" s="1"/>
  <c r="Z27" i="1"/>
  <c r="W27" i="1" s="1"/>
  <c r="W31" i="1"/>
  <c r="W37" i="1"/>
  <c r="W35" i="1"/>
  <c r="W34" i="1"/>
  <c r="W33" i="1"/>
  <c r="W38" i="1"/>
  <c r="W39" i="1"/>
  <c r="W32" i="1"/>
  <c r="N41" i="1"/>
  <c r="Z29" i="1"/>
  <c r="Z41" i="1" l="1"/>
  <c r="W29" i="1"/>
  <c r="C10" i="1" l="1"/>
  <c r="F24" i="1"/>
  <c r="E44" i="1"/>
  <c r="E57" i="1"/>
  <c r="E47" i="1"/>
  <c r="X48" i="1" s="1"/>
  <c r="E51" i="1"/>
  <c r="X52" i="1" s="1"/>
  <c r="E53" i="1"/>
  <c r="X54" i="1" s="1"/>
  <c r="E55" i="1"/>
  <c r="E56" i="1"/>
  <c r="C11" i="1"/>
  <c r="C12" i="1"/>
  <c r="C13" i="1"/>
  <c r="C14" i="1"/>
  <c r="C15" i="1"/>
  <c r="C16" i="1"/>
  <c r="C17" i="1"/>
  <c r="C20" i="1"/>
  <c r="C21" i="1"/>
  <c r="C22" i="1"/>
  <c r="C44" i="1"/>
  <c r="D44" i="1" s="1"/>
  <c r="C57" i="1"/>
  <c r="D57" i="1" s="1"/>
  <c r="G57" i="1" s="1"/>
  <c r="C47" i="1"/>
  <c r="D47" i="1" s="1"/>
  <c r="G47" i="1" s="1"/>
  <c r="Z48" i="1" s="1"/>
  <c r="C51" i="1"/>
  <c r="D51" i="1" s="1"/>
  <c r="G51" i="1" s="1"/>
  <c r="Z52" i="1" s="1"/>
  <c r="W52" i="1" s="1"/>
  <c r="C53" i="1"/>
  <c r="D53" i="1" s="1"/>
  <c r="G53" i="1" s="1"/>
  <c r="Z54" i="1" s="1"/>
  <c r="C55" i="1"/>
  <c r="D55" i="1" s="1"/>
  <c r="G55" i="1" s="1"/>
  <c r="C56" i="1"/>
  <c r="D56" i="1" s="1"/>
  <c r="G56" i="1" s="1"/>
  <c r="C3" i="1"/>
  <c r="W48" i="1" l="1"/>
  <c r="W54" i="1"/>
  <c r="X44" i="1"/>
  <c r="X45" i="1"/>
  <c r="X57" i="1"/>
  <c r="AH23" i="1" s="1"/>
  <c r="X51" i="1"/>
  <c r="Z57" i="1"/>
  <c r="AJ23" i="1" s="1"/>
  <c r="Z53" i="1"/>
  <c r="AJ19" i="1" s="1"/>
  <c r="X55" i="1"/>
  <c r="X56" i="1"/>
  <c r="Z55" i="1"/>
  <c r="X53" i="1"/>
  <c r="AH19" i="1" s="1"/>
  <c r="X47" i="1"/>
  <c r="Z47" i="1"/>
  <c r="Z56" i="1"/>
  <c r="X17" i="1"/>
  <c r="AC17" i="1" s="1"/>
  <c r="X18" i="1"/>
  <c r="AC18" i="1" s="1"/>
  <c r="AH18" i="1" s="1"/>
  <c r="Z18" i="1"/>
  <c r="AE18" i="1" s="1"/>
  <c r="AJ18" i="1" s="1"/>
  <c r="G44" i="1"/>
  <c r="D58" i="1"/>
  <c r="X10" i="1"/>
  <c r="AC10" i="1" s="1"/>
  <c r="AH10" i="1" s="1"/>
  <c r="X20" i="1"/>
  <c r="AC20" i="1" s="1"/>
  <c r="AH20" i="1" s="1"/>
  <c r="X15" i="1"/>
  <c r="AC15" i="1" s="1"/>
  <c r="AH15" i="1" s="1"/>
  <c r="X22" i="1"/>
  <c r="AC22" i="1" s="1"/>
  <c r="X12" i="1"/>
  <c r="AC12" i="1" s="1"/>
  <c r="AH12" i="1" s="1"/>
  <c r="X13" i="1"/>
  <c r="AC13" i="1" s="1"/>
  <c r="X21" i="1"/>
  <c r="AC21" i="1" s="1"/>
  <c r="X11" i="1"/>
  <c r="AC11" i="1" s="1"/>
  <c r="AH11" i="1" s="1"/>
  <c r="X16" i="1"/>
  <c r="AC16" i="1" s="1"/>
  <c r="AH16" i="1" s="1"/>
  <c r="X14" i="1"/>
  <c r="AC14" i="1" s="1"/>
  <c r="AH14" i="1" s="1"/>
  <c r="D21" i="1"/>
  <c r="D20" i="1"/>
  <c r="D22" i="1"/>
  <c r="C4" i="1"/>
  <c r="D17" i="1"/>
  <c r="D30" i="4"/>
  <c r="D17" i="4"/>
  <c r="D4" i="4"/>
  <c r="D22" i="3"/>
  <c r="D14" i="3"/>
  <c r="D4" i="3"/>
  <c r="D11" i="2"/>
  <c r="D3" i="2"/>
  <c r="AH13" i="1" l="1"/>
  <c r="AH22" i="1"/>
  <c r="AH17" i="1"/>
  <c r="AG23" i="1"/>
  <c r="AG19" i="1"/>
  <c r="AH21" i="1"/>
  <c r="AG18" i="1"/>
  <c r="Z51" i="1"/>
  <c r="W51" i="1" s="1"/>
  <c r="Z45" i="1"/>
  <c r="W45" i="1" s="1"/>
  <c r="W55" i="1"/>
  <c r="AB18" i="1"/>
  <c r="G22" i="1"/>
  <c r="G20" i="1"/>
  <c r="Z20" i="1" s="1"/>
  <c r="G21" i="1"/>
  <c r="G17" i="1"/>
  <c r="Z17" i="1" s="1"/>
  <c r="W17" i="1" s="1"/>
  <c r="W57" i="1"/>
  <c r="W56" i="1"/>
  <c r="W53" i="1"/>
  <c r="W47" i="1"/>
  <c r="G58" i="1"/>
  <c r="Z44" i="1"/>
  <c r="W18" i="1"/>
  <c r="D12" i="1"/>
  <c r="G12" i="1" s="1"/>
  <c r="D16" i="1"/>
  <c r="D15" i="1"/>
  <c r="D10" i="1"/>
  <c r="G10" i="1" s="1"/>
  <c r="D14" i="1"/>
  <c r="D13" i="1"/>
  <c r="D11" i="1"/>
  <c r="G36" i="4"/>
  <c r="G35" i="4"/>
  <c r="G34" i="4"/>
  <c r="G33" i="4"/>
  <c r="G32" i="4"/>
  <c r="G26" i="4"/>
  <c r="G25" i="4"/>
  <c r="G24" i="4"/>
  <c r="G23" i="4"/>
  <c r="G22" i="4"/>
  <c r="H22" i="4" s="1"/>
  <c r="D22" i="4" s="1"/>
  <c r="G21" i="4"/>
  <c r="H21" i="4" s="1"/>
  <c r="D21" i="4" s="1"/>
  <c r="G20" i="4"/>
  <c r="G19" i="4"/>
  <c r="H11" i="4"/>
  <c r="H10" i="4"/>
  <c r="D10" i="4" s="1"/>
  <c r="H9" i="4"/>
  <c r="D9" i="4" s="1"/>
  <c r="H8" i="4"/>
  <c r="D8" i="4" s="1"/>
  <c r="G16" i="2"/>
  <c r="G15" i="2"/>
  <c r="G14" i="2"/>
  <c r="G13" i="2"/>
  <c r="G8" i="2"/>
  <c r="G7" i="2"/>
  <c r="G6" i="2"/>
  <c r="G5" i="2"/>
  <c r="F21" i="4"/>
  <c r="F22" i="4"/>
  <c r="F8" i="4"/>
  <c r="F9" i="4"/>
  <c r="F10" i="4"/>
  <c r="F11" i="4"/>
  <c r="Z22" i="1" l="1"/>
  <c r="AE22" i="1" s="1"/>
  <c r="Z21" i="1"/>
  <c r="AE21" i="1" s="1"/>
  <c r="AE20" i="1"/>
  <c r="W20" i="1"/>
  <c r="AE17" i="1"/>
  <c r="G15" i="1"/>
  <c r="Z15" i="1" s="1"/>
  <c r="G11" i="1"/>
  <c r="Z11" i="1" s="1"/>
  <c r="G13" i="1"/>
  <c r="Z13" i="1" s="1"/>
  <c r="G16" i="1"/>
  <c r="Z16" i="1" s="1"/>
  <c r="G14" i="1"/>
  <c r="Z14" i="1" s="1"/>
  <c r="W44" i="1"/>
  <c r="Z58" i="1"/>
  <c r="D24" i="1"/>
  <c r="Z12" i="1"/>
  <c r="Z10" i="1"/>
  <c r="AE10" i="1" s="1"/>
  <c r="H26" i="4"/>
  <c r="D26" i="4" s="1"/>
  <c r="H25" i="4"/>
  <c r="D25" i="4" s="1"/>
  <c r="F26" i="4"/>
  <c r="F25" i="4"/>
  <c r="H23" i="4"/>
  <c r="D23" i="4" s="1"/>
  <c r="F23" i="4"/>
  <c r="H13" i="4"/>
  <c r="D13" i="4" s="1"/>
  <c r="F13" i="4"/>
  <c r="H12" i="4"/>
  <c r="D12" i="4" s="1"/>
  <c r="F12" i="4"/>
  <c r="H36" i="4"/>
  <c r="D36" i="4" s="1"/>
  <c r="F36" i="4"/>
  <c r="H35" i="4"/>
  <c r="D35" i="4" s="1"/>
  <c r="F35" i="4"/>
  <c r="H34" i="4"/>
  <c r="D34" i="4" s="1"/>
  <c r="F34" i="4"/>
  <c r="H33" i="4"/>
  <c r="D33" i="4" s="1"/>
  <c r="F33" i="4"/>
  <c r="H32" i="4"/>
  <c r="D32" i="4" s="1"/>
  <c r="F32" i="4"/>
  <c r="H24" i="4"/>
  <c r="D24" i="4" s="1"/>
  <c r="F24" i="4"/>
  <c r="H20" i="4"/>
  <c r="D20" i="4" s="1"/>
  <c r="F20" i="4"/>
  <c r="H19" i="4"/>
  <c r="D19" i="4" s="1"/>
  <c r="F19" i="4"/>
  <c r="D11" i="4"/>
  <c r="H7" i="4"/>
  <c r="D7" i="4" s="1"/>
  <c r="F7" i="4"/>
  <c r="H6" i="4"/>
  <c r="D6" i="4" s="1"/>
  <c r="F6" i="4"/>
  <c r="H25" i="3"/>
  <c r="D25" i="3" s="1"/>
  <c r="H26" i="3"/>
  <c r="D26" i="3" s="1"/>
  <c r="H27" i="3"/>
  <c r="D27" i="3" s="1"/>
  <c r="H28" i="3"/>
  <c r="D28" i="3" s="1"/>
  <c r="F25" i="3"/>
  <c r="F26" i="3"/>
  <c r="F27" i="3"/>
  <c r="F28" i="3"/>
  <c r="H7" i="3"/>
  <c r="D7" i="3" s="1"/>
  <c r="H8" i="3"/>
  <c r="D8" i="3" s="1"/>
  <c r="H9" i="3"/>
  <c r="D9" i="3" s="1"/>
  <c r="H10" i="3"/>
  <c r="D10" i="3" s="1"/>
  <c r="F10" i="3"/>
  <c r="F7" i="3"/>
  <c r="F8" i="3"/>
  <c r="F9" i="3"/>
  <c r="H18" i="3"/>
  <c r="D18" i="3" s="1"/>
  <c r="F18" i="3"/>
  <c r="H17" i="3"/>
  <c r="D17" i="3" s="1"/>
  <c r="F17" i="3"/>
  <c r="H16" i="3"/>
  <c r="D16" i="3" s="1"/>
  <c r="F16" i="3"/>
  <c r="H24" i="3"/>
  <c r="D24" i="3" s="1"/>
  <c r="F24" i="3"/>
  <c r="H6" i="3"/>
  <c r="D6" i="3" s="1"/>
  <c r="F6" i="3"/>
  <c r="H14" i="2"/>
  <c r="D14" i="2" s="1"/>
  <c r="F14" i="2"/>
  <c r="F15" i="2"/>
  <c r="F16" i="2"/>
  <c r="F13" i="2"/>
  <c r="H16" i="2"/>
  <c r="D16" i="2" s="1"/>
  <c r="H15" i="2"/>
  <c r="D15" i="2" s="1"/>
  <c r="H13" i="2"/>
  <c r="D13" i="2" s="1"/>
  <c r="F6" i="2"/>
  <c r="F7" i="2"/>
  <c r="F8" i="2"/>
  <c r="F5" i="2"/>
  <c r="H6" i="2"/>
  <c r="D6" i="2" s="1"/>
  <c r="H7" i="2"/>
  <c r="D7" i="2" s="1"/>
  <c r="H8" i="2"/>
  <c r="D8" i="2" s="1"/>
  <c r="H5" i="2"/>
  <c r="D5" i="2" s="1"/>
  <c r="AB10" i="1" l="1"/>
  <c r="AJ10" i="1"/>
  <c r="AB17" i="1"/>
  <c r="AJ17" i="1"/>
  <c r="AG17" i="1" s="1"/>
  <c r="AB20" i="1"/>
  <c r="AJ20" i="1"/>
  <c r="AG20" i="1" s="1"/>
  <c r="AB21" i="1"/>
  <c r="AJ21" i="1"/>
  <c r="AG21" i="1" s="1"/>
  <c r="AB22" i="1"/>
  <c r="AJ22" i="1"/>
  <c r="AG22" i="1" s="1"/>
  <c r="W22" i="1"/>
  <c r="W21" i="1"/>
  <c r="W11" i="1"/>
  <c r="AE11" i="1"/>
  <c r="W15" i="1"/>
  <c r="AE15" i="1"/>
  <c r="W12" i="1"/>
  <c r="AE12" i="1"/>
  <c r="W13" i="1"/>
  <c r="AE13" i="1"/>
  <c r="AJ13" i="1" s="1"/>
  <c r="AG13" i="1" s="1"/>
  <c r="W16" i="1"/>
  <c r="AE16" i="1"/>
  <c r="W14" i="1"/>
  <c r="AE14" i="1"/>
  <c r="W10" i="1"/>
  <c r="Z24" i="1"/>
  <c r="G24" i="1"/>
  <c r="D9" i="2"/>
  <c r="D27" i="4"/>
  <c r="D14" i="4"/>
  <c r="D37" i="4"/>
  <c r="D11" i="3"/>
  <c r="D29" i="3"/>
  <c r="D19" i="3"/>
  <c r="D17" i="2"/>
  <c r="AB14" i="1" l="1"/>
  <c r="AJ14" i="1"/>
  <c r="AG14" i="1" s="1"/>
  <c r="AB16" i="1"/>
  <c r="AJ16" i="1"/>
  <c r="AG16" i="1" s="1"/>
  <c r="AB15" i="1"/>
  <c r="AJ15" i="1"/>
  <c r="AG15" i="1" s="1"/>
  <c r="AB11" i="1"/>
  <c r="AJ11" i="1"/>
  <c r="AG11" i="1" s="1"/>
  <c r="AB12" i="1"/>
  <c r="AJ12" i="1"/>
  <c r="AG12" i="1" s="1"/>
  <c r="AG10" i="1"/>
  <c r="AE24" i="1"/>
  <c r="AB13" i="1"/>
  <c r="AJ24" i="1" l="1"/>
</calcChain>
</file>

<file path=xl/sharedStrings.xml><?xml version="1.0" encoding="utf-8"?>
<sst xmlns="http://schemas.openxmlformats.org/spreadsheetml/2006/main" count="299" uniqueCount="72">
  <si>
    <t>Mielie-lande</t>
  </si>
  <si>
    <t>Glygran 710</t>
  </si>
  <si>
    <t>Produk</t>
  </si>
  <si>
    <t>Volume</t>
  </si>
  <si>
    <t>Dosis/Ha</t>
  </si>
  <si>
    <t>Prys</t>
  </si>
  <si>
    <t>Koste per Ha</t>
  </si>
  <si>
    <t>Koste totaal</t>
  </si>
  <si>
    <t>2.4 D Amien</t>
  </si>
  <si>
    <t>Velocity Dry (AMS)</t>
  </si>
  <si>
    <t>Villa 51 (Interlock)</t>
  </si>
  <si>
    <t>Sojaboon lande</t>
  </si>
  <si>
    <t>Totale Ha</t>
  </si>
  <si>
    <t>Totale kostes</t>
  </si>
  <si>
    <t>Cantron 480 SC</t>
  </si>
  <si>
    <t>Metalachlor 915</t>
  </si>
  <si>
    <t>Terbucide plus 900 WDG</t>
  </si>
  <si>
    <t>Atrazine 500</t>
  </si>
  <si>
    <t>Lambda Secure 106 CS</t>
  </si>
  <si>
    <t>Metalachlor 960</t>
  </si>
  <si>
    <t>Zeona</t>
  </si>
  <si>
    <t>Metolachlor 960</t>
  </si>
  <si>
    <t>Lambda 50 EC</t>
  </si>
  <si>
    <t>Villa 51</t>
  </si>
  <si>
    <t>Mycoblock</t>
  </si>
  <si>
    <t>Style 750 WDG</t>
  </si>
  <si>
    <t>Velocity Dry</t>
  </si>
  <si>
    <t>Product</t>
  </si>
  <si>
    <t>Mielie Lande A (Mielies op Mielies)</t>
  </si>
  <si>
    <t>Mielie Lande B (Mielies op Sojabone opvolg)</t>
  </si>
  <si>
    <t>Sojaboon Lande</t>
  </si>
  <si>
    <t>Gewasse</t>
  </si>
  <si>
    <t>Dosis / Ha</t>
  </si>
  <si>
    <t>Winter Bespuiting</t>
  </si>
  <si>
    <t>Na-Opkoms</t>
  </si>
  <si>
    <t>Voor-Opkoms</t>
  </si>
  <si>
    <t>Total</t>
  </si>
  <si>
    <t>Prys per Eenheid</t>
  </si>
  <si>
    <t>Oppervlak Area</t>
  </si>
  <si>
    <t>Prys Totaal</t>
  </si>
  <si>
    <t>Volume Totaal</t>
  </si>
  <si>
    <t>Aantal Eenhede Benodig</t>
  </si>
  <si>
    <t>Mielie Lande B (Mielies opgevolg op Sojabone)</t>
  </si>
  <si>
    <t>Opsomming A</t>
  </si>
  <si>
    <t>Opsomming B (A+B)</t>
  </si>
  <si>
    <t>Opsomming C (A+B+S)</t>
  </si>
  <si>
    <t>Ser No</t>
  </si>
  <si>
    <t>Groep</t>
  </si>
  <si>
    <t xml:space="preserve">Villa - Lys Prys </t>
  </si>
  <si>
    <t>a. Voor afslag</t>
  </si>
  <si>
    <t>b. Betaal Terme</t>
  </si>
  <si>
    <t>30 dae</t>
  </si>
  <si>
    <t>HA</t>
  </si>
  <si>
    <t>Mielies</t>
  </si>
  <si>
    <t>Mielies Op Mielies</t>
  </si>
  <si>
    <t>Mielies na Soya</t>
  </si>
  <si>
    <t>Soja Boon</t>
  </si>
  <si>
    <t>Soya na Soya en Soya Na Mielies</t>
  </si>
  <si>
    <t>Mielies op Mielies</t>
  </si>
  <si>
    <t>Product Group</t>
  </si>
  <si>
    <t>Lable</t>
  </si>
  <si>
    <t>TBA</t>
  </si>
  <si>
    <t>Mielies - Vooropkoms</t>
  </si>
  <si>
    <t>Mielies - VooropKoms</t>
  </si>
  <si>
    <t>Soya Bone - Voor Opkoms</t>
  </si>
  <si>
    <t>VOOROPKOMS - SOMER</t>
  </si>
  <si>
    <t>NA OPKOMS - SOMER</t>
  </si>
  <si>
    <t>WINTER  - SKOONSPUIT</t>
  </si>
  <si>
    <t>HA --&gt;</t>
  </si>
  <si>
    <t>Kwotasie = 1234</t>
  </si>
  <si>
    <t>Order =</t>
  </si>
  <si>
    <t>LC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</si>
</sst>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 * #,##0.00_ ;_ * \-#,##0.00_ ;_ * &quot;-&quot;??_ ;_ @_ "/>
    <numFmt numFmtId="165" formatCode="_-[$R-1C09]* #,##0.00_-;\-[$R-1C09]* #,##0.00_-;_-[$R-1C09]* &quot;-&quot;??_-;_-@_-"/>
    <numFmt numFmtId="166" formatCode="_ * #,##0.000_ ;_ * \-#,##0.000_ ;_ * &quot;-&quot;??_ ;_ @_ "/>
  </numFmts>
  <fonts count="2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B0F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theme="4" tint="0.39997558519241921"/>
      </right>
      <top/>
      <bottom/>
      <diagonal/>
    </border>
    <border>
      <left style="thin">
        <color indexed="64"/>
      </left>
      <right style="thin">
        <color theme="4" tint="0.39997558519241921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99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3" fillId="0" borderId="1" xfId="0" applyFont="1" applyBorder="1"/>
    <xf numFmtId="0" fontId="0" fillId="0" borderId="0" xfId="0" applyBorder="1"/>
    <xf numFmtId="164" fontId="0" fillId="4" borderId="1" xfId="1" applyNumberFormat="1" applyFont="1" applyFill="1" applyBorder="1"/>
    <xf numFmtId="43" fontId="0" fillId="4" borderId="1" xfId="0" applyNumberFormat="1" applyFill="1" applyBorder="1"/>
    <xf numFmtId="0" fontId="4" fillId="6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0" fillId="0" borderId="4" xfId="0" applyBorder="1"/>
    <xf numFmtId="0" fontId="3" fillId="0" borderId="6" xfId="0" applyFont="1" applyBorder="1"/>
    <xf numFmtId="0" fontId="3" fillId="0" borderId="7" xfId="0" applyFont="1" applyBorder="1"/>
    <xf numFmtId="0" fontId="0" fillId="0" borderId="9" xfId="0" applyBorder="1"/>
    <xf numFmtId="43" fontId="0" fillId="4" borderId="2" xfId="0" applyNumberFormat="1" applyFill="1" applyBorder="1"/>
    <xf numFmtId="0" fontId="0" fillId="0" borderId="11" xfId="0" applyBorder="1"/>
    <xf numFmtId="0" fontId="3" fillId="0" borderId="8" xfId="0" applyFont="1" applyBorder="1" applyAlignment="1">
      <alignment wrapText="1"/>
    </xf>
    <xf numFmtId="0" fontId="0" fillId="0" borderId="1" xfId="0" applyBorder="1" applyAlignment="1">
      <alignment wrapText="1"/>
    </xf>
    <xf numFmtId="164" fontId="0" fillId="4" borderId="5" xfId="1" applyNumberFormat="1" applyFont="1" applyFill="1" applyBorder="1"/>
    <xf numFmtId="164" fontId="0" fillId="4" borderId="8" xfId="1" applyNumberFormat="1" applyFont="1" applyFill="1" applyBorder="1"/>
    <xf numFmtId="164" fontId="0" fillId="4" borderId="10" xfId="1" applyNumberFormat="1" applyFont="1" applyFill="1" applyBorder="1"/>
    <xf numFmtId="0" fontId="3" fillId="0" borderId="7" xfId="0" applyFont="1" applyBorder="1" applyAlignment="1">
      <alignment wrapText="1"/>
    </xf>
    <xf numFmtId="165" fontId="0" fillId="4" borderId="8" xfId="1" applyNumberFormat="1" applyFont="1" applyFill="1" applyBorder="1"/>
    <xf numFmtId="165" fontId="0" fillId="4" borderId="5" xfId="1" applyNumberFormat="1" applyFont="1" applyFill="1" applyBorder="1"/>
    <xf numFmtId="165" fontId="0" fillId="4" borderId="10" xfId="1" applyNumberFormat="1" applyFont="1" applyFill="1" applyBorder="1"/>
    <xf numFmtId="0" fontId="6" fillId="0" borderId="7" xfId="0" applyFont="1" applyBorder="1" applyAlignment="1">
      <alignment wrapText="1"/>
    </xf>
    <xf numFmtId="0" fontId="3" fillId="0" borderId="6" xfId="0" applyFont="1" applyBorder="1" applyAlignment="1">
      <alignment wrapText="1"/>
    </xf>
    <xf numFmtId="165" fontId="0" fillId="4" borderId="1" xfId="1" applyNumberFormat="1" applyFont="1" applyFill="1" applyBorder="1"/>
    <xf numFmtId="165" fontId="0" fillId="4" borderId="2" xfId="1" applyNumberFormat="1" applyFont="1" applyFill="1" applyBorder="1"/>
    <xf numFmtId="164" fontId="0" fillId="4" borderId="2" xfId="1" applyNumberFormat="1" applyFont="1" applyFill="1" applyBorder="1"/>
    <xf numFmtId="165" fontId="0" fillId="4" borderId="13" xfId="0" applyNumberFormat="1" applyFill="1" applyBorder="1"/>
    <xf numFmtId="164" fontId="0" fillId="4" borderId="13" xfId="0" applyNumberFormat="1" applyFill="1" applyBorder="1"/>
    <xf numFmtId="0" fontId="0" fillId="0" borderId="13" xfId="0" applyNumberFormat="1" applyFont="1" applyBorder="1"/>
    <xf numFmtId="164" fontId="0" fillId="4" borderId="13" xfId="0" applyNumberFormat="1" applyFont="1" applyFill="1" applyBorder="1"/>
    <xf numFmtId="0" fontId="0" fillId="0" borderId="12" xfId="0" applyBorder="1"/>
    <xf numFmtId="165" fontId="0" fillId="4" borderId="14" xfId="1" applyNumberFormat="1" applyFont="1" applyFill="1" applyBorder="1"/>
    <xf numFmtId="164" fontId="0" fillId="4" borderId="14" xfId="1" applyNumberFormat="1" applyFont="1" applyFill="1" applyBorder="1"/>
    <xf numFmtId="165" fontId="0" fillId="4" borderId="16" xfId="1" applyNumberFormat="1" applyFont="1" applyFill="1" applyBorder="1"/>
    <xf numFmtId="164" fontId="0" fillId="4" borderId="17" xfId="1" applyNumberFormat="1" applyFont="1" applyFill="1" applyBorder="1"/>
    <xf numFmtId="165" fontId="0" fillId="4" borderId="5" xfId="0" applyNumberFormat="1" applyFill="1" applyBorder="1"/>
    <xf numFmtId="0" fontId="0" fillId="0" borderId="4" xfId="0" applyFont="1" applyBorder="1"/>
    <xf numFmtId="0" fontId="7" fillId="8" borderId="6" xfId="0" applyFont="1" applyFill="1" applyBorder="1"/>
    <xf numFmtId="0" fontId="7" fillId="8" borderId="8" xfId="0" applyFont="1" applyFill="1" applyBorder="1" applyAlignment="1">
      <alignment wrapText="1"/>
    </xf>
    <xf numFmtId="0" fontId="7" fillId="8" borderId="7" xfId="0" applyFont="1" applyFill="1" applyBorder="1" applyAlignment="1">
      <alignment wrapText="1"/>
    </xf>
    <xf numFmtId="0" fontId="8" fillId="4" borderId="15" xfId="0" applyNumberFormat="1" applyFont="1" applyFill="1" applyBorder="1"/>
    <xf numFmtId="0" fontId="0" fillId="9" borderId="18" xfId="0" applyFont="1" applyFill="1" applyBorder="1"/>
    <xf numFmtId="0" fontId="0" fillId="0" borderId="18" xfId="0" applyFont="1" applyBorder="1"/>
    <xf numFmtId="0" fontId="7" fillId="8" borderId="3" xfId="0" applyFont="1" applyFill="1" applyBorder="1"/>
    <xf numFmtId="0" fontId="9" fillId="8" borderId="3" xfId="0" applyFont="1" applyFill="1" applyBorder="1"/>
    <xf numFmtId="0" fontId="9" fillId="8" borderId="3" xfId="0" applyFont="1" applyFill="1" applyBorder="1" applyAlignment="1">
      <alignment wrapText="1"/>
    </xf>
    <xf numFmtId="0" fontId="9" fillId="8" borderId="6" xfId="0" applyFont="1" applyFill="1" applyBorder="1" applyAlignment="1">
      <alignment wrapText="1"/>
    </xf>
    <xf numFmtId="165" fontId="0" fillId="0" borderId="12" xfId="0" applyNumberFormat="1" applyBorder="1"/>
    <xf numFmtId="0" fontId="0" fillId="0" borderId="19" xfId="0" applyNumberFormat="1" applyFont="1" applyBorder="1"/>
    <xf numFmtId="164" fontId="0" fillId="4" borderId="19" xfId="0" applyNumberFormat="1" applyFont="1" applyFill="1" applyBorder="1"/>
    <xf numFmtId="165" fontId="0" fillId="4" borderId="19" xfId="0" applyNumberFormat="1" applyFill="1" applyBorder="1"/>
    <xf numFmtId="164" fontId="0" fillId="4" borderId="19" xfId="0" applyNumberFormat="1" applyFill="1" applyBorder="1"/>
    <xf numFmtId="165" fontId="8" fillId="4" borderId="1" xfId="1" applyNumberFormat="1" applyFont="1" applyFill="1" applyBorder="1"/>
    <xf numFmtId="164" fontId="8" fillId="4" borderId="1" xfId="1" applyNumberFormat="1" applyFont="1" applyFill="1" applyBorder="1"/>
    <xf numFmtId="164" fontId="8" fillId="4" borderId="5" xfId="1" applyNumberFormat="1" applyFont="1" applyFill="1" applyBorder="1"/>
    <xf numFmtId="165" fontId="8" fillId="4" borderId="5" xfId="1" applyNumberFormat="1" applyFont="1" applyFill="1" applyBorder="1"/>
    <xf numFmtId="165" fontId="0" fillId="4" borderId="2" xfId="0" applyNumberFormat="1" applyFill="1" applyBorder="1"/>
    <xf numFmtId="164" fontId="0" fillId="4" borderId="2" xfId="0" applyNumberFormat="1" applyFill="1" applyBorder="1"/>
    <xf numFmtId="166" fontId="0" fillId="0" borderId="1" xfId="1" applyNumberFormat="1" applyFont="1" applyBorder="1"/>
    <xf numFmtId="166" fontId="8" fillId="0" borderId="1" xfId="1" applyNumberFormat="1" applyFont="1" applyBorder="1"/>
    <xf numFmtId="166" fontId="0" fillId="0" borderId="2" xfId="1" applyNumberFormat="1" applyFont="1" applyBorder="1"/>
    <xf numFmtId="0" fontId="5" fillId="10" borderId="3" xfId="0" applyFont="1" applyFill="1" applyBorder="1" applyAlignment="1">
      <alignment horizontal="center" vertical="center"/>
    </xf>
    <xf numFmtId="165" fontId="0" fillId="4" borderId="18" xfId="1" applyNumberFormat="1" applyFont="1" applyFill="1" applyBorder="1"/>
    <xf numFmtId="0" fontId="7" fillId="8" borderId="3" xfId="0" applyFont="1" applyFill="1" applyBorder="1" applyAlignment="1">
      <alignment wrapText="1"/>
    </xf>
    <xf numFmtId="165" fontId="0" fillId="4" borderId="12" xfId="1" applyNumberFormat="1" applyFont="1" applyFill="1" applyBorder="1"/>
    <xf numFmtId="164" fontId="0" fillId="4" borderId="20" xfId="1" applyNumberFormat="1" applyFont="1" applyFill="1" applyBorder="1"/>
    <xf numFmtId="165" fontId="0" fillId="4" borderId="21" xfId="1" applyNumberFormat="1" applyFont="1" applyFill="1" applyBorder="1"/>
    <xf numFmtId="0" fontId="2" fillId="4" borderId="0" xfId="0" applyNumberFormat="1" applyFont="1" applyFill="1" applyBorder="1"/>
    <xf numFmtId="0" fontId="2" fillId="4" borderId="15" xfId="0" applyNumberFormat="1" applyFont="1" applyFill="1" applyBorder="1"/>
    <xf numFmtId="165" fontId="0" fillId="4" borderId="22" xfId="0" applyNumberFormat="1" applyFont="1" applyFill="1" applyBorder="1"/>
    <xf numFmtId="0" fontId="0" fillId="0" borderId="18" xfId="0" applyBorder="1"/>
    <xf numFmtId="165" fontId="8" fillId="4" borderId="10" xfId="1" applyNumberFormat="1" applyFont="1" applyFill="1" applyBorder="1"/>
    <xf numFmtId="164" fontId="8" fillId="4" borderId="10" xfId="1" applyNumberFormat="1" applyFont="1" applyFill="1" applyBorder="1"/>
    <xf numFmtId="166" fontId="8" fillId="0" borderId="1" xfId="0" applyNumberFormat="1" applyFont="1" applyBorder="1"/>
    <xf numFmtId="165" fontId="8" fillId="4" borderId="5" xfId="1" applyNumberFormat="1" applyFont="1" applyFill="1" applyBorder="1" applyAlignment="1">
      <alignment wrapText="1"/>
    </xf>
    <xf numFmtId="164" fontId="8" fillId="4" borderId="5" xfId="1" applyNumberFormat="1" applyFont="1" applyFill="1" applyBorder="1" applyAlignment="1">
      <alignment wrapText="1"/>
    </xf>
    <xf numFmtId="165" fontId="8" fillId="4" borderId="15" xfId="1" applyNumberFormat="1" applyFont="1" applyFill="1" applyBorder="1" applyAlignment="1">
      <alignment wrapText="1"/>
    </xf>
    <xf numFmtId="164" fontId="8" fillId="4" borderId="13" xfId="0" applyNumberFormat="1" applyFont="1" applyFill="1" applyBorder="1"/>
    <xf numFmtId="0" fontId="8" fillId="0" borderId="13" xfId="0" applyNumberFormat="1" applyFont="1" applyBorder="1"/>
    <xf numFmtId="165" fontId="8" fillId="4" borderId="18" xfId="1" applyNumberFormat="1" applyFont="1" applyFill="1" applyBorder="1" applyAlignment="1">
      <alignment wrapText="1"/>
    </xf>
    <xf numFmtId="164" fontId="8" fillId="4" borderId="14" xfId="1" applyNumberFormat="1" applyFont="1" applyFill="1" applyBorder="1" applyAlignment="1">
      <alignment wrapText="1"/>
    </xf>
    <xf numFmtId="164" fontId="8" fillId="4" borderId="8" xfId="1" applyNumberFormat="1" applyFont="1" applyFill="1" applyBorder="1" applyAlignment="1">
      <alignment wrapText="1"/>
    </xf>
    <xf numFmtId="165" fontId="8" fillId="4" borderId="16" xfId="1" applyNumberFormat="1" applyFont="1" applyFill="1" applyBorder="1" applyAlignment="1">
      <alignment wrapText="1"/>
    </xf>
    <xf numFmtId="165" fontId="8" fillId="4" borderId="23" xfId="1" applyNumberFormat="1" applyFont="1" applyFill="1" applyBorder="1" applyAlignment="1">
      <alignment wrapText="1"/>
    </xf>
    <xf numFmtId="0" fontId="8" fillId="4" borderId="0" xfId="0" applyNumberFormat="1" applyFont="1" applyFill="1" applyBorder="1"/>
    <xf numFmtId="165" fontId="8" fillId="4" borderId="22" xfId="0" applyNumberFormat="1" applyFont="1" applyFill="1" applyBorder="1"/>
    <xf numFmtId="166" fontId="8" fillId="0" borderId="1" xfId="1" applyNumberFormat="1" applyFont="1" applyFill="1" applyBorder="1"/>
    <xf numFmtId="164" fontId="0" fillId="4" borderId="3" xfId="1" applyNumberFormat="1" applyFont="1" applyFill="1" applyBorder="1"/>
    <xf numFmtId="164" fontId="8" fillId="4" borderId="3" xfId="1" applyNumberFormat="1" applyFont="1" applyFill="1" applyBorder="1"/>
    <xf numFmtId="165" fontId="8" fillId="4" borderId="8" xfId="1" applyNumberFormat="1" applyFont="1" applyFill="1" applyBorder="1"/>
    <xf numFmtId="165" fontId="8" fillId="4" borderId="18" xfId="1" applyNumberFormat="1" applyFont="1" applyFill="1" applyBorder="1"/>
    <xf numFmtId="164" fontId="8" fillId="4" borderId="14" xfId="1" applyNumberFormat="1" applyFont="1" applyFill="1" applyBorder="1"/>
    <xf numFmtId="165" fontId="8" fillId="4" borderId="16" xfId="1" applyNumberFormat="1" applyFont="1" applyFill="1" applyBorder="1"/>
    <xf numFmtId="0" fontId="8" fillId="0" borderId="2" xfId="0" applyNumberFormat="1" applyFont="1" applyBorder="1"/>
    <xf numFmtId="164" fontId="8" fillId="4" borderId="2" xfId="0" applyNumberFormat="1" applyFont="1" applyFill="1" applyBorder="1"/>
    <xf numFmtId="164" fontId="0" fillId="4" borderId="12" xfId="1" applyNumberFormat="1" applyFont="1" applyFill="1" applyBorder="1"/>
    <xf numFmtId="0" fontId="3" fillId="0" borderId="0" xfId="0" applyFont="1"/>
    <xf numFmtId="3" fontId="0" fillId="0" borderId="0" xfId="0" applyNumberFormat="1"/>
    <xf numFmtId="0" fontId="12" fillId="2" borderId="0" xfId="0" applyFont="1" applyFill="1"/>
    <xf numFmtId="0" fontId="12" fillId="0" borderId="0" xfId="0" applyFont="1"/>
    <xf numFmtId="0" fontId="13" fillId="2" borderId="0" xfId="0" applyFont="1" applyFill="1"/>
    <xf numFmtId="0" fontId="13" fillId="2" borderId="1" xfId="0" applyFont="1" applyFill="1" applyBorder="1"/>
    <xf numFmtId="0" fontId="12" fillId="2" borderId="1" xfId="0" applyFont="1" applyFill="1" applyBorder="1"/>
    <xf numFmtId="0" fontId="3" fillId="11" borderId="1" xfId="0" applyFont="1" applyFill="1" applyBorder="1"/>
    <xf numFmtId="3" fontId="3" fillId="11" borderId="1" xfId="0" applyNumberFormat="1" applyFont="1" applyFill="1" applyBorder="1"/>
    <xf numFmtId="3" fontId="12" fillId="2" borderId="0" xfId="0" applyNumberFormat="1" applyFont="1" applyFill="1"/>
    <xf numFmtId="0" fontId="13" fillId="11" borderId="10" xfId="0" applyFont="1" applyFill="1" applyBorder="1"/>
    <xf numFmtId="0" fontId="13" fillId="11" borderId="12" xfId="0" applyFont="1" applyFill="1" applyBorder="1"/>
    <xf numFmtId="0" fontId="13" fillId="11" borderId="8" xfId="0" applyFont="1" applyFill="1" applyBorder="1"/>
    <xf numFmtId="0" fontId="13" fillId="11" borderId="3" xfId="0" applyFont="1" applyFill="1" applyBorder="1"/>
    <xf numFmtId="0" fontId="13" fillId="11" borderId="1" xfId="0" applyFont="1" applyFill="1" applyBorder="1"/>
    <xf numFmtId="3" fontId="12" fillId="11" borderId="1" xfId="0" applyNumberFormat="1" applyFont="1" applyFill="1" applyBorder="1"/>
    <xf numFmtId="0" fontId="12" fillId="11" borderId="1" xfId="0" applyFont="1" applyFill="1" applyBorder="1"/>
    <xf numFmtId="3" fontId="12" fillId="2" borderId="1" xfId="0" applyNumberFormat="1" applyFont="1" applyFill="1" applyBorder="1"/>
    <xf numFmtId="2" fontId="16" fillId="2" borderId="1" xfId="0" applyNumberFormat="1" applyFont="1" applyFill="1" applyBorder="1"/>
    <xf numFmtId="0" fontId="17" fillId="2" borderId="0" xfId="0" applyFont="1" applyFill="1"/>
    <xf numFmtId="3" fontId="17" fillId="2" borderId="0" xfId="0" applyNumberFormat="1" applyFont="1" applyFill="1"/>
    <xf numFmtId="3" fontId="13" fillId="11" borderId="1" xfId="0" applyNumberFormat="1" applyFont="1" applyFill="1" applyBorder="1"/>
    <xf numFmtId="0" fontId="13" fillId="5" borderId="1" xfId="0" applyFont="1" applyFill="1" applyBorder="1"/>
    <xf numFmtId="3" fontId="13" fillId="5" borderId="1" xfId="0" applyNumberFormat="1" applyFont="1" applyFill="1" applyBorder="1"/>
    <xf numFmtId="3" fontId="12" fillId="0" borderId="0" xfId="0" applyNumberFormat="1" applyFont="1"/>
    <xf numFmtId="0" fontId="12" fillId="11" borderId="12" xfId="0" applyFont="1" applyFill="1" applyBorder="1"/>
    <xf numFmtId="0" fontId="12" fillId="11" borderId="9" xfId="0" applyFont="1" applyFill="1" applyBorder="1"/>
    <xf numFmtId="0" fontId="12" fillId="11" borderId="3" xfId="0" applyFont="1" applyFill="1" applyBorder="1"/>
    <xf numFmtId="0" fontId="12" fillId="5" borderId="12" xfId="0" applyFont="1" applyFill="1" applyBorder="1"/>
    <xf numFmtId="0" fontId="13" fillId="5" borderId="8" xfId="0" applyFont="1" applyFill="1" applyBorder="1"/>
    <xf numFmtId="0" fontId="13" fillId="5" borderId="9" xfId="0" applyFont="1" applyFill="1" applyBorder="1"/>
    <xf numFmtId="0" fontId="17" fillId="2" borderId="5" xfId="0" applyFont="1" applyFill="1" applyBorder="1"/>
    <xf numFmtId="3" fontId="17" fillId="2" borderId="4" xfId="0" applyNumberFormat="1" applyFont="1" applyFill="1" applyBorder="1"/>
    <xf numFmtId="3" fontId="13" fillId="2" borderId="1" xfId="0" applyNumberFormat="1" applyFont="1" applyFill="1" applyBorder="1"/>
    <xf numFmtId="0" fontId="16" fillId="2" borderId="1" xfId="0" applyFont="1" applyFill="1" applyBorder="1"/>
    <xf numFmtId="0" fontId="16" fillId="2" borderId="0" xfId="0" applyFont="1" applyFill="1"/>
    <xf numFmtId="0" fontId="12" fillId="0" borderId="1" xfId="0" applyFont="1" applyBorder="1"/>
    <xf numFmtId="0" fontId="12" fillId="2" borderId="0" xfId="0" applyFont="1" applyFill="1" applyAlignment="1">
      <alignment wrapText="1"/>
    </xf>
    <xf numFmtId="0" fontId="13" fillId="11" borderId="1" xfId="0" applyFont="1" applyFill="1" applyBorder="1" applyAlignment="1">
      <alignment wrapText="1"/>
    </xf>
    <xf numFmtId="3" fontId="13" fillId="11" borderId="1" xfId="0" applyNumberFormat="1" applyFont="1" applyFill="1" applyBorder="1" applyAlignment="1">
      <alignment wrapText="1"/>
    </xf>
    <xf numFmtId="0" fontId="12" fillId="0" borderId="0" xfId="0" applyFont="1" applyAlignment="1">
      <alignment wrapText="1"/>
    </xf>
    <xf numFmtId="0" fontId="13" fillId="0" borderId="1" xfId="0" applyFont="1" applyBorder="1"/>
    <xf numFmtId="3" fontId="13" fillId="11" borderId="9" xfId="0" applyNumberFormat="1" applyFont="1" applyFill="1" applyBorder="1" applyAlignment="1">
      <alignment horizontal="center"/>
    </xf>
    <xf numFmtId="0" fontId="13" fillId="11" borderId="6" xfId="0" applyFont="1" applyFill="1" applyBorder="1" applyAlignment="1">
      <alignment horizontal="center"/>
    </xf>
    <xf numFmtId="3" fontId="13" fillId="11" borderId="2" xfId="0" applyNumberFormat="1" applyFont="1" applyFill="1" applyBorder="1" applyAlignment="1">
      <alignment horizontal="center"/>
    </xf>
    <xf numFmtId="0" fontId="13" fillId="11" borderId="7" xfId="0" applyFont="1" applyFill="1" applyBorder="1" applyAlignment="1">
      <alignment horizontal="center"/>
    </xf>
    <xf numFmtId="0" fontId="12" fillId="5" borderId="1" xfId="0" applyFont="1" applyFill="1" applyBorder="1"/>
    <xf numFmtId="0" fontId="18" fillId="11" borderId="1" xfId="0" applyFont="1" applyFill="1" applyBorder="1"/>
    <xf numFmtId="3" fontId="13" fillId="5" borderId="9" xfId="0" applyNumberFormat="1" applyFont="1" applyFill="1" applyBorder="1" applyAlignment="1">
      <alignment horizontal="center"/>
    </xf>
    <xf numFmtId="0" fontId="13" fillId="5" borderId="6" xfId="0" applyFont="1" applyFill="1" applyBorder="1" applyAlignment="1">
      <alignment horizontal="center"/>
    </xf>
    <xf numFmtId="3" fontId="13" fillId="5" borderId="2" xfId="0" applyNumberFormat="1" applyFont="1" applyFill="1" applyBorder="1" applyAlignment="1">
      <alignment horizontal="center"/>
    </xf>
    <xf numFmtId="0" fontId="13" fillId="5" borderId="10" xfId="0" applyFont="1" applyFill="1" applyBorder="1"/>
    <xf numFmtId="0" fontId="13" fillId="11" borderId="7" xfId="0" applyFont="1" applyFill="1" applyBorder="1"/>
    <xf numFmtId="0" fontId="12" fillId="11" borderId="6" xfId="0" applyFont="1" applyFill="1" applyBorder="1"/>
    <xf numFmtId="0" fontId="13" fillId="5" borderId="7" xfId="0" applyFont="1" applyFill="1" applyBorder="1"/>
    <xf numFmtId="0" fontId="13" fillId="5" borderId="6" xfId="0" applyFont="1" applyFill="1" applyBorder="1"/>
    <xf numFmtId="0" fontId="17" fillId="2" borderId="1" xfId="0" applyFont="1" applyFill="1" applyBorder="1"/>
    <xf numFmtId="3" fontId="17" fillId="2" borderId="1" xfId="0" applyNumberFormat="1" applyFont="1" applyFill="1" applyBorder="1"/>
    <xf numFmtId="3" fontId="15" fillId="11" borderId="7" xfId="0" applyNumberFormat="1" applyFont="1" applyFill="1" applyBorder="1" applyAlignment="1">
      <alignment horizontal="center"/>
    </xf>
    <xf numFmtId="0" fontId="13" fillId="5" borderId="3" xfId="0" applyFont="1" applyFill="1" applyBorder="1"/>
    <xf numFmtId="3" fontId="15" fillId="5" borderId="7" xfId="0" applyNumberFormat="1" applyFont="1" applyFill="1" applyBorder="1" applyAlignment="1">
      <alignment horizontal="center"/>
    </xf>
    <xf numFmtId="4" fontId="10" fillId="0" borderId="1" xfId="0" applyNumberFormat="1" applyFont="1" applyFill="1" applyBorder="1"/>
    <xf numFmtId="0" fontId="0" fillId="0" borderId="0" xfId="0" applyFill="1"/>
    <xf numFmtId="0" fontId="11" fillId="0" borderId="0" xfId="0" applyFont="1" applyFill="1"/>
    <xf numFmtId="3" fontId="0" fillId="0" borderId="0" xfId="0" applyNumberFormat="1" applyFill="1"/>
    <xf numFmtId="0" fontId="14" fillId="11" borderId="1" xfId="0" applyFont="1" applyFill="1" applyBorder="1" applyAlignment="1">
      <alignment horizontal="center"/>
    </xf>
    <xf numFmtId="0" fontId="0" fillId="0" borderId="1" xfId="0" applyFill="1" applyBorder="1"/>
    <xf numFmtId="3" fontId="0" fillId="0" borderId="1" xfId="0" applyNumberFormat="1" applyFill="1" applyBorder="1"/>
    <xf numFmtId="0" fontId="11" fillId="0" borderId="1" xfId="0" applyFont="1" applyFill="1" applyBorder="1"/>
    <xf numFmtId="0" fontId="3" fillId="0" borderId="1" xfId="0" applyFont="1" applyFill="1" applyBorder="1"/>
    <xf numFmtId="3" fontId="3" fillId="0" borderId="1" xfId="0" applyNumberFormat="1" applyFont="1" applyFill="1" applyBorder="1"/>
    <xf numFmtId="0" fontId="3" fillId="11" borderId="1" xfId="0" applyFont="1" applyFill="1" applyBorder="1" applyAlignment="1">
      <alignment horizontal="right"/>
    </xf>
    <xf numFmtId="3" fontId="15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right"/>
    </xf>
    <xf numFmtId="166" fontId="19" fillId="0" borderId="1" xfId="1" applyNumberFormat="1" applyFont="1" applyBorder="1"/>
    <xf numFmtId="166" fontId="19" fillId="0" borderId="2" xfId="1" applyNumberFormat="1" applyFont="1" applyBorder="1"/>
    <xf numFmtId="166" fontId="19" fillId="0" borderId="1" xfId="1" applyNumberFormat="1" applyFont="1" applyFill="1" applyBorder="1"/>
    <xf numFmtId="0" fontId="5" fillId="10" borderId="12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2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theme="4" tint="0.39997558519241921"/>
        </right>
        <top style="thin">
          <color theme="4" tint="0.3999755851924192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theme="4" tint="0.39997558519241921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double">
          <color auto="1"/>
        </horizontal>
      </border>
    </dxf>
    <dxf>
      <border outline="0">
        <bottom style="double">
          <color indexed="64"/>
        </bottom>
      </border>
    </dxf>
    <dxf>
      <fill>
        <patternFill patternType="solid">
          <fgColor indexed="64"/>
          <bgColor theme="7" tint="0.5999938962981048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theme="4" tint="0.39997558519241921"/>
        </right>
        <top style="thin">
          <color theme="4" tint="0.3999755851924192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theme="4" tint="0.39997558519241921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theme="4" tint="0.39997558519241921"/>
        </right>
        <top style="thin">
          <color theme="4" tint="0.3999755851924192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theme="4" tint="0.39997558519241921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double">
          <color auto="1"/>
        </horizontal>
      </border>
    </dxf>
    <dxf>
      <border outline="0">
        <bottom style="double">
          <color indexed="64"/>
        </bottom>
      </border>
    </dxf>
    <dxf>
      <fill>
        <patternFill patternType="solid">
          <fgColor indexed="64"/>
          <bgColor theme="7" tint="0.5999938962981048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 * #,##0.000_ ;_ * \-#,##0.000_ ;_ * &quot;-&quot;??_ ;_ 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_-[$R-1C09]* #,##0.00_-;\-[$R-1C09]* #,##0.00_-;_-[$R-1C09]* &quot;-&quot;??_-;_-@_-"/>
      <border diagonalUp="0" diagonalDown="0" outline="0">
        <left/>
        <right/>
        <top style="thin">
          <color indexed="64"/>
        </top>
        <bottom/>
      </border>
    </dxf>
    <dxf>
      <numFmt numFmtId="165" formatCode="_-[$R-1C09]* #,##0.00_-;\-[$R-1C09]* #,##0.00_-;_-[$R-1C09]* &quot;-&quot;??_-;_-@_-"/>
    </dxf>
    <dxf>
      <border diagonalUp="0" diagonalDown="0" outline="0">
        <left/>
        <right/>
        <top style="thin">
          <color indexed="64"/>
        </top>
        <bottom/>
      </border>
    </dxf>
    <dxf>
      <border diagonalUp="0" diagonalDown="0" outline="0">
        <left/>
        <right/>
        <top style="thin">
          <color indexed="64"/>
        </top>
        <bottom/>
      </border>
    </dxf>
    <dxf>
      <numFmt numFmtId="164" formatCode="_ * #,##0.00_ ;_ * \-#,##0.00_ ;_ * &quot;-&quot;??_ ;_ @_ "/>
    </dxf>
    <dxf>
      <numFmt numFmtId="165" formatCode="_-[$R-1C09]* #,##0.00_-;\-[$R-1C09]* #,##0.00_-;_-[$R-1C09]* &quot;-&quot;??_-;_-@_-"/>
      <border diagonalUp="0" diagonalDown="0" outline="0">
        <left/>
        <right/>
        <top style="thin">
          <color indexed="64"/>
        </top>
        <bottom/>
      </border>
    </dxf>
    <dxf>
      <numFmt numFmtId="165" formatCode="_-[$R-1C09]* #,##0.00_-;\-[$R-1C09]* #,##0.00_-;_-[$R-1C09]* &quot;-&quot;??_-;_-@_-"/>
    </dxf>
    <dxf>
      <border diagonalUp="0" diagonalDown="0" outline="0">
        <left/>
        <right/>
        <top style="thin">
          <color indexed="64"/>
        </top>
        <bottom/>
      </border>
    </dxf>
    <dxf>
      <numFmt numFmtId="165" formatCode="_-[$R-1C09]* #,##0.00_-;\-[$R-1C09]* #,##0.00_-;_-[$R-1C09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 * #,##0.000_ ;_ * \-#,##0.000_ ;_ * &quot;-&quot;??_ ;_ @_ 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scheme val="minor"/>
      </font>
      <numFmt numFmtId="166" formatCode="_ * #,##0.000_ ;_ * \-#,##0.000_ ;_ * &quot;-&quot;??_ ;_ @_ 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/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 * #,##0.000_ ;_ * \-#,##0.000_ ;_ * &quot;-&quot;??_ ;_ @_ 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 * #,##0.000_ ;_ * \-#,##0.000_ ;_ * &quot;-&quot;??_ ;_ 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/>
      </border>
    </dxf>
    <dxf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/>
      </border>
    </dxf>
    <dxf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/>
      </border>
    </dxf>
    <dxf>
      <numFmt numFmtId="35" formatCode="_-* #,##0.00_-;\-* #,##0.00_-;_-* &quot;-&quot;??_-;_-@_-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/>
      </border>
    </dxf>
    <dxf>
      <numFmt numFmtId="166" formatCode="_ * #,##0.000_ ;_ * \-#,##0.000_ ;_ * &quot;-&quot;??_ ;_ 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double">
          <color indexed="64"/>
        </top>
      </border>
    </dxf>
    <dxf>
      <border outline="0">
        <bottom style="double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 style="double">
          <color indexed="64"/>
        </bottom>
      </border>
    </dxf>
    <dxf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 outline="0">
        <left/>
        <right/>
        <top/>
        <bottom style="thin">
          <color indexed="64"/>
        </bottom>
      </border>
    </dxf>
    <dxf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 style="double">
          <color indexed="64"/>
        </bottom>
      </border>
    </dxf>
    <dxf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 style="double">
          <color indexed="64"/>
        </bottom>
      </border>
    </dxf>
    <dxf>
      <numFmt numFmtId="35" formatCode="_-* #,##0.00_-;\-* #,##0.00_-;_-* &quot;-&quot;??_-;_-@_-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 style="double">
          <color indexed="64"/>
        </bottom>
      </border>
    </dxf>
    <dxf>
      <numFmt numFmtId="166" formatCode="_ * #,##0.000_ ;_ * \-#,##0.000_ ;_ * &quot;-&quot;??_ ;_ 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double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6" formatCode="_ * #,##0.000_ ;_ * \-#,##0.000_ ;_ * &quot;-&quot;??_ ;_ 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double">
          <color auto="1"/>
        </horizontal>
      </border>
    </dxf>
    <dxf>
      <border outline="0">
        <bottom style="double">
          <color indexed="64"/>
        </bottom>
      </border>
    </dxf>
    <dxf>
      <fill>
        <patternFill patternType="solid">
          <fgColor indexed="64"/>
          <bgColor theme="7" tint="0.5999938962981048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 style="double">
          <color indexed="64"/>
        </bottom>
      </border>
    </dxf>
    <dxf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 style="double">
          <color indexed="64"/>
        </bottom>
      </border>
    </dxf>
    <dxf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 style="double">
          <color indexed="64"/>
        </bottom>
      </border>
    </dxf>
    <dxf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 style="double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00B0F0"/>
        <name val="Calibri"/>
        <scheme val="minor"/>
      </font>
      <numFmt numFmtId="166" formatCode="_ * #,##0.000_ ;_ * \-#,##0.000_ ;_ * &quot;-&quot;??_ ;_ @_ 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double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 style="double">
          <color indexed="64"/>
        </bottom>
      </border>
    </dxf>
    <dxf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 style="double">
          <color indexed="64"/>
        </bottom>
      </border>
    </dxf>
    <dxf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 style="double">
          <color indexed="64"/>
        </bottom>
      </border>
    </dxf>
    <dxf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 outline="0">
        <left/>
        <right/>
        <top/>
        <bottom style="thin">
          <color indexed="64"/>
        </bottom>
      </border>
    </dxf>
    <dxf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 style="double">
          <color indexed="64"/>
        </bottom>
      </border>
    </dxf>
    <dxf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 style="double">
          <color indexed="64"/>
        </bottom>
      </border>
    </dxf>
    <dxf>
      <numFmt numFmtId="35" formatCode="_-* #,##0.00_-;\-* #,##0.00_-;_-* &quot;-&quot;??_-;_-@_-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  <numFmt numFmtId="166" formatCode="_ * #,##0.000_ ;_ * \-#,##0.000_ ;_ * &quot;-&quot;??_ ;_ @_ 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0_ ;_ * \-#,##0.00_ ;_ * &quot;-&quot;??_ ;_ @_ 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R-1C09]* #,##0.00_-;\-[$R-1C09]* #,##0.00_-;_-[$R-1C09]* &quot;-&quot;??_-;_-@_-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double">
          <color indexed="64"/>
        </top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 * #,##0.000_ ;_ * \-#,##0.000_ ;_ * &quot;-&quot;??_ ;_ @_ 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ielieLandeA_WB" displayName="MielieLandeA_WB" ref="A9:G24" totalsRowCount="1" headerRowDxfId="210" headerRowBorderDxfId="209" tableBorderDxfId="208" totalsRowBorderDxfId="207">
  <autoFilter ref="A9:G23" xr:uid="{00000000-0009-0000-0100-000001000000}"/>
  <sortState xmlns:xlrd2="http://schemas.microsoft.com/office/spreadsheetml/2017/richdata2" ref="A10:G21">
    <sortCondition ref="A10:A21"/>
  </sortState>
  <tableColumns count="7">
    <tableColumn id="1" xr3:uid="{00000000-0010-0000-0000-000001000000}" name="Mielie Lande A (Mielies op Mielies)" totalsRowLabel="Total" dataDxfId="206" totalsRowDxfId="205"/>
    <tableColumn id="2" xr3:uid="{00000000-0010-0000-0000-000002000000}" name="Dosis / Ha" dataDxfId="204" totalsRowDxfId="203" dataCellStyle="Comma"/>
    <tableColumn id="4" xr3:uid="{00000000-0010-0000-0000-000004000000}" name="Prys per Eenheid" dataDxfId="202" totalsRowDxfId="201" dataCellStyle="Comma">
      <calculatedColumnFormula>IF(MielieLandeA_WB[[#This Row],[Dosis / Ha]]&gt;0,VLOOKUP(MielieLandeA_WB[[#This Row],[Mielie Lande A (Mielies op Mielies)]],Pryse!C:D,2,0),0)</calculatedColumnFormula>
    </tableColumn>
    <tableColumn id="5" xr3:uid="{00000000-0010-0000-0000-000005000000}" name="Koste per Ha" totalsRowFunction="sum" dataDxfId="200" totalsRowDxfId="199" dataCellStyle="Comma">
      <calculatedColumnFormula>MielieLandeA_WB[[#This Row],[Dosis / Ha]]*MielieLandeA_WB[[#This Row],[Prys per Eenheid]]</calculatedColumnFormula>
    </tableColumn>
    <tableColumn id="7" xr3:uid="{00000000-0010-0000-0000-000007000000}" name="Volume Totaal" dataDxfId="198" totalsRowDxfId="197" dataCellStyle="Comma">
      <calculatedColumnFormula>$B$2*B10</calculatedColumnFormula>
    </tableColumn>
    <tableColumn id="9" xr3:uid="{00000000-0010-0000-0000-000009000000}" name="Aantal Eenhede Benodig" totalsRowFunction="sum" dataDxfId="196" totalsRowDxfId="195" dataCellStyle="Comma"/>
    <tableColumn id="6" xr3:uid="{00000000-0010-0000-0000-000006000000}" name="Prys Totaal" totalsRowFunction="sum" dataDxfId="194" totalsRowDxfId="193" dataCellStyle="Comma">
      <calculatedColumnFormula>$B$2*MielieLandeA_WB[[#This Row],[Koste per Ha]]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ojaboonLandeWB" displayName="SojaboonLandeWB" ref="A43:G58" totalsRowCount="1" headerRowDxfId="192" headerRowBorderDxfId="191" tableBorderDxfId="190" totalsRowBorderDxfId="189">
  <autoFilter ref="A43:G57" xr:uid="{00000000-0009-0000-0100-000002000000}"/>
  <sortState xmlns:xlrd2="http://schemas.microsoft.com/office/spreadsheetml/2017/richdata2" ref="A38:G44">
    <sortCondition ref="A38:A44"/>
  </sortState>
  <tableColumns count="7">
    <tableColumn id="1" xr3:uid="{00000000-0010-0000-0100-000001000000}" name="Sojaboon lande" totalsRowLabel="Total" dataDxfId="188" totalsRowDxfId="187"/>
    <tableColumn id="2" xr3:uid="{00000000-0010-0000-0100-000002000000}" name="Dosis / Ha" dataDxfId="186" totalsRowDxfId="185" dataCellStyle="Comma"/>
    <tableColumn id="3" xr3:uid="{00000000-0010-0000-0100-000003000000}" name="Prys per Eenheid" dataDxfId="184" totalsRowDxfId="183">
      <calculatedColumnFormula>IF(SojaboonLandeWB[[#This Row],[Dosis / Ha]]&gt;0,VLOOKUP(SojaboonLandeWB[[#This Row],[Sojaboon lande]],Pryse!C:D,2,0),0)</calculatedColumnFormula>
    </tableColumn>
    <tableColumn id="4" xr3:uid="{00000000-0010-0000-0100-000004000000}" name="Koste per Ha" totalsRowFunction="sum" dataDxfId="182" totalsRowDxfId="181">
      <calculatedColumnFormula>SojaboonLandeWB[[#This Row],[Dosis / Ha]]*SojaboonLandeWB[[#This Row],[Prys per Eenheid]]</calculatedColumnFormula>
    </tableColumn>
    <tableColumn id="5" xr3:uid="{00000000-0010-0000-0100-000005000000}" name="Volume Totaal" dataDxfId="180" totalsRowDxfId="179" dataCellStyle="Comma">
      <calculatedColumnFormula>$B$4*B44</calculatedColumnFormula>
    </tableColumn>
    <tableColumn id="6" xr3:uid="{00000000-0010-0000-0100-000006000000}" name="Aantal Eenhede Benodig" dataDxfId="178" totalsRowDxfId="177" dataCellStyle="Comma"/>
    <tableColumn id="7" xr3:uid="{00000000-0010-0000-0100-000007000000}" name="Prys Totaal" totalsRowFunction="sum" dataDxfId="176" totalsRowDxfId="175" dataCellStyle="Comma">
      <calculatedColumnFormula>$B$4*SojaboonLandeWB[[#This Row],[Koste per Ha]]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MielieLandeA_VO" displayName="MielieLandeA_VO" ref="I9:N24" totalsRowCount="1" headerRowDxfId="174" headerRowBorderDxfId="173" tableBorderDxfId="172" totalsRowBorderDxfId="171">
  <autoFilter ref="I9:N23" xr:uid="{00000000-0009-0000-0100-000003000000}"/>
  <tableColumns count="6">
    <tableColumn id="1" xr3:uid="{00000000-0010-0000-0200-000001000000}" name="Dosis / Ha" totalsRowLabel="Total" dataDxfId="170" totalsRowDxfId="169" dataCellStyle="Comma"/>
    <tableColumn id="2" xr3:uid="{00000000-0010-0000-0200-000002000000}" name="Prys per Eenheid" dataDxfId="168" totalsRowDxfId="167" dataCellStyle="Comma">
      <calculatedColumnFormula>IF(MielieLandeA_VO[[#This Row],[Dosis / Ha]]&gt;0,VLOOKUP(MielieLandeA_WB[[#This Row],[Mielie Lande A (Mielies op Mielies)]],Pryse!C:D,2,0),0)</calculatedColumnFormula>
    </tableColumn>
    <tableColumn id="3" xr3:uid="{00000000-0010-0000-0200-000003000000}" name="Koste per Ha" totalsRowFunction="sum" dataDxfId="166" totalsRowDxfId="165" dataCellStyle="Comma">
      <calculatedColumnFormula>MielieLandeA_VO[[#This Row],[Dosis / Ha]]*MielieLandeA_VO[[#This Row],[Prys per Eenheid]]</calculatedColumnFormula>
    </tableColumn>
    <tableColumn id="4" xr3:uid="{00000000-0010-0000-0200-000004000000}" name="Volume Totaal" dataDxfId="164" totalsRowDxfId="163" dataCellStyle="Comma">
      <calculatedColumnFormula>$B$2*I10</calculatedColumnFormula>
    </tableColumn>
    <tableColumn id="5" xr3:uid="{00000000-0010-0000-0200-000005000000}" name="Aantal Eenhede Benodig" dataDxfId="162" totalsRowDxfId="161" dataCellStyle="Comma"/>
    <tableColumn id="6" xr3:uid="{00000000-0010-0000-0200-000006000000}" name="Prys Totaal" totalsRowFunction="sum" dataDxfId="160" totalsRowDxfId="159" dataCellStyle="Comma">
      <calculatedColumnFormula>$B$2*MielieLandeA_VO[[#This Row],[Koste per Ha]]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P9:U24" totalsRowCount="1" headerRowDxfId="158" dataDxfId="156" totalsRowDxfId="154" headerRowBorderDxfId="157" tableBorderDxfId="155" totalsRowBorderDxfId="153" dataCellStyle="Comma">
  <autoFilter ref="P9:U23" xr:uid="{00000000-0009-0000-0100-000004000000}"/>
  <tableColumns count="6">
    <tableColumn id="1" xr3:uid="{00000000-0010-0000-0300-000001000000}" name="Dosis / Ha" totalsRowLabel="Total" dataDxfId="152" totalsRowDxfId="151" dataCellStyle="Comma"/>
    <tableColumn id="2" xr3:uid="{00000000-0010-0000-0300-000002000000}" name="Prys per Eenheid" dataDxfId="150" totalsRowDxfId="149" dataCellStyle="Comma">
      <calculatedColumnFormula>IF(Table4[[#This Row],[Dosis / Ha]]&gt;0,VLOOKUP(MielieLandeA_WB[[#This Row],[Mielie Lande A (Mielies op Mielies)]],Pryse!C:D,2,0),0)</calculatedColumnFormula>
    </tableColumn>
    <tableColumn id="3" xr3:uid="{00000000-0010-0000-0300-000003000000}" name="Koste per Ha" totalsRowFunction="sum" dataDxfId="148" totalsRowDxfId="147" dataCellStyle="Comma">
      <calculatedColumnFormula>Table4[[#This Row],[Dosis / Ha]]*Table4[[#This Row],[Prys per Eenheid]]</calculatedColumnFormula>
    </tableColumn>
    <tableColumn id="4" xr3:uid="{00000000-0010-0000-0300-000004000000}" name="Volume Totaal" dataDxfId="146" totalsRowDxfId="145" dataCellStyle="Comma">
      <calculatedColumnFormula>$B$2*P10</calculatedColumnFormula>
    </tableColumn>
    <tableColumn id="5" xr3:uid="{00000000-0010-0000-0300-000005000000}" name="Aantal Eenhede Benodig" dataDxfId="144" totalsRowDxfId="143" dataCellStyle="Comma"/>
    <tableColumn id="6" xr3:uid="{00000000-0010-0000-0300-000006000000}" name="Prys Totaal" totalsRowFunction="sum" dataDxfId="142" totalsRowDxfId="141" dataCellStyle="Comma">
      <calculatedColumnFormula>$B$2*Table4[[#This Row],[Koste per Ha]]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I43:N58" totalsRowCount="1" headerRowDxfId="140" headerRowBorderDxfId="139" tableBorderDxfId="138" totalsRowBorderDxfId="137">
  <autoFilter ref="I43:N57" xr:uid="{00000000-0009-0000-0100-000005000000}"/>
  <tableColumns count="6">
    <tableColumn id="1" xr3:uid="{00000000-0010-0000-0400-000001000000}" name="Dosis / Ha" totalsRowLabel="Total" dataDxfId="136" totalsRowDxfId="135" dataCellStyle="Comma"/>
    <tableColumn id="2" xr3:uid="{00000000-0010-0000-0400-000002000000}" name="Prys per Eenheid" dataDxfId="134" totalsRowDxfId="133">
      <calculatedColumnFormula>IF(Table5[[#This Row],[Dosis / Ha]]&gt;0,VLOOKUP(SojaboonLandeWB[[#This Row],[Sojaboon lande]],Pryse!C:D,2,0),0)</calculatedColumnFormula>
    </tableColumn>
    <tableColumn id="3" xr3:uid="{00000000-0010-0000-0400-000003000000}" name="Koste per Ha" totalsRowFunction="sum" dataDxfId="132" totalsRowDxfId="131">
      <calculatedColumnFormula>Table5[[#This Row],[Dosis / Ha]]*Table5[[#This Row],[Prys per Eenheid]]</calculatedColumnFormula>
    </tableColumn>
    <tableColumn id="4" xr3:uid="{00000000-0010-0000-0400-000004000000}" name="Volume Totaal" dataDxfId="130" totalsRowDxfId="129" dataCellStyle="Comma">
      <calculatedColumnFormula>$B$4*I44</calculatedColumnFormula>
    </tableColumn>
    <tableColumn id="5" xr3:uid="{00000000-0010-0000-0400-000005000000}" name="Aantal Eenhede Benodig" dataDxfId="128" totalsRowDxfId="127" dataCellStyle="Comma"/>
    <tableColumn id="6" xr3:uid="{00000000-0010-0000-0400-000006000000}" name="Prys Totaal" totalsRowFunction="sum" dataDxfId="126" totalsRowDxfId="125" dataCellStyle="Comma">
      <calculatedColumnFormula>$B$4*Table5[[#This Row],[Koste per Ha]]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P43:U58" totalsRowCount="1" headerRowDxfId="124" headerRowBorderDxfId="123" tableBorderDxfId="122" totalsRowBorderDxfId="121">
  <autoFilter ref="P43:U57" xr:uid="{00000000-0009-0000-0100-000006000000}"/>
  <tableColumns count="6">
    <tableColumn id="1" xr3:uid="{00000000-0010-0000-0500-000001000000}" name="Dosis / Ha" totalsRowLabel="Total" dataDxfId="120" totalsRowDxfId="119" dataCellStyle="Comma"/>
    <tableColumn id="2" xr3:uid="{00000000-0010-0000-0500-000002000000}" name="Prys per Eenheid" dataDxfId="118" totalsRowDxfId="117">
      <calculatedColumnFormula>IF(Table6[[#This Row],[Dosis / Ha]]&gt;0,VLOOKUP(SojaboonLandeWB[[#This Row],[Sojaboon lande]],Pryse!C:D,2,0),0)</calculatedColumnFormula>
    </tableColumn>
    <tableColumn id="3" xr3:uid="{00000000-0010-0000-0500-000003000000}" name="Koste per Ha" totalsRowFunction="sum" dataDxfId="116" totalsRowDxfId="115">
      <calculatedColumnFormula>Table6[[#This Row],[Dosis / Ha]]*Table6[[#This Row],[Prys per Eenheid]]</calculatedColumnFormula>
    </tableColumn>
    <tableColumn id="4" xr3:uid="{00000000-0010-0000-0500-000004000000}" name="Volume Totaal" dataDxfId="114" totalsRowDxfId="113" dataCellStyle="Comma">
      <calculatedColumnFormula>$B$4*P44</calculatedColumnFormula>
    </tableColumn>
    <tableColumn id="5" xr3:uid="{00000000-0010-0000-0500-000005000000}" name="Aantal Eenhede Benodig" dataDxfId="112" totalsRowDxfId="111" dataCellStyle="Comma"/>
    <tableColumn id="6" xr3:uid="{00000000-0010-0000-0500-000006000000}" name="Prys Totaal" totalsRowFunction="sum" dataDxfId="110" totalsRowDxfId="109" dataCellStyle="Comma">
      <calculatedColumnFormula>$B$4*Table6[[#This Row],[Koste per Ha]]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MielieLandeB_VO" displayName="MielieLandeB_VO" ref="I26:N41" totalsRowCount="1" headerRowDxfId="108" dataDxfId="106" headerRowBorderDxfId="107" tableBorderDxfId="105" dataCellStyle="Comma">
  <autoFilter ref="I26:N40" xr:uid="{00000000-0009-0000-0100-000007000000}"/>
  <tableColumns count="6">
    <tableColumn id="1" xr3:uid="{00000000-0010-0000-0600-000001000000}" name="Dosis / Ha" totalsRowLabel="Total" dataDxfId="104" totalsRowDxfId="103" dataCellStyle="Comma"/>
    <tableColumn id="2" xr3:uid="{00000000-0010-0000-0600-000002000000}" name="Prys per Eenheid" dataDxfId="102" totalsRowDxfId="101" dataCellStyle="Comma">
      <calculatedColumnFormula>IF(MielieLandeB_VO[[#This Row],[Dosis / Ha]]&gt;0,VLOOKUP(A29,Pryse!C:D,2,0),0)</calculatedColumnFormula>
    </tableColumn>
    <tableColumn id="3" xr3:uid="{00000000-0010-0000-0600-000003000000}" name="Koste per Ha" totalsRowFunction="sum" dataDxfId="100" totalsRowDxfId="99" dataCellStyle="Comma">
      <calculatedColumnFormula>MielieLandeB_VO[[#This Row],[Dosis / Ha]]*MielieLandeB_VO[[#This Row],[Prys per Eenheid]]</calculatedColumnFormula>
    </tableColumn>
    <tableColumn id="4" xr3:uid="{00000000-0010-0000-0600-000004000000}" name="Volume Totaal" dataDxfId="98" totalsRowDxfId="97" dataCellStyle="Comma">
      <calculatedColumnFormula>$B$3*I27</calculatedColumnFormula>
    </tableColumn>
    <tableColumn id="5" xr3:uid="{00000000-0010-0000-0600-000005000000}" name="Aantal Eenhede Benodig" dataDxfId="96" totalsRowDxfId="95" dataCellStyle="Comma"/>
    <tableColumn id="6" xr3:uid="{00000000-0010-0000-0600-000006000000}" name="Prys Totaal" totalsRowFunction="sum" dataDxfId="94" totalsRowDxfId="93" dataCellStyle="Comma">
      <calculatedColumnFormula>$B$3*MielieLandeB_VO[[#This Row],[Koste per Ha]]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MielieLandeB_WB" displayName="MielieLandeB_WB" ref="A26:G41" totalsRowCount="1" headerRowDxfId="92" headerRowBorderDxfId="91" tableBorderDxfId="90" totalsRowBorderDxfId="89">
  <autoFilter ref="A26:G40" xr:uid="{00000000-0009-0000-0100-000008000000}"/>
  <sortState xmlns:xlrd2="http://schemas.microsoft.com/office/spreadsheetml/2017/richdata2" ref="A25:G34">
    <sortCondition ref="A25:A34"/>
  </sortState>
  <tableColumns count="7">
    <tableColumn id="1" xr3:uid="{00000000-0010-0000-0700-000001000000}" name="Mielie Lande B (Mielies opgevolg op Sojabone)" totalsRowLabel="Total" totalsRowDxfId="88"/>
    <tableColumn id="2" xr3:uid="{00000000-0010-0000-0700-000002000000}" name="Dosis / Ha" dataDxfId="87" totalsRowDxfId="86" dataCellStyle="Comma"/>
    <tableColumn id="3" xr3:uid="{00000000-0010-0000-0700-000003000000}" name="Prys per Eenheid" dataDxfId="85" totalsRowDxfId="84">
      <calculatedColumnFormula>IF(MielieLandeB_WB[[#This Row],[Dosis / Ha]]&gt;0,VLOOKUP(A27,Pryse!C:D,2,0),0)</calculatedColumnFormula>
    </tableColumn>
    <tableColumn id="4" xr3:uid="{00000000-0010-0000-0700-000004000000}" name="Koste per Ha" totalsRowFunction="sum" dataDxfId="83" totalsRowDxfId="82">
      <calculatedColumnFormula>MielieLandeB_WB[[#This Row],[Dosis / Ha]]*MielieLandeB_WB[[#This Row],[Prys per Eenheid]]</calculatedColumnFormula>
    </tableColumn>
    <tableColumn id="5" xr3:uid="{00000000-0010-0000-0700-000005000000}" name="Volume Totaal" dataDxfId="81" totalsRowDxfId="80">
      <calculatedColumnFormula>$B$3*B10</calculatedColumnFormula>
    </tableColumn>
    <tableColumn id="6" xr3:uid="{00000000-0010-0000-0700-000006000000}" name="Aantal Eenhede Benodig" totalsRowDxfId="79"/>
    <tableColumn id="7" xr3:uid="{00000000-0010-0000-0700-000007000000}" name="Prys Totaal" totalsRowFunction="sum" dataDxfId="78" totalsRowDxfId="77">
      <calculatedColumnFormula>$B$3*MielieLandeB_WB[[#This Row],[Koste per Ha]]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MielieLandeB_VO10" displayName="MielieLandeB_VO10" ref="P26:U41" totalsRowCount="1" headerRowDxfId="76" dataDxfId="74" headerRowBorderDxfId="75" tableBorderDxfId="73" dataCellStyle="Comma">
  <autoFilter ref="P26:U40" xr:uid="{00000000-0009-0000-0100-000009000000}"/>
  <tableColumns count="6">
    <tableColumn id="1" xr3:uid="{00000000-0010-0000-0800-000001000000}" name="Dosis / Ha" totalsRowLabel="Total" dataDxfId="72" totalsRowDxfId="71" dataCellStyle="Comma"/>
    <tableColumn id="2" xr3:uid="{00000000-0010-0000-0800-000002000000}" name="Prys per Eenheid" dataDxfId="70" totalsRowDxfId="69" dataCellStyle="Comma">
      <calculatedColumnFormula>IF(MielieLandeB_VO10[[#This Row],[Dosis / Ha]]&gt;0,VLOOKUP(A29,Pryse!C:D,2,0),0)</calculatedColumnFormula>
    </tableColumn>
    <tableColumn id="3" xr3:uid="{00000000-0010-0000-0800-000003000000}" name="Koste per Ha" totalsRowFunction="sum" dataDxfId="68" totalsRowDxfId="67" dataCellStyle="Comma">
      <calculatedColumnFormula>MielieLandeB_VO10[[#This Row],[Dosis / Ha]]*MielieLandeB_VO10[[#This Row],[Prys per Eenheid]]</calculatedColumnFormula>
    </tableColumn>
    <tableColumn id="4" xr3:uid="{00000000-0010-0000-0800-000004000000}" name="Volume Totaal" dataDxfId="66" totalsRowDxfId="65" dataCellStyle="Comma">
      <calculatedColumnFormula>$B$3*P27</calculatedColumnFormula>
    </tableColumn>
    <tableColumn id="5" xr3:uid="{00000000-0010-0000-0800-000005000000}" name="Aantal Eenhede Benodig" dataDxfId="64" totalsRowDxfId="63" dataCellStyle="Comma"/>
    <tableColumn id="6" xr3:uid="{00000000-0010-0000-0800-000006000000}" name="Prys Totaal" totalsRowFunction="sum" dataDxfId="62" totalsRowDxfId="61" dataCellStyle="Comma">
      <calculatedColumnFormula>$B$3*MielieLandeB_VO10[[#This Row],[Koste per Ha]]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411" displayName="Table411" ref="W9:Z24" totalsRowCount="1" headerRowDxfId="60" dataDxfId="58" totalsRowDxfId="56" headerRowBorderDxfId="59" tableBorderDxfId="57" totalsRowBorderDxfId="55" dataCellStyle="Comma">
  <autoFilter ref="W9:Z23" xr:uid="{00000000-0009-0000-0100-00000A000000}"/>
  <tableColumns count="4">
    <tableColumn id="2" xr3:uid="{00000000-0010-0000-0900-000002000000}" name="Prys per Eenheid" dataDxfId="54" totalsRowDxfId="53" dataCellStyle="Comma">
      <calculatedColumnFormula>IF(Z10&gt;0,Table411[[#This Row],[Prys Totaal]]/Table411[[#This Row],[Volume Totaal]],0)</calculatedColumnFormula>
    </tableColumn>
    <tableColumn id="4" xr3:uid="{00000000-0010-0000-0900-000004000000}" name="Volume Totaal" dataDxfId="52" totalsRowDxfId="51" dataCellStyle="Comma">
      <calculatedColumnFormula>$B$2*#REF!</calculatedColumnFormula>
    </tableColumn>
    <tableColumn id="5" xr3:uid="{00000000-0010-0000-0900-000005000000}" name="Aantal Eenhede Benodig" dataDxfId="50" totalsRowDxfId="49" dataCellStyle="Comma"/>
    <tableColumn id="6" xr3:uid="{00000000-0010-0000-0900-000006000000}" name="Prys Totaal" totalsRowFunction="sum" dataDxfId="48" totalsRowDxfId="47" dataCellStyle="Comma">
      <calculatedColumnFormula>MielieLandeA_WB[[#This Row],[Prys Totaal]]+MielieLandeA_VO[[#This Row],[Prys Totaal]]+Table4[[#This Row],[Prys Totaal]]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W26:Z41" totalsRowCount="1" headerRowDxfId="46" headerRowBorderDxfId="45" tableBorderDxfId="44">
  <autoFilter ref="W26:Z40" xr:uid="{00000000-0009-0000-0100-00000B000000}"/>
  <tableColumns count="4">
    <tableColumn id="1" xr3:uid="{00000000-0010-0000-0A00-000001000000}" name="Prys per Eenheid" totalsRowLabel="Total" dataDxfId="43" totalsRowDxfId="42" dataCellStyle="Comma">
      <calculatedColumnFormula>IF(Z27&gt;0,Z27/X27,0)</calculatedColumnFormula>
    </tableColumn>
    <tableColumn id="2" xr3:uid="{00000000-0010-0000-0A00-000002000000}" name="Volume Totaal" dataDxfId="41" totalsRowDxfId="40" dataCellStyle="Comma">
      <calculatedColumnFormula>MielieLandeB_WB[[#This Row],[Volume Totaal]]+MielieLandeB_VO[[#This Row],[Volume Totaal]]+MielieLandeB_VO10[[#This Row],[Volume Totaal]]</calculatedColumnFormula>
    </tableColumn>
    <tableColumn id="3" xr3:uid="{00000000-0010-0000-0A00-000003000000}" name="Aantal Eenhede Benodig" dataDxfId="39" totalsRowDxfId="38" dataCellStyle="Comma"/>
    <tableColumn id="4" xr3:uid="{00000000-0010-0000-0A00-000004000000}" name="Prys Totaal" totalsRowFunction="sum" dataDxfId="37" totalsRowDxfId="36" dataCellStyle="Comma">
      <calculatedColumnFormula>+MielieLandeB_WB[[#This Row],[Prys Totaal]]+MielieLandeB_VO[[#This Row],[Prys Totaal]]+MielieLandeB_VO10[[#This Row],[Prys Totaal]]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W43:Z58" totalsRowCount="1" headerRowDxfId="35" headerRowBorderDxfId="34" tableBorderDxfId="33">
  <autoFilter ref="W43:Z57" xr:uid="{00000000-0009-0000-0100-00000C000000}"/>
  <tableColumns count="4">
    <tableColumn id="1" xr3:uid="{00000000-0010-0000-0B00-000001000000}" name="Prys per Eenheid" totalsRowLabel="Total" dataDxfId="32" totalsRowDxfId="31" dataCellStyle="Comma">
      <calculatedColumnFormula>IF(Z44&gt;0,Z44/X44,0)</calculatedColumnFormula>
    </tableColumn>
    <tableColumn id="2" xr3:uid="{00000000-0010-0000-0B00-000002000000}" name="Volume Totaal" dataDxfId="30" totalsRowDxfId="29" dataCellStyle="Comma">
      <calculatedColumnFormula>+SojaboonLandeWB[[#This Row],[Volume Totaal]]+Table5[[#This Row],[Volume Totaal]]+Table6[[#This Row],[Volume Totaal]]</calculatedColumnFormula>
    </tableColumn>
    <tableColumn id="3" xr3:uid="{00000000-0010-0000-0B00-000003000000}" name="Aantal Eenhede Benodig" dataDxfId="28" totalsRowDxfId="27" dataCellStyle="Comma"/>
    <tableColumn id="4" xr3:uid="{00000000-0010-0000-0B00-000004000000}" name="Prys Totaal" totalsRowFunction="sum" dataDxfId="26" totalsRowDxfId="25" dataCellStyle="Comma">
      <calculatedColumnFormula>+SojaboonLandeWB[[#This Row],[Prys Totaal]]+Table5[[#This Row],[Prys Totaal]]+Table6[[#This Row],[Prys Totaal]]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41114" displayName="Table41114" ref="AB9:AE24" totalsRowCount="1" headerRowDxfId="24" dataDxfId="22" totalsRowDxfId="20" headerRowBorderDxfId="23" tableBorderDxfId="21" totalsRowBorderDxfId="19" dataCellStyle="Comma">
  <autoFilter ref="AB9:AE23" xr:uid="{00000000-0009-0000-0100-00000D000000}"/>
  <tableColumns count="4">
    <tableColumn id="2" xr3:uid="{00000000-0010-0000-0C00-000002000000}" name="Prys per Eenheid" dataDxfId="18" totalsRowDxfId="17" dataCellStyle="Comma">
      <calculatedColumnFormula>IF(AE10&gt;0,Table41114[[#This Row],[Prys Totaal]]/Table41114[[#This Row],[Volume Totaal]],0)</calculatedColumnFormula>
    </tableColumn>
    <tableColumn id="4" xr3:uid="{00000000-0010-0000-0C00-000004000000}" name="Volume Totaal" dataDxfId="16" totalsRowDxfId="15" dataCellStyle="Comma">
      <calculatedColumnFormula>Table411[[#This Row],[Volume Totaal]]+X27</calculatedColumnFormula>
    </tableColumn>
    <tableColumn id="5" xr3:uid="{00000000-0010-0000-0C00-000005000000}" name="Aantal Eenhede Benodig" dataDxfId="14" totalsRowDxfId="13" dataCellStyle="Comma"/>
    <tableColumn id="6" xr3:uid="{00000000-0010-0000-0C00-000006000000}" name="Prys Totaal" totalsRowFunction="sum" dataDxfId="12" totalsRowDxfId="11" dataCellStyle="Comma">
      <calculatedColumnFormula>Table411[[#This Row],[Prys Totaal]]+Z27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AG9:AJ24" totalsRowCount="1" headerRowDxfId="10" headerRowBorderDxfId="9" tableBorderDxfId="8">
  <autoFilter ref="AG9:AJ23" xr:uid="{00000000-0009-0000-0100-00000E000000}"/>
  <tableColumns count="4">
    <tableColumn id="1" xr3:uid="{00000000-0010-0000-0D00-000001000000}" name="Prys per Eenheid" totalsRowLabel="Total" dataDxfId="7" totalsRowDxfId="6" dataCellStyle="Comma">
      <calculatedColumnFormula>IF(AJ10&gt;0,AJ10/AH10,0)</calculatedColumnFormula>
    </tableColumn>
    <tableColumn id="2" xr3:uid="{00000000-0010-0000-0D00-000002000000}" name="Volume Totaal" dataDxfId="5" totalsRowDxfId="4" dataCellStyle="Comma">
      <calculatedColumnFormula>Table41114[[#This Row],[Volume Totaal]]+X44</calculatedColumnFormula>
    </tableColumn>
    <tableColumn id="3" xr3:uid="{00000000-0010-0000-0D00-000003000000}" name="Aantal Eenhede Benodig" dataDxfId="3" totalsRowDxfId="2" dataCellStyle="Comma"/>
    <tableColumn id="4" xr3:uid="{00000000-0010-0000-0D00-000004000000}" name="Prys Totaal" totalsRowFunction="sum" dataDxfId="1" totalsRowDxfId="0" dataCellStyle="Comma">
      <calculatedColumnFormula>Table41114[[#This Row],[Prys Totaal]]+Z44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48576"/>
  <sheetViews>
    <sheetView tabSelected="1" topLeftCell="A5" workbookViewId="0">
      <pane xSplit="1" ySplit="6" topLeftCell="B11" activePane="bottomRight" state="frozen"/>
      <selection activeCell="A5" sqref="A5"/>
      <selection pane="topRight" activeCell="B5" sqref="B5"/>
      <selection pane="bottomLeft" activeCell="A11" sqref="A11"/>
      <selection pane="bottomRight" activeCell="G24" sqref="G24"/>
    </sheetView>
  </sheetViews>
  <sheetFormatPr defaultRowHeight="14.4" x14ac:dyDescent="0.3"/>
  <cols>
    <col min="1" max="1" width="44.88671875" customWidth="1"/>
    <col min="2" max="2" width="12.44140625" customWidth="1"/>
    <col min="3" max="3" width="10.5546875" bestFit="1" customWidth="1"/>
    <col min="4" max="4" width="11.6640625" bestFit="1" customWidth="1"/>
    <col min="5" max="5" width="11.6640625" style="4" bestFit="1" customWidth="1"/>
    <col min="6" max="6" width="11.109375" style="4" bestFit="1" customWidth="1"/>
    <col min="7" max="7" width="15.109375" style="4" customWidth="1"/>
    <col min="8" max="8" width="2.109375" style="4" customWidth="1"/>
    <col min="9" max="9" width="12" style="4" bestFit="1" customWidth="1"/>
    <col min="10" max="10" width="10.5546875" style="4" bestFit="1" customWidth="1"/>
    <col min="11" max="11" width="11.6640625" bestFit="1" customWidth="1"/>
    <col min="12" max="12" width="10.33203125" style="4" bestFit="1" customWidth="1"/>
    <col min="13" max="13" width="11.109375" bestFit="1" customWidth="1"/>
    <col min="14" max="14" width="12.88671875" bestFit="1" customWidth="1"/>
    <col min="15" max="15" width="2.109375" customWidth="1"/>
    <col min="16" max="16" width="12" bestFit="1" customWidth="1"/>
    <col min="17" max="17" width="11.88671875" style="4" customWidth="1"/>
    <col min="18" max="18" width="11" customWidth="1"/>
    <col min="19" max="19" width="12.5546875" bestFit="1" customWidth="1"/>
    <col min="20" max="20" width="11.109375" customWidth="1"/>
    <col min="21" max="21" width="12.88671875" customWidth="1"/>
    <col min="22" max="22" width="2.33203125" customWidth="1"/>
    <col min="23" max="23" width="11.6640625" bestFit="1" customWidth="1"/>
    <col min="24" max="24" width="9.5546875" customWidth="1"/>
    <col min="25" max="25" width="11.109375" bestFit="1" customWidth="1"/>
    <col min="26" max="26" width="12.88671875" bestFit="1" customWidth="1"/>
    <col min="27" max="27" width="2.44140625" customWidth="1"/>
    <col min="29" max="29" width="10.33203125" bestFit="1" customWidth="1"/>
    <col min="30" max="30" width="11.109375" bestFit="1" customWidth="1"/>
    <col min="31" max="31" width="14.44140625" bestFit="1" customWidth="1"/>
    <col min="32" max="32" width="2.88671875" customWidth="1"/>
    <col min="33" max="33" width="12.5546875" customWidth="1"/>
    <col min="34" max="34" width="10.33203125" bestFit="1" customWidth="1"/>
    <col min="35" max="35" width="11.109375" bestFit="1" customWidth="1"/>
    <col min="36" max="36" width="14.44140625" bestFit="1" customWidth="1"/>
  </cols>
  <sheetData>
    <row r="1" spans="1:38" ht="29.25" customHeight="1" x14ac:dyDescent="0.3">
      <c r="A1" s="3" t="s">
        <v>31</v>
      </c>
      <c r="B1" s="17" t="s">
        <v>38</v>
      </c>
      <c r="C1" s="4" t="s">
        <v>12</v>
      </c>
      <c r="D1" s="4"/>
      <c r="K1" s="4"/>
      <c r="M1" s="4"/>
      <c r="N1" s="4"/>
      <c r="O1" s="4"/>
      <c r="P1" s="4"/>
    </row>
    <row r="2" spans="1:38" x14ac:dyDescent="0.3">
      <c r="A2" s="1" t="s">
        <v>28</v>
      </c>
      <c r="B2" s="2">
        <v>500</v>
      </c>
    </row>
    <row r="3" spans="1:38" x14ac:dyDescent="0.3">
      <c r="A3" s="1" t="s">
        <v>29</v>
      </c>
      <c r="B3" s="2">
        <v>500</v>
      </c>
      <c r="C3" s="2">
        <f>B3+B2</f>
        <v>1000</v>
      </c>
    </row>
    <row r="4" spans="1:38" x14ac:dyDescent="0.3">
      <c r="A4" s="1" t="s">
        <v>30</v>
      </c>
      <c r="B4" s="2">
        <v>1000</v>
      </c>
      <c r="C4" s="2">
        <f>C3+B4</f>
        <v>2000</v>
      </c>
    </row>
    <row r="6" spans="1:38" ht="15" customHeight="1" x14ac:dyDescent="0.3">
      <c r="B6" s="181" t="s">
        <v>33</v>
      </c>
      <c r="C6" s="182"/>
      <c r="D6" s="182"/>
      <c r="E6" s="182"/>
      <c r="F6" s="182"/>
      <c r="G6" s="183"/>
      <c r="I6" s="187" t="s">
        <v>35</v>
      </c>
      <c r="J6" s="188"/>
      <c r="K6" s="188"/>
      <c r="L6" s="188"/>
      <c r="M6" s="188"/>
      <c r="N6" s="189"/>
      <c r="P6" s="193" t="s">
        <v>34</v>
      </c>
      <c r="Q6" s="194"/>
      <c r="R6" s="194"/>
      <c r="S6" s="194"/>
      <c r="T6" s="194"/>
      <c r="U6" s="195"/>
      <c r="W6" s="177" t="s">
        <v>43</v>
      </c>
      <c r="X6" s="177"/>
      <c r="Y6" s="177"/>
      <c r="Z6" s="178"/>
      <c r="AB6" s="177" t="s">
        <v>44</v>
      </c>
      <c r="AC6" s="177"/>
      <c r="AD6" s="177"/>
      <c r="AE6" s="178"/>
      <c r="AG6" s="177" t="s">
        <v>45</v>
      </c>
      <c r="AH6" s="177"/>
      <c r="AI6" s="177"/>
      <c r="AJ6" s="178"/>
      <c r="AK6" t="s">
        <v>69</v>
      </c>
    </row>
    <row r="7" spans="1:38" ht="15" customHeight="1" x14ac:dyDescent="0.3">
      <c r="B7" s="184"/>
      <c r="C7" s="185"/>
      <c r="D7" s="185"/>
      <c r="E7" s="185"/>
      <c r="F7" s="185"/>
      <c r="G7" s="186"/>
      <c r="I7" s="190"/>
      <c r="J7" s="191"/>
      <c r="K7" s="191"/>
      <c r="L7" s="191"/>
      <c r="M7" s="191"/>
      <c r="N7" s="192"/>
      <c r="P7" s="196"/>
      <c r="Q7" s="197"/>
      <c r="R7" s="197"/>
      <c r="S7" s="197"/>
      <c r="T7" s="197"/>
      <c r="U7" s="198"/>
      <c r="W7" s="179"/>
      <c r="X7" s="179"/>
      <c r="Y7" s="179"/>
      <c r="Z7" s="180"/>
      <c r="AB7" s="179"/>
      <c r="AC7" s="179"/>
      <c r="AD7" s="179"/>
      <c r="AE7" s="180"/>
      <c r="AG7" s="179"/>
      <c r="AH7" s="179"/>
      <c r="AI7" s="179"/>
      <c r="AJ7" s="180"/>
      <c r="AK7" t="s">
        <v>70</v>
      </c>
      <c r="AL7">
        <v>4567</v>
      </c>
    </row>
    <row r="8" spans="1:38" ht="11.25" customHeight="1" x14ac:dyDescent="0.3">
      <c r="B8" s="7"/>
      <c r="C8" s="7"/>
      <c r="D8" s="7"/>
      <c r="E8" s="7"/>
      <c r="F8" s="7"/>
      <c r="G8" s="7"/>
      <c r="I8" s="8"/>
      <c r="J8" s="8"/>
      <c r="K8" s="8"/>
      <c r="L8" s="8"/>
      <c r="M8" s="8"/>
      <c r="N8" s="8"/>
      <c r="P8" s="9"/>
      <c r="Q8" s="9"/>
      <c r="R8" s="9"/>
      <c r="S8" s="9"/>
      <c r="T8" s="9"/>
      <c r="U8" s="9"/>
      <c r="W8" s="65"/>
      <c r="X8" s="65"/>
      <c r="Y8" s="65"/>
      <c r="Z8" s="65"/>
      <c r="AB8" s="65"/>
      <c r="AC8" s="65"/>
      <c r="AD8" s="65"/>
      <c r="AE8" s="65"/>
      <c r="AK8" t="s">
        <v>71</v>
      </c>
      <c r="AL8">
        <v>9875</v>
      </c>
    </row>
    <row r="9" spans="1:38" ht="57" customHeight="1" x14ac:dyDescent="0.3">
      <c r="A9" s="11" t="s">
        <v>28</v>
      </c>
      <c r="B9" s="12" t="s">
        <v>32</v>
      </c>
      <c r="C9" s="16" t="s">
        <v>37</v>
      </c>
      <c r="D9" s="21" t="s">
        <v>6</v>
      </c>
      <c r="E9" s="21" t="s">
        <v>40</v>
      </c>
      <c r="F9" s="21" t="s">
        <v>41</v>
      </c>
      <c r="G9" s="21" t="s">
        <v>39</v>
      </c>
      <c r="I9" s="11" t="s">
        <v>32</v>
      </c>
      <c r="J9" s="16" t="s">
        <v>37</v>
      </c>
      <c r="K9" s="21" t="s">
        <v>6</v>
      </c>
      <c r="L9" s="25" t="s">
        <v>40</v>
      </c>
      <c r="M9" s="25" t="s">
        <v>41</v>
      </c>
      <c r="N9" s="25" t="s">
        <v>39</v>
      </c>
      <c r="O9" s="26"/>
      <c r="P9" s="11" t="s">
        <v>32</v>
      </c>
      <c r="Q9" s="16" t="s">
        <v>37</v>
      </c>
      <c r="R9" s="21" t="s">
        <v>6</v>
      </c>
      <c r="S9" s="25" t="s">
        <v>40</v>
      </c>
      <c r="T9" s="25" t="s">
        <v>41</v>
      </c>
      <c r="U9" s="25" t="s">
        <v>39</v>
      </c>
      <c r="W9" s="16" t="s">
        <v>37</v>
      </c>
      <c r="X9" s="25" t="s">
        <v>40</v>
      </c>
      <c r="Y9" s="25" t="s">
        <v>41</v>
      </c>
      <c r="Z9" s="25" t="s">
        <v>39</v>
      </c>
      <c r="AB9" s="16" t="s">
        <v>37</v>
      </c>
      <c r="AC9" s="25" t="s">
        <v>40</v>
      </c>
      <c r="AD9" s="25" t="s">
        <v>41</v>
      </c>
      <c r="AE9" s="25" t="s">
        <v>39</v>
      </c>
      <c r="AG9" s="67" t="s">
        <v>37</v>
      </c>
      <c r="AH9" s="43" t="s">
        <v>40</v>
      </c>
      <c r="AI9" s="43" t="s">
        <v>41</v>
      </c>
      <c r="AJ9" s="43" t="s">
        <v>39</v>
      </c>
    </row>
    <row r="10" spans="1:38" x14ac:dyDescent="0.3">
      <c r="A10" s="10" t="s">
        <v>8</v>
      </c>
      <c r="B10" s="174">
        <v>0.25</v>
      </c>
      <c r="C10" s="27">
        <f>IF(MielieLandeA_WB[[#This Row],[Dosis / Ha]]&gt;0,VLOOKUP(MielieLandeA_WB[[#This Row],[Mielie Lande A (Mielies op Mielies)]],Pryse!C:D,2,0),0)</f>
        <v>50</v>
      </c>
      <c r="D10" s="27">
        <f>MielieLandeA_WB[[#This Row],[Dosis / Ha]]*MielieLandeA_WB[[#This Row],[Prys per Eenheid]]</f>
        <v>12.5</v>
      </c>
      <c r="E10" s="5">
        <f t="shared" ref="E10:E22" si="0">$B$2*B10</f>
        <v>125</v>
      </c>
      <c r="F10" s="5"/>
      <c r="G10" s="27">
        <f>$B$2*MielieLandeA_WB[[#This Row],[Koste per Ha]]</f>
        <v>6250</v>
      </c>
      <c r="I10" s="174"/>
      <c r="J10" s="23">
        <f>IF(MielieLandeA_VO[[#This Row],[Dosis / Ha]]&gt;0,VLOOKUP(MielieLandeA_WB[[#This Row],[Mielie Lande A (Mielies op Mielies)]],Pryse!C:D,2,0),0)</f>
        <v>0</v>
      </c>
      <c r="K10" s="22">
        <f>MielieLandeA_VO[[#This Row],[Dosis / Ha]]*MielieLandeA_VO[[#This Row],[Prys per Eenheid]]</f>
        <v>0</v>
      </c>
      <c r="L10" s="19">
        <f t="shared" ref="L10:L23" si="1">$B$2*I10</f>
        <v>0</v>
      </c>
      <c r="M10" s="19"/>
      <c r="N10" s="22">
        <f>$B$2*MielieLandeA_VO[[#This Row],[Koste per Ha]]</f>
        <v>0</v>
      </c>
      <c r="O10" s="15"/>
      <c r="P10" s="62"/>
      <c r="Q10" s="23">
        <f>IF(Table4[[#This Row],[Dosis / Ha]]&gt;0,VLOOKUP(MielieLandeA_WB[[#This Row],[Mielie Lande A (Mielies op Mielies)]],Pryse!C:D,2,0),0)</f>
        <v>0</v>
      </c>
      <c r="R10" s="22">
        <f>Table4[[#This Row],[Dosis / Ha]]*Table4[[#This Row],[Prys per Eenheid]]</f>
        <v>0</v>
      </c>
      <c r="S10" s="19">
        <f t="shared" ref="S10:S23" si="2">$B$2*P10</f>
        <v>0</v>
      </c>
      <c r="T10" s="19"/>
      <c r="U10" s="22">
        <f>$B$2*Table4[[#This Row],[Koste per Ha]]</f>
        <v>0</v>
      </c>
      <c r="W10" s="23">
        <f>IF(Z10&gt;0,Table411[[#This Row],[Prys Totaal]]/Table411[[#This Row],[Volume Totaal]],0)</f>
        <v>50</v>
      </c>
      <c r="X10" s="19">
        <f>MielieLandeA_WB[[#This Row],[Volume Totaal]]+MielieLandeA_VO[[#This Row],[Volume Totaal]]+Table4[[#This Row],[Volume Totaal]]</f>
        <v>125</v>
      </c>
      <c r="Y10" s="19"/>
      <c r="Z10" s="22">
        <f>MielieLandeA_WB[[#This Row],[Prys Totaal]]+MielieLandeA_VO[[#This Row],[Prys Totaal]]+Table4[[#This Row],[Prys Totaal]]</f>
        <v>6250</v>
      </c>
      <c r="AB10" s="23">
        <f>IF(AE10&gt;0,Table41114[[#This Row],[Prys Totaal]]/Table41114[[#This Row],[Volume Totaal]],0)</f>
        <v>50</v>
      </c>
      <c r="AC10" s="19">
        <f>Table411[[#This Row],[Volume Totaal]]+X27</f>
        <v>250</v>
      </c>
      <c r="AD10" s="19"/>
      <c r="AE10" s="22">
        <f>Table411[[#This Row],[Prys Totaal]]+Z27</f>
        <v>12500</v>
      </c>
      <c r="AG10" s="66">
        <f>IF(AJ10&gt;0,AJ10/AH10,0)</f>
        <v>50</v>
      </c>
      <c r="AH10" s="36">
        <f>Table41114[[#This Row],[Volume Totaal]]+X44</f>
        <v>500</v>
      </c>
      <c r="AI10" s="36"/>
      <c r="AJ10" s="37">
        <f>Table41114[[#This Row],[Prys Totaal]]+Z44</f>
        <v>25000</v>
      </c>
    </row>
    <row r="11" spans="1:38" x14ac:dyDescent="0.3">
      <c r="A11" s="10" t="s">
        <v>17</v>
      </c>
      <c r="B11" s="174"/>
      <c r="C11" s="27">
        <f>IF(MielieLandeA_WB[[#This Row],[Dosis / Ha]]&gt;0,VLOOKUP(MielieLandeA_WB[[#This Row],[Mielie Lande A (Mielies op Mielies)]],Pryse!C:D,2,0),0)</f>
        <v>0</v>
      </c>
      <c r="D11" s="27">
        <f>MielieLandeA_WB[[#This Row],[Dosis / Ha]]*MielieLandeA_WB[[#This Row],[Prys per Eenheid]]</f>
        <v>0</v>
      </c>
      <c r="E11" s="5">
        <f t="shared" si="0"/>
        <v>0</v>
      </c>
      <c r="F11" s="5"/>
      <c r="G11" s="27">
        <f>$B$2*MielieLandeA_WB[[#This Row],[Koste per Ha]]</f>
        <v>0</v>
      </c>
      <c r="I11" s="174"/>
      <c r="J11" s="23">
        <f>IF(MielieLandeA_VO[[#This Row],[Dosis / Ha]]&gt;0,VLOOKUP(MielieLandeA_WB[[#This Row],[Mielie Lande A (Mielies op Mielies)]],Pryse!C:D,2,0),0)</f>
        <v>0</v>
      </c>
      <c r="K11" s="23">
        <f>MielieLandeA_VO[[#This Row],[Dosis / Ha]]*MielieLandeA_VO[[#This Row],[Prys per Eenheid]]</f>
        <v>0</v>
      </c>
      <c r="L11" s="18">
        <f t="shared" si="1"/>
        <v>0</v>
      </c>
      <c r="M11" s="18"/>
      <c r="N11" s="23">
        <f>$B$2*MielieLandeA_VO[[#This Row],[Koste per Ha]]</f>
        <v>0</v>
      </c>
      <c r="O11" s="15"/>
      <c r="P11" s="62"/>
      <c r="Q11" s="23">
        <f>IF(Table4[[#This Row],[Dosis / Ha]]&gt;0,VLOOKUP(MielieLandeA_WB[[#This Row],[Mielie Lande A (Mielies op Mielies)]],Pryse!C:D,2,0),0)</f>
        <v>0</v>
      </c>
      <c r="R11" s="23">
        <f>Table4[[#This Row],[Dosis / Ha]]*Table4[[#This Row],[Prys per Eenheid]]</f>
        <v>0</v>
      </c>
      <c r="S11" s="18">
        <f t="shared" si="2"/>
        <v>0</v>
      </c>
      <c r="T11" s="18"/>
      <c r="U11" s="23">
        <f>$B$2*Table4[[#This Row],[Koste per Ha]]</f>
        <v>0</v>
      </c>
      <c r="W11" s="23">
        <f>IF(Z11&gt;0,Table411[[#This Row],[Prys Totaal]]/Table411[[#This Row],[Volume Totaal]],0)</f>
        <v>0</v>
      </c>
      <c r="X11" s="19">
        <f>MielieLandeA_WB[[#This Row],[Volume Totaal]]+MielieLandeA_VO[[#This Row],[Volume Totaal]]+Table4[[#This Row],[Volume Totaal]]</f>
        <v>0</v>
      </c>
      <c r="Y11" s="18"/>
      <c r="Z11" s="23">
        <f>MielieLandeA_WB[[#This Row],[Prys Totaal]]+MielieLandeA_VO[[#This Row],[Prys Totaal]]+Table4[[#This Row],[Prys Totaal]]</f>
        <v>0</v>
      </c>
      <c r="AB11" s="23">
        <f>IF(AE11&gt;0,Table41114[[#This Row],[Prys Totaal]]/Table41114[[#This Row],[Volume Totaal]],0)</f>
        <v>0</v>
      </c>
      <c r="AC11" s="19">
        <f>Table411[[#This Row],[Volume Totaal]]+X28</f>
        <v>0</v>
      </c>
      <c r="AD11" s="18"/>
      <c r="AE11" s="23">
        <f>Table411[[#This Row],[Prys Totaal]]+Z28</f>
        <v>0</v>
      </c>
      <c r="AG11" s="66">
        <f t="shared" ref="AG11:AG23" si="3">IF(AJ11&gt;0,AJ11/AH11,0)</f>
        <v>0</v>
      </c>
      <c r="AH11" s="36">
        <f>Table41114[[#This Row],[Volume Totaal]]+X45</f>
        <v>0</v>
      </c>
      <c r="AI11" s="18"/>
      <c r="AJ11" s="37">
        <f>Table41114[[#This Row],[Prys Totaal]]+Z45</f>
        <v>0</v>
      </c>
    </row>
    <row r="12" spans="1:38" x14ac:dyDescent="0.3">
      <c r="A12" s="10" t="s">
        <v>14</v>
      </c>
      <c r="B12" s="174"/>
      <c r="C12" s="27">
        <f>IF(MielieLandeA_WB[[#This Row],[Dosis / Ha]]&gt;0,VLOOKUP(MielieLandeA_WB[[#This Row],[Mielie Lande A (Mielies op Mielies)]],Pryse!C:D,2,0),0)</f>
        <v>0</v>
      </c>
      <c r="D12" s="27">
        <f>MielieLandeA_WB[[#This Row],[Dosis / Ha]]*MielieLandeA_WB[[#This Row],[Prys per Eenheid]]</f>
        <v>0</v>
      </c>
      <c r="E12" s="5">
        <f t="shared" si="0"/>
        <v>0</v>
      </c>
      <c r="F12" s="5"/>
      <c r="G12" s="27">
        <f>$B$2*MielieLandeA_WB[[#This Row],[Koste per Ha]]</f>
        <v>0</v>
      </c>
      <c r="I12" s="174">
        <v>0.25</v>
      </c>
      <c r="J12" s="23">
        <f>IF(MielieLandeA_VO[[#This Row],[Dosis / Ha]]&gt;0,VLOOKUP(MielieLandeA_WB[[#This Row],[Mielie Lande A (Mielies op Mielies)]],Pryse!C:D,2,0),0)</f>
        <v>220</v>
      </c>
      <c r="K12" s="23">
        <f>MielieLandeA_VO[[#This Row],[Dosis / Ha]]*MielieLandeA_VO[[#This Row],[Prys per Eenheid]]</f>
        <v>55</v>
      </c>
      <c r="L12" s="18">
        <f t="shared" si="1"/>
        <v>125</v>
      </c>
      <c r="M12" s="18"/>
      <c r="N12" s="23">
        <f>$B$2*MielieLandeA_VO[[#This Row],[Koste per Ha]]</f>
        <v>27500</v>
      </c>
      <c r="O12" s="15"/>
      <c r="P12" s="62">
        <v>0.25</v>
      </c>
      <c r="Q12" s="23">
        <f>IF(Table4[[#This Row],[Dosis / Ha]]&gt;0,VLOOKUP(MielieLandeA_WB[[#This Row],[Mielie Lande A (Mielies op Mielies)]],Pryse!C:D,2,0),0)</f>
        <v>220</v>
      </c>
      <c r="R12" s="23">
        <f>Table4[[#This Row],[Dosis / Ha]]*Table4[[#This Row],[Prys per Eenheid]]</f>
        <v>55</v>
      </c>
      <c r="S12" s="18">
        <f t="shared" si="2"/>
        <v>125</v>
      </c>
      <c r="T12" s="18"/>
      <c r="U12" s="23">
        <f>$B$2*Table4[[#This Row],[Koste per Ha]]</f>
        <v>27500</v>
      </c>
      <c r="W12" s="23">
        <f>IF(Z12&gt;0,Table411[[#This Row],[Prys Totaal]]/Table411[[#This Row],[Volume Totaal]],0)</f>
        <v>220</v>
      </c>
      <c r="X12" s="19">
        <f>MielieLandeA_WB[[#This Row],[Volume Totaal]]+MielieLandeA_VO[[#This Row],[Volume Totaal]]+Table4[[#This Row],[Volume Totaal]]</f>
        <v>250</v>
      </c>
      <c r="Y12" s="18"/>
      <c r="Z12" s="23">
        <f>MielieLandeA_WB[[#This Row],[Prys Totaal]]+MielieLandeA_VO[[#This Row],[Prys Totaal]]+Table4[[#This Row],[Prys Totaal]]</f>
        <v>55000</v>
      </c>
      <c r="AB12" s="23">
        <f>IF(AE12&gt;0,Table41114[[#This Row],[Prys Totaal]]/Table41114[[#This Row],[Volume Totaal]],0)</f>
        <v>220</v>
      </c>
      <c r="AC12" s="19">
        <f>Table411[[#This Row],[Volume Totaal]]+X29</f>
        <v>500</v>
      </c>
      <c r="AD12" s="18"/>
      <c r="AE12" s="23">
        <f>Table411[[#This Row],[Prys Totaal]]+Z29</f>
        <v>110000</v>
      </c>
      <c r="AG12" s="66">
        <f t="shared" si="3"/>
        <v>220</v>
      </c>
      <c r="AH12" s="36">
        <f>Table41114[[#This Row],[Volume Totaal]]+X46</f>
        <v>500</v>
      </c>
      <c r="AI12" s="18"/>
      <c r="AJ12" s="37">
        <f>Table41114[[#This Row],[Prys Totaal]]+Z46</f>
        <v>110000</v>
      </c>
    </row>
    <row r="13" spans="1:38" x14ac:dyDescent="0.3">
      <c r="A13" s="10" t="s">
        <v>1</v>
      </c>
      <c r="B13" s="174">
        <v>2</v>
      </c>
      <c r="C13" s="27">
        <f>IF(MielieLandeA_WB[[#This Row],[Dosis / Ha]]&gt;0,VLOOKUP(MielieLandeA_WB[[#This Row],[Mielie Lande A (Mielies op Mielies)]],Pryse!C:D,2,0),0)</f>
        <v>65</v>
      </c>
      <c r="D13" s="27">
        <f>MielieLandeA_WB[[#This Row],[Dosis / Ha]]*MielieLandeA_WB[[#This Row],[Prys per Eenheid]]</f>
        <v>130</v>
      </c>
      <c r="E13" s="5">
        <f t="shared" si="0"/>
        <v>1000</v>
      </c>
      <c r="F13" s="5"/>
      <c r="G13" s="27">
        <f>$B$2*MielieLandeA_WB[[#This Row],[Koste per Ha]]</f>
        <v>65000</v>
      </c>
      <c r="I13" s="174"/>
      <c r="J13" s="23">
        <f>IF(MielieLandeA_VO[[#This Row],[Dosis / Ha]]&gt;0,VLOOKUP(MielieLandeA_WB[[#This Row],[Mielie Lande A (Mielies op Mielies)]],Pryse!C:D,2,0),0)</f>
        <v>0</v>
      </c>
      <c r="K13" s="23">
        <f>MielieLandeA_VO[[#This Row],[Dosis / Ha]]*MielieLandeA_VO[[#This Row],[Prys per Eenheid]]</f>
        <v>0</v>
      </c>
      <c r="L13" s="18">
        <f t="shared" si="1"/>
        <v>0</v>
      </c>
      <c r="M13" s="18"/>
      <c r="N13" s="23">
        <f>$B$2*MielieLandeA_VO[[#This Row],[Koste per Ha]]</f>
        <v>0</v>
      </c>
      <c r="O13" s="15"/>
      <c r="P13" s="62">
        <v>1.5</v>
      </c>
      <c r="Q13" s="23">
        <f>IF(Table4[[#This Row],[Dosis / Ha]]&gt;0,VLOOKUP(MielieLandeA_WB[[#This Row],[Mielie Lande A (Mielies op Mielies)]],Pryse!C:D,2,0),0)</f>
        <v>65</v>
      </c>
      <c r="R13" s="23">
        <f>Table4[[#This Row],[Dosis / Ha]]*Table4[[#This Row],[Prys per Eenheid]]</f>
        <v>97.5</v>
      </c>
      <c r="S13" s="18">
        <f t="shared" si="2"/>
        <v>750</v>
      </c>
      <c r="T13" s="18"/>
      <c r="U13" s="23">
        <f>$B$2*Table4[[#This Row],[Koste per Ha]]</f>
        <v>48750</v>
      </c>
      <c r="W13" s="23">
        <f>IF(Z13&gt;0,Table411[[#This Row],[Prys Totaal]]/Table411[[#This Row],[Volume Totaal]],0)</f>
        <v>65</v>
      </c>
      <c r="X13" s="19">
        <f>MielieLandeA_WB[[#This Row],[Volume Totaal]]+MielieLandeA_VO[[#This Row],[Volume Totaal]]+Table4[[#This Row],[Volume Totaal]]</f>
        <v>1750</v>
      </c>
      <c r="Y13" s="18"/>
      <c r="Z13" s="23">
        <f>MielieLandeA_WB[[#This Row],[Prys Totaal]]+MielieLandeA_VO[[#This Row],[Prys Totaal]]+Table4[[#This Row],[Prys Totaal]]</f>
        <v>113750</v>
      </c>
      <c r="AB13" s="23">
        <f>IF(AE13&gt;0,Table41114[[#This Row],[Prys Totaal]]/Table41114[[#This Row],[Volume Totaal]],0)</f>
        <v>65</v>
      </c>
      <c r="AC13" s="19">
        <f>Table411[[#This Row],[Volume Totaal]]+X30</f>
        <v>3500</v>
      </c>
      <c r="AD13" s="18"/>
      <c r="AE13" s="23">
        <f>Table411[[#This Row],[Prys Totaal]]+Z30</f>
        <v>227500</v>
      </c>
      <c r="AG13" s="66">
        <f t="shared" si="3"/>
        <v>65</v>
      </c>
      <c r="AH13" s="36">
        <f>Table41114[[#This Row],[Volume Totaal]]+X47</f>
        <v>8500</v>
      </c>
      <c r="AI13" s="18"/>
      <c r="AJ13" s="37">
        <f>Table41114[[#This Row],[Prys Totaal]]+Z47</f>
        <v>552500</v>
      </c>
    </row>
    <row r="14" spans="1:38" x14ac:dyDescent="0.3">
      <c r="A14" s="10" t="s">
        <v>22</v>
      </c>
      <c r="B14" s="174"/>
      <c r="C14" s="27">
        <f>IF(MielieLandeA_WB[[#This Row],[Dosis / Ha]]&gt;0,VLOOKUP(MielieLandeA_WB[[#This Row],[Mielie Lande A (Mielies op Mielies)]],Pryse!C:D,2,0),0)</f>
        <v>0</v>
      </c>
      <c r="D14" s="27">
        <f>MielieLandeA_WB[[#This Row],[Dosis / Ha]]*MielieLandeA_WB[[#This Row],[Prys per Eenheid]]</f>
        <v>0</v>
      </c>
      <c r="E14" s="5">
        <f t="shared" si="0"/>
        <v>0</v>
      </c>
      <c r="F14" s="5"/>
      <c r="G14" s="27">
        <f>$B$2*MielieLandeA_WB[[#This Row],[Koste per Ha]]</f>
        <v>0</v>
      </c>
      <c r="I14" s="174"/>
      <c r="J14" s="23">
        <f>IF(MielieLandeA_VO[[#This Row],[Dosis / Ha]]&gt;0,VLOOKUP(MielieLandeA_WB[[#This Row],[Mielie Lande A (Mielies op Mielies)]],Pryse!C:D,2,0),0)</f>
        <v>0</v>
      </c>
      <c r="K14" s="23">
        <f>MielieLandeA_VO[[#This Row],[Dosis / Ha]]*MielieLandeA_VO[[#This Row],[Prys per Eenheid]]</f>
        <v>0</v>
      </c>
      <c r="L14" s="18">
        <f t="shared" si="1"/>
        <v>0</v>
      </c>
      <c r="M14" s="18"/>
      <c r="N14" s="23">
        <f>$B$2*MielieLandeA_VO[[#This Row],[Koste per Ha]]</f>
        <v>0</v>
      </c>
      <c r="O14" s="15"/>
      <c r="P14" s="62">
        <v>0.12</v>
      </c>
      <c r="Q14" s="23">
        <f>IF(Table4[[#This Row],[Dosis / Ha]]&gt;0,VLOOKUP(MielieLandeA_WB[[#This Row],[Mielie Lande A (Mielies op Mielies)]],Pryse!C:D,2,0),0)</f>
        <v>60</v>
      </c>
      <c r="R14" s="23">
        <f>Table4[[#This Row],[Dosis / Ha]]*Table4[[#This Row],[Prys per Eenheid]]</f>
        <v>7.1999999999999993</v>
      </c>
      <c r="S14" s="18">
        <f t="shared" si="2"/>
        <v>60</v>
      </c>
      <c r="T14" s="18"/>
      <c r="U14" s="23">
        <f>$B$2*Table4[[#This Row],[Koste per Ha]]</f>
        <v>3599.9999999999995</v>
      </c>
      <c r="W14" s="23">
        <f>IF(Z14&gt;0,Table411[[#This Row],[Prys Totaal]]/Table411[[#This Row],[Volume Totaal]],0)</f>
        <v>59.999999999999993</v>
      </c>
      <c r="X14" s="19">
        <f>MielieLandeA_WB[[#This Row],[Volume Totaal]]+MielieLandeA_VO[[#This Row],[Volume Totaal]]+Table4[[#This Row],[Volume Totaal]]</f>
        <v>60</v>
      </c>
      <c r="Y14" s="18"/>
      <c r="Z14" s="23">
        <f>MielieLandeA_WB[[#This Row],[Prys Totaal]]+MielieLandeA_VO[[#This Row],[Prys Totaal]]+Table4[[#This Row],[Prys Totaal]]</f>
        <v>3599.9999999999995</v>
      </c>
      <c r="AB14" s="23">
        <f>IF(AE14&gt;0,Table41114[[#This Row],[Prys Totaal]]/Table41114[[#This Row],[Volume Totaal]],0)</f>
        <v>59.999999999999993</v>
      </c>
      <c r="AC14" s="19">
        <f>Table411[[#This Row],[Volume Totaal]]+X31</f>
        <v>120</v>
      </c>
      <c r="AD14" s="18"/>
      <c r="AE14" s="23">
        <f>Table411[[#This Row],[Prys Totaal]]+Z31</f>
        <v>7199.9999999999991</v>
      </c>
      <c r="AG14" s="66">
        <f t="shared" si="3"/>
        <v>59.999999999999993</v>
      </c>
      <c r="AH14" s="36">
        <f>Table41114[[#This Row],[Volume Totaal]]+X48</f>
        <v>120</v>
      </c>
      <c r="AI14" s="18"/>
      <c r="AJ14" s="37">
        <f>Table41114[[#This Row],[Prys Totaal]]+Z48</f>
        <v>7199.9999999999991</v>
      </c>
    </row>
    <row r="15" spans="1:38" x14ac:dyDescent="0.3">
      <c r="A15" s="10" t="s">
        <v>18</v>
      </c>
      <c r="B15" s="174"/>
      <c r="C15" s="27">
        <f>IF(MielieLandeA_WB[[#This Row],[Dosis / Ha]]&gt;0,VLOOKUP(MielieLandeA_WB[[#This Row],[Mielie Lande A (Mielies op Mielies)]],Pryse!C:D,2,0),0)</f>
        <v>0</v>
      </c>
      <c r="D15" s="27">
        <f>MielieLandeA_WB[[#This Row],[Dosis / Ha]]*MielieLandeA_WB[[#This Row],[Prys per Eenheid]]</f>
        <v>0</v>
      </c>
      <c r="E15" s="5">
        <f t="shared" si="0"/>
        <v>0</v>
      </c>
      <c r="F15" s="5"/>
      <c r="G15" s="27">
        <f>$B$2*MielieLandeA_WB[[#This Row],[Koste per Ha]]</f>
        <v>0</v>
      </c>
      <c r="I15" s="174">
        <v>0.06</v>
      </c>
      <c r="J15" s="23">
        <f>IF(MielieLandeA_VO[[#This Row],[Dosis / Ha]]&gt;0,VLOOKUP(MielieLandeA_WB[[#This Row],[Mielie Lande A (Mielies op Mielies)]],Pryse!C:D,2,0),0)</f>
        <v>100</v>
      </c>
      <c r="K15" s="23">
        <f>MielieLandeA_VO[[#This Row],[Dosis / Ha]]*MielieLandeA_VO[[#This Row],[Prys per Eenheid]]</f>
        <v>6</v>
      </c>
      <c r="L15" s="18">
        <f t="shared" si="1"/>
        <v>30</v>
      </c>
      <c r="M15" s="18"/>
      <c r="N15" s="23">
        <f>$B$2*MielieLandeA_VO[[#This Row],[Koste per Ha]]</f>
        <v>3000</v>
      </c>
      <c r="O15" s="15"/>
      <c r="P15" s="62"/>
      <c r="Q15" s="23">
        <f>IF(Table4[[#This Row],[Dosis / Ha]]&gt;0,VLOOKUP(MielieLandeA_WB[[#This Row],[Mielie Lande A (Mielies op Mielies)]],Pryse!C:D,2,0),0)</f>
        <v>0</v>
      </c>
      <c r="R15" s="23">
        <f>Table4[[#This Row],[Dosis / Ha]]*Table4[[#This Row],[Prys per Eenheid]]</f>
        <v>0</v>
      </c>
      <c r="S15" s="18">
        <f t="shared" si="2"/>
        <v>0</v>
      </c>
      <c r="T15" s="18"/>
      <c r="U15" s="23">
        <f>$B$2*Table4[[#This Row],[Koste per Ha]]</f>
        <v>0</v>
      </c>
      <c r="W15" s="23">
        <f>IF(Z15&gt;0,Table411[[#This Row],[Prys Totaal]]/Table411[[#This Row],[Volume Totaal]],0)</f>
        <v>100</v>
      </c>
      <c r="X15" s="19">
        <f>MielieLandeA_WB[[#This Row],[Volume Totaal]]+MielieLandeA_VO[[#This Row],[Volume Totaal]]+Table4[[#This Row],[Volume Totaal]]</f>
        <v>30</v>
      </c>
      <c r="Y15" s="18"/>
      <c r="Z15" s="23">
        <f>MielieLandeA_WB[[#This Row],[Prys Totaal]]+MielieLandeA_VO[[#This Row],[Prys Totaal]]+Table4[[#This Row],[Prys Totaal]]</f>
        <v>3000</v>
      </c>
      <c r="AB15" s="23">
        <f>IF(AE15&gt;0,Table41114[[#This Row],[Prys Totaal]]/Table41114[[#This Row],[Volume Totaal]],0)</f>
        <v>100</v>
      </c>
      <c r="AC15" s="19">
        <f>Table411[[#This Row],[Volume Totaal]]+X32</f>
        <v>60</v>
      </c>
      <c r="AD15" s="18"/>
      <c r="AE15" s="23">
        <f>Table411[[#This Row],[Prys Totaal]]+Z32</f>
        <v>6000</v>
      </c>
      <c r="AG15" s="66">
        <f t="shared" si="3"/>
        <v>100</v>
      </c>
      <c r="AH15" s="36">
        <f>Table41114[[#This Row],[Volume Totaal]]+X49</f>
        <v>60</v>
      </c>
      <c r="AI15" s="18"/>
      <c r="AJ15" s="37">
        <f>Table41114[[#This Row],[Prys Totaal]]+Z49</f>
        <v>6000</v>
      </c>
    </row>
    <row r="16" spans="1:38" x14ac:dyDescent="0.3">
      <c r="A16" s="10" t="s">
        <v>15</v>
      </c>
      <c r="B16" s="174"/>
      <c r="C16" s="27">
        <f>IF(MielieLandeA_WB[[#This Row],[Dosis / Ha]]&gt;0,VLOOKUP(MielieLandeA_WB[[#This Row],[Mielie Lande A (Mielies op Mielies)]],Pryse!C:D,2,0),0)</f>
        <v>0</v>
      </c>
      <c r="D16" s="27">
        <f>MielieLandeA_WB[[#This Row],[Dosis / Ha]]*MielieLandeA_WB[[#This Row],[Prys per Eenheid]]</f>
        <v>0</v>
      </c>
      <c r="E16" s="5">
        <f t="shared" si="0"/>
        <v>0</v>
      </c>
      <c r="F16" s="5"/>
      <c r="G16" s="27">
        <f>$B$2*MielieLandeA_WB[[#This Row],[Koste per Ha]]</f>
        <v>0</v>
      </c>
      <c r="I16" s="174">
        <v>1</v>
      </c>
      <c r="J16" s="23">
        <f>IF(MielieLandeA_VO[[#This Row],[Dosis / Ha]]&gt;0,VLOOKUP(MielieLandeA_WB[[#This Row],[Mielie Lande A (Mielies op Mielies)]],Pryse!C:D,2,0),0)</f>
        <v>130</v>
      </c>
      <c r="K16" s="23">
        <f>MielieLandeA_VO[[#This Row],[Dosis / Ha]]*MielieLandeA_VO[[#This Row],[Prys per Eenheid]]</f>
        <v>130</v>
      </c>
      <c r="L16" s="18">
        <f t="shared" si="1"/>
        <v>500</v>
      </c>
      <c r="M16" s="18"/>
      <c r="N16" s="23">
        <f>$B$2*MielieLandeA_VO[[#This Row],[Koste per Ha]]</f>
        <v>65000</v>
      </c>
      <c r="O16" s="15"/>
      <c r="P16" s="62">
        <v>1</v>
      </c>
      <c r="Q16" s="23">
        <f>IF(Table4[[#This Row],[Dosis / Ha]]&gt;0,VLOOKUP(MielieLandeA_WB[[#This Row],[Mielie Lande A (Mielies op Mielies)]],Pryse!C:D,2,0),0)</f>
        <v>130</v>
      </c>
      <c r="R16" s="23">
        <f>Table4[[#This Row],[Dosis / Ha]]*Table4[[#This Row],[Prys per Eenheid]]</f>
        <v>130</v>
      </c>
      <c r="S16" s="18">
        <f t="shared" si="2"/>
        <v>500</v>
      </c>
      <c r="T16" s="18"/>
      <c r="U16" s="23">
        <f>$B$2*Table4[[#This Row],[Koste per Ha]]</f>
        <v>65000</v>
      </c>
      <c r="W16" s="23">
        <f>IF(Z16&gt;0,Table411[[#This Row],[Prys Totaal]]/Table411[[#This Row],[Volume Totaal]],0)</f>
        <v>130</v>
      </c>
      <c r="X16" s="19">
        <f>MielieLandeA_WB[[#This Row],[Volume Totaal]]+MielieLandeA_VO[[#This Row],[Volume Totaal]]+Table4[[#This Row],[Volume Totaal]]</f>
        <v>1000</v>
      </c>
      <c r="Y16" s="18"/>
      <c r="Z16" s="23">
        <f>MielieLandeA_WB[[#This Row],[Prys Totaal]]+MielieLandeA_VO[[#This Row],[Prys Totaal]]+Table4[[#This Row],[Prys Totaal]]</f>
        <v>130000</v>
      </c>
      <c r="AB16" s="23">
        <f>IF(AE16&gt;0,Table41114[[#This Row],[Prys Totaal]]/Table41114[[#This Row],[Volume Totaal]],0)</f>
        <v>130</v>
      </c>
      <c r="AC16" s="19">
        <f>Table411[[#This Row],[Volume Totaal]]+X33</f>
        <v>1500</v>
      </c>
      <c r="AD16" s="18"/>
      <c r="AE16" s="23">
        <f>Table411[[#This Row],[Prys Totaal]]+Z33</f>
        <v>195000</v>
      </c>
      <c r="AG16" s="66">
        <f t="shared" si="3"/>
        <v>130</v>
      </c>
      <c r="AH16" s="36">
        <f>Table41114[[#This Row],[Volume Totaal]]+X50</f>
        <v>1500</v>
      </c>
      <c r="AI16" s="18"/>
      <c r="AJ16" s="37">
        <f>Table41114[[#This Row],[Prys Totaal]]+Z50</f>
        <v>195000</v>
      </c>
    </row>
    <row r="17" spans="1:36" x14ac:dyDescent="0.3">
      <c r="A17" s="10" t="s">
        <v>21</v>
      </c>
      <c r="B17" s="174"/>
      <c r="C17" s="27">
        <f>IF(MielieLandeA_WB[[#This Row],[Dosis / Ha]]&gt;0,VLOOKUP(MielieLandeA_WB[[#This Row],[Mielie Lande A (Mielies op Mielies)]],Pryse!C:D,2,0),0)</f>
        <v>0</v>
      </c>
      <c r="D17" s="27">
        <f>MielieLandeA_WB[[#This Row],[Dosis / Ha]]*MielieLandeA_WB[[#This Row],[Prys per Eenheid]]</f>
        <v>0</v>
      </c>
      <c r="E17" s="5">
        <f t="shared" si="0"/>
        <v>0</v>
      </c>
      <c r="F17" s="5"/>
      <c r="G17" s="27">
        <f>$B$2*MielieLandeA_WB[[#This Row],[Koste per Ha]]</f>
        <v>0</v>
      </c>
      <c r="I17" s="174"/>
      <c r="J17" s="23">
        <f>IF(MielieLandeA_VO[[#This Row],[Dosis / Ha]]&gt;0,VLOOKUP(MielieLandeA_WB[[#This Row],[Mielie Lande A (Mielies op Mielies)]],Pryse!C:D,2,0),0)</f>
        <v>0</v>
      </c>
      <c r="K17" s="23">
        <f>MielieLandeA_VO[[#This Row],[Dosis / Ha]]*MielieLandeA_VO[[#This Row],[Prys per Eenheid]]</f>
        <v>0</v>
      </c>
      <c r="L17" s="18">
        <f t="shared" si="1"/>
        <v>0</v>
      </c>
      <c r="M17" s="18"/>
      <c r="N17" s="23">
        <f>$B$2*MielieLandeA_VO[[#This Row],[Koste per Ha]]</f>
        <v>0</v>
      </c>
      <c r="O17" s="15"/>
      <c r="P17" s="62"/>
      <c r="Q17" s="23">
        <f>IF(Table4[[#This Row],[Dosis / Ha]]&gt;0,VLOOKUP(MielieLandeA_WB[[#This Row],[Mielie Lande A (Mielies op Mielies)]],Pryse!C:D,2,0),0)</f>
        <v>0</v>
      </c>
      <c r="R17" s="23">
        <f>Table4[[#This Row],[Dosis / Ha]]*Table4[[#This Row],[Prys per Eenheid]]</f>
        <v>0</v>
      </c>
      <c r="S17" s="18">
        <f t="shared" si="2"/>
        <v>0</v>
      </c>
      <c r="T17" s="18"/>
      <c r="U17" s="23">
        <f>$B$2*Table4[[#This Row],[Koste per Ha]]</f>
        <v>0</v>
      </c>
      <c r="W17" s="23">
        <f>IF(Z17&gt;0,Table411[[#This Row],[Prys Totaal]]/Table411[[#This Row],[Volume Totaal]],0)</f>
        <v>0</v>
      </c>
      <c r="X17" s="19">
        <f>MielieLandeA_WB[[#This Row],[Volume Totaal]]+MielieLandeA_VO[[#This Row],[Volume Totaal]]+Table4[[#This Row],[Volume Totaal]]</f>
        <v>0</v>
      </c>
      <c r="Y17" s="18"/>
      <c r="Z17" s="23">
        <f>MielieLandeA_WB[[#This Row],[Prys Totaal]]+MielieLandeA_VO[[#This Row],[Prys Totaal]]+Table4[[#This Row],[Prys Totaal]]</f>
        <v>0</v>
      </c>
      <c r="AB17" s="23">
        <f>IF(AE17&gt;0,Table41114[[#This Row],[Prys Totaal]]/Table41114[[#This Row],[Volume Totaal]],0)</f>
        <v>110</v>
      </c>
      <c r="AC17" s="19">
        <f>Table411[[#This Row],[Volume Totaal]]+X34</f>
        <v>500</v>
      </c>
      <c r="AD17" s="18"/>
      <c r="AE17" s="23">
        <f>Table411[[#This Row],[Prys Totaal]]+Z34</f>
        <v>55000</v>
      </c>
      <c r="AG17" s="66">
        <f t="shared" si="3"/>
        <v>110</v>
      </c>
      <c r="AH17" s="36">
        <f>Table41114[[#This Row],[Volume Totaal]]+X51</f>
        <v>1500</v>
      </c>
      <c r="AI17" s="18"/>
      <c r="AJ17" s="37">
        <f>Table41114[[#This Row],[Prys Totaal]]+Z51</f>
        <v>165000</v>
      </c>
    </row>
    <row r="18" spans="1:36" x14ac:dyDescent="0.3">
      <c r="A18" s="10" t="s">
        <v>24</v>
      </c>
      <c r="B18" s="174"/>
      <c r="C18" s="56">
        <f>IF(MielieLandeA_WB[[#This Row],[Dosis / Ha]]&gt;0,VLOOKUP(MielieLandeA_WB[[#This Row],[Mielie Lande A (Mielies op Mielies)]],Pryse!C:D,2,0),0)</f>
        <v>0</v>
      </c>
      <c r="D18" s="56">
        <f>MielieLandeA_WB[[#This Row],[Dosis / Ha]]*MielieLandeA_WB[[#This Row],[Prys per Eenheid]]</f>
        <v>0</v>
      </c>
      <c r="E18" s="57">
        <f t="shared" si="0"/>
        <v>0</v>
      </c>
      <c r="F18" s="57"/>
      <c r="G18" s="56">
        <f>$B$2*MielieLandeA_WB[[#This Row],[Koste per Ha]]</f>
        <v>0</v>
      </c>
      <c r="I18" s="174"/>
      <c r="J18" s="23">
        <f>IF(MielieLandeA_VO[[#This Row],[Dosis / Ha]]&gt;0,VLOOKUP(MielieLandeA_WB[[#This Row],[Mielie Lande A (Mielies op Mielies)]],Pryse!C:D,2,0),0)</f>
        <v>0</v>
      </c>
      <c r="K18" s="23">
        <f>MielieLandeA_VO[[#This Row],[Dosis / Ha]]*MielieLandeA_VO[[#This Row],[Prys per Eenheid]]</f>
        <v>0</v>
      </c>
      <c r="L18" s="58">
        <f t="shared" si="1"/>
        <v>0</v>
      </c>
      <c r="M18" s="58"/>
      <c r="N18" s="23">
        <f>$B$2*MielieLandeA_VO[[#This Row],[Koste per Ha]]</f>
        <v>0</v>
      </c>
      <c r="O18" s="15"/>
      <c r="P18" s="63">
        <v>0.4</v>
      </c>
      <c r="Q18" s="23">
        <f>IF(Table4[[#This Row],[Dosis / Ha]]&gt;0,VLOOKUP(MielieLandeA_WB[[#This Row],[Mielie Lande A (Mielies op Mielies)]],Pryse!C:D,2,0),0)</f>
        <v>90</v>
      </c>
      <c r="R18" s="23">
        <f>Table4[[#This Row],[Dosis / Ha]]*Table4[[#This Row],[Prys per Eenheid]]</f>
        <v>36</v>
      </c>
      <c r="S18" s="18">
        <f t="shared" si="2"/>
        <v>200</v>
      </c>
      <c r="T18" s="58"/>
      <c r="U18" s="59">
        <f>$B$2*Table4[[#This Row],[Koste per Ha]]</f>
        <v>18000</v>
      </c>
      <c r="W18" s="23">
        <f>IF(Z18&gt;0,Table411[[#This Row],[Prys Totaal]]/Table411[[#This Row],[Volume Totaal]],0)</f>
        <v>90</v>
      </c>
      <c r="X18" s="19">
        <f>MielieLandeA_WB[[#This Row],[Volume Totaal]]+MielieLandeA_VO[[#This Row],[Volume Totaal]]+Table4[[#This Row],[Volume Totaal]]</f>
        <v>200</v>
      </c>
      <c r="Y18" s="58"/>
      <c r="Z18" s="59">
        <f>MielieLandeA_WB[[#This Row],[Prys Totaal]]+MielieLandeA_VO[[#This Row],[Prys Totaal]]+Table4[[#This Row],[Prys Totaal]]</f>
        <v>18000</v>
      </c>
      <c r="AB18" s="23">
        <f>IF(AE18&gt;0,Table41114[[#This Row],[Prys Totaal]]/Table41114[[#This Row],[Volume Totaal]],0)</f>
        <v>90</v>
      </c>
      <c r="AC18" s="19">
        <f>Table411[[#This Row],[Volume Totaal]]+X35</f>
        <v>400</v>
      </c>
      <c r="AD18" s="58"/>
      <c r="AE18" s="59">
        <f>Table411[[#This Row],[Prys Totaal]]+Z35</f>
        <v>36000</v>
      </c>
      <c r="AG18" s="66">
        <f t="shared" si="3"/>
        <v>90</v>
      </c>
      <c r="AH18" s="36">
        <f>Table41114[[#This Row],[Volume Totaal]]+X52</f>
        <v>400</v>
      </c>
      <c r="AI18" s="18"/>
      <c r="AJ18" s="37">
        <f>Table41114[[#This Row],[Prys Totaal]]+Z52</f>
        <v>36000</v>
      </c>
    </row>
    <row r="19" spans="1:36" x14ac:dyDescent="0.3">
      <c r="A19" s="10" t="s">
        <v>25</v>
      </c>
      <c r="B19" s="174"/>
      <c r="C19" s="56">
        <f>IF(MielieLandeA_WB[[#This Row],[Dosis / Ha]]&gt;0,VLOOKUP(MielieLandeA_WB[[#This Row],[Mielie Lande A (Mielies op Mielies)]],Pryse!C:D,2,0),0)</f>
        <v>0</v>
      </c>
      <c r="D19" s="56">
        <f>MielieLandeA_WB[[#This Row],[Dosis / Ha]]*MielieLandeA_WB[[#This Row],[Prys per Eenheid]]</f>
        <v>0</v>
      </c>
      <c r="E19" s="57">
        <f>$B$2*B19</f>
        <v>0</v>
      </c>
      <c r="F19" s="57"/>
      <c r="G19" s="56">
        <f>$B$2*MielieLandeA_WB[[#This Row],[Koste per Ha]]</f>
        <v>0</v>
      </c>
      <c r="I19" s="174"/>
      <c r="J19" s="23">
        <f>IF(MielieLandeA_VO[[#This Row],[Dosis / Ha]]&gt;0,VLOOKUP(MielieLandeA_WB[[#This Row],[Mielie Lande A (Mielies op Mielies)]],Pryse!C:D,2,0),0)</f>
        <v>0</v>
      </c>
      <c r="K19" s="23">
        <f>MielieLandeA_VO[[#This Row],[Dosis / Ha]]*MielieLandeA_VO[[#This Row],[Prys per Eenheid]]</f>
        <v>0</v>
      </c>
      <c r="L19" s="58">
        <f t="shared" si="1"/>
        <v>0</v>
      </c>
      <c r="M19" s="58"/>
      <c r="N19" s="23">
        <f>$B$2*MielieLandeA_VO[[#This Row],[Koste per Ha]]</f>
        <v>0</v>
      </c>
      <c r="O19" s="15"/>
      <c r="P19" s="63"/>
      <c r="Q19" s="23">
        <f>IF(Table4[[#This Row],[Dosis / Ha]]&gt;0,VLOOKUP(MielieLandeA_WB[[#This Row],[Mielie Lande A (Mielies op Mielies)]],Pryse!C:D,2,0),0)</f>
        <v>0</v>
      </c>
      <c r="R19" s="23">
        <f>Table4[[#This Row],[Dosis / Ha]]*Table4[[#This Row],[Prys per Eenheid]]</f>
        <v>0</v>
      </c>
      <c r="S19" s="18">
        <f t="shared" si="2"/>
        <v>0</v>
      </c>
      <c r="T19" s="58"/>
      <c r="U19" s="59">
        <f>$B$2*Table4[[#This Row],[Koste per Ha]]</f>
        <v>0</v>
      </c>
      <c r="W19" s="23">
        <f>IF(Z19&gt;0,Table411[[#This Row],[Prys Totaal]]/Table411[[#This Row],[Volume Totaal]],0)</f>
        <v>0</v>
      </c>
      <c r="X19" s="19">
        <f>MielieLandeA_WB[[#This Row],[Volume Totaal]]+MielieLandeA_VO[[#This Row],[Volume Totaal]]+Table4[[#This Row],[Volume Totaal]]</f>
        <v>0</v>
      </c>
      <c r="Y19" s="58"/>
      <c r="Z19" s="59">
        <f>MielieLandeA_WB[[#This Row],[Prys Totaal]]+MielieLandeA_VO[[#This Row],[Prys Totaal]]+Table4[[#This Row],[Prys Totaal]]</f>
        <v>0</v>
      </c>
      <c r="AB19" s="23">
        <f>IF(AE19&gt;0,Table41114[[#This Row],[Prys Totaal]]/Table41114[[#This Row],[Volume Totaal]],0)</f>
        <v>0</v>
      </c>
      <c r="AC19" s="19">
        <f>Table411[[#This Row],[Volume Totaal]]+X36</f>
        <v>0</v>
      </c>
      <c r="AD19" s="58"/>
      <c r="AE19" s="59">
        <f>Table411[[#This Row],[Prys Totaal]]+Z36</f>
        <v>0</v>
      </c>
      <c r="AG19" s="66">
        <f t="shared" si="3"/>
        <v>350</v>
      </c>
      <c r="AH19" s="36">
        <f>Table41114[[#This Row],[Volume Totaal]]+X53</f>
        <v>14</v>
      </c>
      <c r="AI19" s="18"/>
      <c r="AJ19" s="37">
        <f>Table41114[[#This Row],[Prys Totaal]]+Z53</f>
        <v>4900</v>
      </c>
    </row>
    <row r="20" spans="1:36" x14ac:dyDescent="0.3">
      <c r="A20" s="10" t="s">
        <v>16</v>
      </c>
      <c r="B20" s="174"/>
      <c r="C20" s="27">
        <f>IF(MielieLandeA_WB[[#This Row],[Dosis / Ha]]&gt;0,VLOOKUP(MielieLandeA_WB[[#This Row],[Mielie Lande A (Mielies op Mielies)]],Pryse!C:D,2,0),0)</f>
        <v>0</v>
      </c>
      <c r="D20" s="27">
        <f>MielieLandeA_WB[[#This Row],[Dosis / Ha]]*MielieLandeA_WB[[#This Row],[Prys per Eenheid]]</f>
        <v>0</v>
      </c>
      <c r="E20" s="5">
        <f t="shared" si="0"/>
        <v>0</v>
      </c>
      <c r="F20" s="5"/>
      <c r="G20" s="27">
        <f>$B$2*MielieLandeA_WB[[#This Row],[Koste per Ha]]</f>
        <v>0</v>
      </c>
      <c r="I20" s="174">
        <v>1</v>
      </c>
      <c r="J20" s="23">
        <f>IF(MielieLandeA_VO[[#This Row],[Dosis / Ha]]&gt;0,VLOOKUP(MielieLandeA_WB[[#This Row],[Mielie Lande A (Mielies op Mielies)]],Pryse!C:D,2,0),0)</f>
        <v>90</v>
      </c>
      <c r="K20" s="23">
        <f>MielieLandeA_VO[[#This Row],[Dosis / Ha]]*MielieLandeA_VO[[#This Row],[Prys per Eenheid]]</f>
        <v>90</v>
      </c>
      <c r="L20" s="18">
        <f t="shared" si="1"/>
        <v>500</v>
      </c>
      <c r="M20" s="18"/>
      <c r="N20" s="23">
        <f>$B$2*MielieLandeA_VO[[#This Row],[Koste per Ha]]</f>
        <v>45000</v>
      </c>
      <c r="O20" s="15"/>
      <c r="P20" s="62">
        <v>1</v>
      </c>
      <c r="Q20" s="23">
        <f>IF(Table4[[#This Row],[Dosis / Ha]]&gt;0,VLOOKUP(MielieLandeA_WB[[#This Row],[Mielie Lande A (Mielies op Mielies)]],Pryse!C:D,2,0),0)</f>
        <v>90</v>
      </c>
      <c r="R20" s="23">
        <f>Table4[[#This Row],[Dosis / Ha]]*Table4[[#This Row],[Prys per Eenheid]]</f>
        <v>90</v>
      </c>
      <c r="S20" s="18">
        <f t="shared" si="2"/>
        <v>500</v>
      </c>
      <c r="T20" s="18"/>
      <c r="U20" s="23">
        <f>$B$2*Table4[[#This Row],[Koste per Ha]]</f>
        <v>45000</v>
      </c>
      <c r="W20" s="23">
        <f>IF(Z20&gt;0,Table411[[#This Row],[Prys Totaal]]/Table411[[#This Row],[Volume Totaal]],0)</f>
        <v>90</v>
      </c>
      <c r="X20" s="19">
        <f>MielieLandeA_WB[[#This Row],[Volume Totaal]]+MielieLandeA_VO[[#This Row],[Volume Totaal]]+Table4[[#This Row],[Volume Totaal]]</f>
        <v>1000</v>
      </c>
      <c r="Y20" s="18"/>
      <c r="Z20" s="23">
        <f>MielieLandeA_WB[[#This Row],[Prys Totaal]]+MielieLandeA_VO[[#This Row],[Prys Totaal]]+Table4[[#This Row],[Prys Totaal]]</f>
        <v>90000</v>
      </c>
      <c r="AB20" s="23">
        <f>IF(AE20&gt;0,Table41114[[#This Row],[Prys Totaal]]/Table41114[[#This Row],[Volume Totaal]],0)</f>
        <v>90</v>
      </c>
      <c r="AC20" s="19">
        <f>Table411[[#This Row],[Volume Totaal]]+X37</f>
        <v>1550</v>
      </c>
      <c r="AD20" s="18"/>
      <c r="AE20" s="23">
        <f>Table411[[#This Row],[Prys Totaal]]+Z37</f>
        <v>139500</v>
      </c>
      <c r="AG20" s="66">
        <f t="shared" si="3"/>
        <v>90</v>
      </c>
      <c r="AH20" s="36">
        <f>Table41114[[#This Row],[Volume Totaal]]+X54</f>
        <v>1550</v>
      </c>
      <c r="AI20" s="18"/>
      <c r="AJ20" s="37">
        <f>Table41114[[#This Row],[Prys Totaal]]+Z54</f>
        <v>139500</v>
      </c>
    </row>
    <row r="21" spans="1:36" x14ac:dyDescent="0.3">
      <c r="A21" s="10" t="s">
        <v>9</v>
      </c>
      <c r="B21" s="174">
        <v>1.5</v>
      </c>
      <c r="C21" s="27">
        <f>IF(MielieLandeA_WB[[#This Row],[Dosis / Ha]]&gt;0,VLOOKUP(MielieLandeA_WB[[#This Row],[Mielie Lande A (Mielies op Mielies)]],Pryse!C:D,2,0),0)</f>
        <v>17</v>
      </c>
      <c r="D21" s="27">
        <f>MielieLandeA_WB[[#This Row],[Dosis / Ha]]*MielieLandeA_WB[[#This Row],[Prys per Eenheid]]</f>
        <v>25.5</v>
      </c>
      <c r="E21" s="5">
        <f t="shared" si="0"/>
        <v>750</v>
      </c>
      <c r="F21" s="5"/>
      <c r="G21" s="27">
        <f>$B$2*MielieLandeA_WB[[#This Row],[Koste per Ha]]</f>
        <v>12750</v>
      </c>
      <c r="I21" s="174"/>
      <c r="J21" s="23">
        <f>IF(MielieLandeA_VO[[#This Row],[Dosis / Ha]]&gt;0,VLOOKUP(MielieLandeA_WB[[#This Row],[Mielie Lande A (Mielies op Mielies)]],Pryse!C:D,2,0),0)</f>
        <v>0</v>
      </c>
      <c r="K21" s="23">
        <f>MielieLandeA_VO[[#This Row],[Dosis / Ha]]*MielieLandeA_VO[[#This Row],[Prys per Eenheid]]</f>
        <v>0</v>
      </c>
      <c r="L21" s="18">
        <f t="shared" si="1"/>
        <v>0</v>
      </c>
      <c r="M21" s="18"/>
      <c r="N21" s="23">
        <f>$B$2*MielieLandeA_VO[[#This Row],[Koste per Ha]]</f>
        <v>0</v>
      </c>
      <c r="O21" s="4"/>
      <c r="P21" s="62">
        <v>1.5</v>
      </c>
      <c r="Q21" s="23">
        <f>IF(Table4[[#This Row],[Dosis / Ha]]&gt;0,VLOOKUP(MielieLandeA_WB[[#This Row],[Mielie Lande A (Mielies op Mielies)]],Pryse!C:D,2,0),0)</f>
        <v>17</v>
      </c>
      <c r="R21" s="23">
        <f>Table4[[#This Row],[Dosis / Ha]]*Table4[[#This Row],[Prys per Eenheid]]</f>
        <v>25.5</v>
      </c>
      <c r="S21" s="18">
        <f t="shared" si="2"/>
        <v>750</v>
      </c>
      <c r="T21" s="18"/>
      <c r="U21" s="23">
        <f>$B$2*Table4[[#This Row],[Koste per Ha]]</f>
        <v>12750</v>
      </c>
      <c r="W21" s="23">
        <f>IF(Z21&gt;0,Table411[[#This Row],[Prys Totaal]]/Table411[[#This Row],[Volume Totaal]],0)</f>
        <v>17</v>
      </c>
      <c r="X21" s="19">
        <f>MielieLandeA_WB[[#This Row],[Volume Totaal]]+MielieLandeA_VO[[#This Row],[Volume Totaal]]+Table4[[#This Row],[Volume Totaal]]</f>
        <v>1500</v>
      </c>
      <c r="Y21" s="18"/>
      <c r="Z21" s="23">
        <f>MielieLandeA_WB[[#This Row],[Prys Totaal]]+MielieLandeA_VO[[#This Row],[Prys Totaal]]+Table4[[#This Row],[Prys Totaal]]</f>
        <v>25500</v>
      </c>
      <c r="AB21" s="23">
        <f>IF(AE21&gt;0,Table41114[[#This Row],[Prys Totaal]]/Table41114[[#This Row],[Volume Totaal]],0)</f>
        <v>17</v>
      </c>
      <c r="AC21" s="19">
        <f>Table411[[#This Row],[Volume Totaal]]+X38</f>
        <v>3000</v>
      </c>
      <c r="AD21" s="18"/>
      <c r="AE21" s="23">
        <f>Table411[[#This Row],[Prys Totaal]]+Z38</f>
        <v>51000</v>
      </c>
      <c r="AG21" s="66">
        <f t="shared" si="3"/>
        <v>17</v>
      </c>
      <c r="AH21" s="36">
        <f>Table41114[[#This Row],[Volume Totaal]]+X55</f>
        <v>4500</v>
      </c>
      <c r="AI21" s="18"/>
      <c r="AJ21" s="37">
        <f>Table41114[[#This Row],[Prys Totaal]]+Z55</f>
        <v>76500</v>
      </c>
    </row>
    <row r="22" spans="1:36" x14ac:dyDescent="0.3">
      <c r="A22" s="13" t="s">
        <v>10</v>
      </c>
      <c r="B22" s="175">
        <v>0.05</v>
      </c>
      <c r="C22" s="28">
        <f>IF(MielieLandeA_WB[[#This Row],[Dosis / Ha]]&gt;0,VLOOKUP(MielieLandeA_WB[[#This Row],[Mielie Lande A (Mielies op Mielies)]],Pryse!C:D,2,0),0)</f>
        <v>25</v>
      </c>
      <c r="D22" s="28">
        <f>MielieLandeA_WB[[#This Row],[Dosis / Ha]]*MielieLandeA_WB[[#This Row],[Prys per Eenheid]]</f>
        <v>1.25</v>
      </c>
      <c r="E22" s="29">
        <f t="shared" si="0"/>
        <v>25</v>
      </c>
      <c r="F22" s="29"/>
      <c r="G22" s="28">
        <f>$B$2*MielieLandeA_WB[[#This Row],[Koste per Ha]]</f>
        <v>625</v>
      </c>
      <c r="I22" s="175"/>
      <c r="J22" s="24">
        <f>IF(MielieLandeA_VO[[#This Row],[Dosis / Ha]]&gt;0,VLOOKUP(MielieLandeA_WB[[#This Row],[Mielie Lande A (Mielies op Mielies)]],Pryse!C:D,2,0),0)</f>
        <v>0</v>
      </c>
      <c r="K22" s="24">
        <f>MielieLandeA_VO[[#This Row],[Dosis / Ha]]*MielieLandeA_VO[[#This Row],[Prys per Eenheid]]</f>
        <v>0</v>
      </c>
      <c r="L22" s="20">
        <f t="shared" si="1"/>
        <v>0</v>
      </c>
      <c r="M22" s="20"/>
      <c r="N22" s="24">
        <f>$B$2*MielieLandeA_VO[[#This Row],[Koste per Ha]]</f>
        <v>0</v>
      </c>
      <c r="P22" s="64">
        <v>0.1</v>
      </c>
      <c r="Q22" s="24">
        <f>IF(Table4[[#This Row],[Dosis / Ha]]&gt;0,VLOOKUP(MielieLandeA_WB[[#This Row],[Mielie Lande A (Mielies op Mielies)]],Pryse!C:D,2,0),0)</f>
        <v>25</v>
      </c>
      <c r="R22" s="24">
        <f>Table4[[#This Row],[Dosis / Ha]]*Table4[[#This Row],[Prys per Eenheid]]</f>
        <v>2.5</v>
      </c>
      <c r="S22" s="20">
        <f t="shared" si="2"/>
        <v>50</v>
      </c>
      <c r="T22" s="20"/>
      <c r="U22" s="24">
        <f>$B$2*Table4[[#This Row],[Koste per Ha]]</f>
        <v>1250</v>
      </c>
      <c r="W22" s="24">
        <f>IF(Z22&gt;0,Table411[[#This Row],[Prys Totaal]]/Table411[[#This Row],[Volume Totaal]],0)</f>
        <v>25</v>
      </c>
      <c r="X22" s="19">
        <f>MielieLandeA_WB[[#This Row],[Volume Totaal]]+MielieLandeA_VO[[#This Row],[Volume Totaal]]+Table4[[#This Row],[Volume Totaal]]</f>
        <v>75</v>
      </c>
      <c r="Y22" s="20"/>
      <c r="Z22" s="24">
        <f>MielieLandeA_WB[[#This Row],[Prys Totaal]]+MielieLandeA_VO[[#This Row],[Prys Totaal]]+Table4[[#This Row],[Prys Totaal]]</f>
        <v>1875</v>
      </c>
      <c r="AB22" s="24">
        <f>IF(AE22&gt;0,Table41114[[#This Row],[Prys Totaal]]/Table41114[[#This Row],[Volume Totaal]],0)</f>
        <v>25</v>
      </c>
      <c r="AC22" s="19">
        <f>Table411[[#This Row],[Volume Totaal]]+X39</f>
        <v>150</v>
      </c>
      <c r="AD22" s="20"/>
      <c r="AE22" s="24">
        <f>Table411[[#This Row],[Prys Totaal]]+Z39</f>
        <v>3750</v>
      </c>
      <c r="AG22" s="66">
        <f t="shared" si="3"/>
        <v>25</v>
      </c>
      <c r="AH22" s="36">
        <f>Table41114[[#This Row],[Volume Totaal]]+X56</f>
        <v>200</v>
      </c>
      <c r="AI22" s="38"/>
      <c r="AJ22" s="37">
        <f>Table41114[[#This Row],[Prys Totaal]]+Z56</f>
        <v>5000</v>
      </c>
    </row>
    <row r="23" spans="1:36" ht="15" thickBot="1" x14ac:dyDescent="0.35">
      <c r="A23" s="13" t="s">
        <v>20</v>
      </c>
      <c r="B23" s="63"/>
      <c r="C23" s="56">
        <f>IF(MielieLandeA_WB[[#This Row],[Dosis / Ha]]&gt;0,VLOOKUP(MielieLandeA_WB[[#This Row],[Mielie Lande A (Mielies op Mielies)]],Pryse!C:D,2,0),0)</f>
        <v>0</v>
      </c>
      <c r="D23" s="56">
        <f>MielieLandeA_WB[[#This Row],[Dosis / Ha]]*MielieLandeA_WB[[#This Row],[Prys per Eenheid]]</f>
        <v>0</v>
      </c>
      <c r="E23" s="57">
        <f>$B$2*B23</f>
        <v>0</v>
      </c>
      <c r="F23" s="57"/>
      <c r="G23" s="56">
        <f>$B$2*MielieLandeA_WB[[#This Row],[Koste per Ha]]</f>
        <v>0</v>
      </c>
      <c r="I23" s="174"/>
      <c r="J23" s="23">
        <f>IF(MielieLandeA_VO[[#This Row],[Dosis / Ha]]&gt;0,VLOOKUP(MielieLandeA_WB[[#This Row],[Mielie Lande A (Mielies op Mielies)]],Pryse!C:D,2,0),0)</f>
        <v>0</v>
      </c>
      <c r="K23" s="23">
        <f>MielieLandeA_VO[[#This Row],[Dosis / Ha]]*MielieLandeA_VO[[#This Row],[Prys per Eenheid]]</f>
        <v>0</v>
      </c>
      <c r="L23" s="58">
        <f t="shared" si="1"/>
        <v>0</v>
      </c>
      <c r="M23" s="58"/>
      <c r="N23" s="23">
        <f>$B$2*MielieLandeA_VO[[#This Row],[Koste per Ha]]</f>
        <v>0</v>
      </c>
      <c r="O23" s="4"/>
      <c r="P23" s="62"/>
      <c r="Q23" s="23">
        <f>IF(Table4[[#This Row],[Dosis / Ha]]&gt;0,VLOOKUP(MielieLandeA_WB[[#This Row],[Mielie Lande A (Mielies op Mielies)]],Pryse!C:D,2,0),0)</f>
        <v>0</v>
      </c>
      <c r="R23" s="23">
        <f>Table4[[#This Row],[Dosis / Ha]]*Table4[[#This Row],[Prys per Eenheid]]</f>
        <v>0</v>
      </c>
      <c r="S23" s="18">
        <f t="shared" si="2"/>
        <v>0</v>
      </c>
      <c r="T23" s="58"/>
      <c r="U23" s="59">
        <f>$B$2*Table4[[#This Row],[Koste per Ha]]</f>
        <v>0</v>
      </c>
      <c r="W23" s="23">
        <f>IF(Z23&gt;0,Table411[[#This Row],[Prys Totaal]]/Table411[[#This Row],[Volume Totaal]],0)</f>
        <v>0</v>
      </c>
      <c r="X23" s="19">
        <f>MielieLandeA_WB[[#This Row],[Volume Totaal]]+MielieLandeA_VO[[#This Row],[Volume Totaal]]+Table4[[#This Row],[Volume Totaal]]</f>
        <v>0</v>
      </c>
      <c r="Y23" s="58"/>
      <c r="Z23" s="59">
        <f>MielieLandeA_WB[[#This Row],[Prys Totaal]]+MielieLandeA_VO[[#This Row],[Prys Totaal]]+Table4[[#This Row],[Prys Totaal]]</f>
        <v>0</v>
      </c>
      <c r="AB23" s="23">
        <f>IF(AE23&gt;0,Table41114[[#This Row],[Prys Totaal]]/Table41114[[#This Row],[Volume Totaal]],0)</f>
        <v>0</v>
      </c>
      <c r="AC23" s="19">
        <f>Table411[[#This Row],[Volume Totaal]]+X40</f>
        <v>0</v>
      </c>
      <c r="AD23" s="58"/>
      <c r="AE23" s="24">
        <f>Table411[[#This Row],[Prys Totaal]]+Z40</f>
        <v>0</v>
      </c>
      <c r="AG23" s="68">
        <f t="shared" si="3"/>
        <v>11818.18181818182</v>
      </c>
      <c r="AH23" s="69">
        <f>Table41114[[#This Row],[Volume Totaal]]+X57</f>
        <v>20</v>
      </c>
      <c r="AI23" s="20"/>
      <c r="AJ23" s="70">
        <f>Table41114[[#This Row],[Prys Totaal]]+Z57</f>
        <v>236363.63636363638</v>
      </c>
    </row>
    <row r="24" spans="1:36" ht="15.6" thickTop="1" thickBot="1" x14ac:dyDescent="0.35">
      <c r="A24" s="13" t="s">
        <v>36</v>
      </c>
      <c r="B24" s="82"/>
      <c r="C24" s="81"/>
      <c r="D24" s="30">
        <f>SUBTOTAL(109,MielieLandeA_WB[Koste per Ha])</f>
        <v>169.25</v>
      </c>
      <c r="E24" s="31"/>
      <c r="F24" s="31">
        <f>SUBTOTAL(109,MielieLandeA_WB[Aantal Eenhede Benodig])</f>
        <v>0</v>
      </c>
      <c r="G24" s="30">
        <f>SUBTOTAL(109,MielieLandeA_WB[Prys Totaal])</f>
        <v>84625</v>
      </c>
      <c r="I24" s="82" t="s">
        <v>36</v>
      </c>
      <c r="J24" s="81"/>
      <c r="K24" s="30">
        <f>SUBTOTAL(109,MielieLandeA_VO[Koste per Ha])</f>
        <v>281</v>
      </c>
      <c r="L24" s="31"/>
      <c r="M24" s="31"/>
      <c r="N24" s="30">
        <f>SUBTOTAL(109,MielieLandeA_VO[Prys Totaal])</f>
        <v>140500</v>
      </c>
      <c r="O24" s="4"/>
      <c r="P24" s="97" t="s">
        <v>36</v>
      </c>
      <c r="Q24" s="98"/>
      <c r="R24" s="60">
        <f>SUBTOTAL(109,Table4[Koste per Ha])</f>
        <v>443.7</v>
      </c>
      <c r="S24" s="61"/>
      <c r="T24" s="61"/>
      <c r="U24" s="60">
        <f>SUBTOTAL(109,Table4[Prys Totaal])</f>
        <v>221850</v>
      </c>
      <c r="W24" s="98"/>
      <c r="X24" s="61"/>
      <c r="Y24" s="61"/>
      <c r="Z24" s="60">
        <f>SUBTOTAL(109,Table411[Prys Totaal])</f>
        <v>446975</v>
      </c>
      <c r="AB24" s="98"/>
      <c r="AC24" s="61"/>
      <c r="AD24" s="61"/>
      <c r="AE24" s="60">
        <f>SUBTOTAL(109,Table41114[Prys Totaal])</f>
        <v>843450</v>
      </c>
      <c r="AG24" s="88" t="s">
        <v>36</v>
      </c>
      <c r="AH24" s="44"/>
      <c r="AI24" s="44"/>
      <c r="AJ24" s="89">
        <f>SUBTOTAL(109,Table14[Prys Totaal])</f>
        <v>1558963.6363636365</v>
      </c>
    </row>
    <row r="25" spans="1:36" ht="15" thickTop="1" x14ac:dyDescent="0.3">
      <c r="O25" s="4"/>
      <c r="P25" s="4"/>
      <c r="R25" s="4"/>
      <c r="S25" s="4"/>
      <c r="T25" s="4"/>
      <c r="U25" s="4"/>
    </row>
    <row r="26" spans="1:36" ht="43.2" x14ac:dyDescent="0.3">
      <c r="A26" s="47" t="s">
        <v>42</v>
      </c>
      <c r="B26" s="48" t="s">
        <v>32</v>
      </c>
      <c r="C26" s="49" t="s">
        <v>37</v>
      </c>
      <c r="D26" s="49" t="s">
        <v>6</v>
      </c>
      <c r="E26" s="49" t="s">
        <v>40</v>
      </c>
      <c r="F26" s="49" t="s">
        <v>41</v>
      </c>
      <c r="G26" s="50" t="s">
        <v>39</v>
      </c>
      <c r="I26" s="41" t="s">
        <v>32</v>
      </c>
      <c r="J26" s="42" t="s">
        <v>37</v>
      </c>
      <c r="K26" s="43" t="s">
        <v>6</v>
      </c>
      <c r="L26" s="43" t="s">
        <v>40</v>
      </c>
      <c r="M26" s="43" t="s">
        <v>41</v>
      </c>
      <c r="N26" s="42" t="s">
        <v>39</v>
      </c>
      <c r="O26" s="4"/>
      <c r="P26" s="41" t="s">
        <v>32</v>
      </c>
      <c r="Q26" s="42" t="s">
        <v>37</v>
      </c>
      <c r="R26" s="43" t="s">
        <v>6</v>
      </c>
      <c r="S26" s="43" t="s">
        <v>40</v>
      </c>
      <c r="T26" s="43" t="s">
        <v>41</v>
      </c>
      <c r="U26" s="42" t="s">
        <v>39</v>
      </c>
      <c r="W26" s="67" t="s">
        <v>37</v>
      </c>
      <c r="X26" s="43" t="s">
        <v>40</v>
      </c>
      <c r="Y26" s="43" t="s">
        <v>41</v>
      </c>
      <c r="Z26" s="43" t="s">
        <v>39</v>
      </c>
    </row>
    <row r="27" spans="1:36" x14ac:dyDescent="0.3">
      <c r="A27" s="10" t="s">
        <v>8</v>
      </c>
      <c r="B27" s="176">
        <v>0.25</v>
      </c>
      <c r="C27" s="27">
        <f>IF(MielieLandeB_WB[[#This Row],[Dosis / Ha]]&gt;0,VLOOKUP(A27,Pryse!C:D,2,0),0)</f>
        <v>50</v>
      </c>
      <c r="D27" s="27">
        <f>MielieLandeB_WB[[#This Row],[Dosis / Ha]]*MielieLandeB_WB[[#This Row],[Prys per Eenheid]]</f>
        <v>12.5</v>
      </c>
      <c r="E27" s="5">
        <f t="shared" ref="E27:E40" si="4">$B$3*B10</f>
        <v>125</v>
      </c>
      <c r="F27" s="5"/>
      <c r="G27" s="27">
        <f>$B$3*MielieLandeB_WB[[#This Row],[Koste per Ha]]</f>
        <v>6250</v>
      </c>
      <c r="I27" s="90"/>
      <c r="J27" s="78">
        <f>IF(MielieLandeB_VO[[#This Row],[Dosis / Ha]]&gt;0,VLOOKUP(A29,Pryse!C:D,2,0),0)</f>
        <v>0</v>
      </c>
      <c r="K27" s="78">
        <f>MielieLandeB_VO[[#This Row],[Dosis / Ha]]*MielieLandeB_VO[[#This Row],[Prys per Eenheid]]</f>
        <v>0</v>
      </c>
      <c r="L27" s="79">
        <f t="shared" ref="L27:L28" si="5">$B$3*I27</f>
        <v>0</v>
      </c>
      <c r="M27" s="79"/>
      <c r="N27" s="78">
        <f>$B$3*MielieLandeB_VO[[#This Row],[Koste per Ha]]</f>
        <v>0</v>
      </c>
      <c r="O27" s="4"/>
      <c r="P27" s="90"/>
      <c r="Q27" s="78">
        <f>IF(MielieLandeB_VO10[[#This Row],[Dosis / Ha]]&gt;0,VLOOKUP(A29,Pryse!C:D,2,0),0)</f>
        <v>0</v>
      </c>
      <c r="R27" s="78">
        <f>MielieLandeB_VO10[[#This Row],[Dosis / Ha]]*MielieLandeB_VO10[[#This Row],[Prys per Eenheid]]</f>
        <v>0</v>
      </c>
      <c r="S27" s="79">
        <f t="shared" ref="S27:S28" si="6">$B$3*P27</f>
        <v>0</v>
      </c>
      <c r="T27" s="79"/>
      <c r="U27" s="78">
        <f>$B$3*MielieLandeB_VO10[[#This Row],[Koste per Ha]]</f>
        <v>0</v>
      </c>
      <c r="W27" s="83">
        <f t="shared" ref="W27:W28" si="7">IF(Z27&gt;0,Z27/X27,0)</f>
        <v>50</v>
      </c>
      <c r="X27" s="84">
        <f>MielieLandeB_WB[[#This Row],[Volume Totaal]]+MielieLandeB_VO[[#This Row],[Volume Totaal]]+MielieLandeB_VO10[[#This Row],[Volume Totaal]]</f>
        <v>125</v>
      </c>
      <c r="Y27" s="84"/>
      <c r="Z27" s="86">
        <f>+MielieLandeB_WB[[#This Row],[Prys Totaal]]+MielieLandeB_VO[[#This Row],[Prys Totaal]]+MielieLandeB_VO10[[#This Row],[Prys Totaal]]</f>
        <v>6250</v>
      </c>
    </row>
    <row r="28" spans="1:36" x14ac:dyDescent="0.3">
      <c r="A28" s="10" t="s">
        <v>17</v>
      </c>
      <c r="B28" s="176"/>
      <c r="C28" s="27">
        <f>IF(MielieLandeB_WB[[#This Row],[Dosis / Ha]]&gt;0,VLOOKUP(A28,Pryse!C:D,2,0),0)</f>
        <v>0</v>
      </c>
      <c r="D28" s="27">
        <f>MielieLandeB_WB[[#This Row],[Dosis / Ha]]*MielieLandeB_WB[[#This Row],[Prys per Eenheid]]</f>
        <v>0</v>
      </c>
      <c r="E28" s="5">
        <f t="shared" si="4"/>
        <v>0</v>
      </c>
      <c r="F28" s="5"/>
      <c r="G28" s="27">
        <f>$B$3*MielieLandeB_WB[[#This Row],[Koste per Ha]]</f>
        <v>0</v>
      </c>
      <c r="I28" s="90"/>
      <c r="J28" s="78">
        <f>IF(MielieLandeB_VO[[#This Row],[Dosis / Ha]]&gt;0,VLOOKUP(A30,Pryse!C:D,2,0),0)</f>
        <v>0</v>
      </c>
      <c r="K28" s="78">
        <f>MielieLandeB_VO[[#This Row],[Dosis / Ha]]*MielieLandeB_VO[[#This Row],[Prys per Eenheid]]</f>
        <v>0</v>
      </c>
      <c r="L28" s="79">
        <f t="shared" si="5"/>
        <v>0</v>
      </c>
      <c r="M28" s="79"/>
      <c r="N28" s="80">
        <f>$B$3*MielieLandeB_VO[[#This Row],[Koste per Ha]]</f>
        <v>0</v>
      </c>
      <c r="O28" s="4"/>
      <c r="P28" s="90"/>
      <c r="Q28" s="78">
        <f>IF(MielieLandeB_VO10[[#This Row],[Dosis / Ha]]&gt;0,VLOOKUP(A30,Pryse!C:D,2,0),0)</f>
        <v>0</v>
      </c>
      <c r="R28" s="78">
        <f>MielieLandeB_VO10[[#This Row],[Dosis / Ha]]*MielieLandeB_VO10[[#This Row],[Prys per Eenheid]]</f>
        <v>0</v>
      </c>
      <c r="S28" s="79">
        <f t="shared" si="6"/>
        <v>0</v>
      </c>
      <c r="T28" s="79"/>
      <c r="U28" s="80">
        <f>$B$3*MielieLandeB_VO10[[#This Row],[Koste per Ha]]</f>
        <v>0</v>
      </c>
      <c r="W28" s="83">
        <f t="shared" si="7"/>
        <v>0</v>
      </c>
      <c r="X28" s="85">
        <f>MielieLandeB_WB[[#This Row],[Volume Totaal]]+MielieLandeB_VO[[#This Row],[Volume Totaal]]+MielieLandeB_VO10[[#This Row],[Volume Totaal]]</f>
        <v>0</v>
      </c>
      <c r="Y28" s="85"/>
      <c r="Z28" s="87">
        <f>+MielieLandeB_WB[[#This Row],[Prys Totaal]]+MielieLandeB_VO[[#This Row],[Prys Totaal]]+MielieLandeB_VO10[[#This Row],[Prys Totaal]]</f>
        <v>0</v>
      </c>
    </row>
    <row r="29" spans="1:36" x14ac:dyDescent="0.3">
      <c r="A29" s="45" t="s">
        <v>14</v>
      </c>
      <c r="B29" s="174"/>
      <c r="C29" s="27">
        <f>IF(MielieLandeB_WB[[#This Row],[Dosis / Ha]]&gt;0,VLOOKUP(A29,Pryse!C:D,2,0),0)</f>
        <v>0</v>
      </c>
      <c r="D29" s="27">
        <f>MielieLandeB_WB[[#This Row],[Dosis / Ha]]*MielieLandeB_WB[[#This Row],[Prys per Eenheid]]</f>
        <v>0</v>
      </c>
      <c r="E29" s="5">
        <f t="shared" si="4"/>
        <v>0</v>
      </c>
      <c r="F29" s="5"/>
      <c r="G29" s="27">
        <f>$B$3*MielieLandeB_WB[[#This Row],[Koste per Ha]]</f>
        <v>0</v>
      </c>
      <c r="I29" s="62">
        <v>0.25</v>
      </c>
      <c r="J29" s="23">
        <f>IF(MielieLandeB_VO[[#This Row],[Dosis / Ha]]&gt;0,VLOOKUP(A29,Pryse!C:D,2,0),0)</f>
        <v>220</v>
      </c>
      <c r="K29" s="35">
        <f>MielieLandeB_VO[[#This Row],[Dosis / Ha]]*MielieLandeB_VO[[#This Row],[Prys per Eenheid]]</f>
        <v>55</v>
      </c>
      <c r="L29" s="36">
        <f t="shared" ref="L29:L40" si="8">$B$3*I29</f>
        <v>125</v>
      </c>
      <c r="M29" s="36"/>
      <c r="N29" s="35">
        <f>$B$3*MielieLandeB_VO[[#This Row],[Koste per Ha]]</f>
        <v>27500</v>
      </c>
      <c r="O29" s="4"/>
      <c r="P29" s="62">
        <v>0.25</v>
      </c>
      <c r="Q29" s="23">
        <f>IF(MielieLandeB_VO10[[#This Row],[Dosis / Ha]]&gt;0,VLOOKUP(A29,Pryse!C:D,2,0),0)</f>
        <v>220</v>
      </c>
      <c r="R29" s="35">
        <f>MielieLandeB_VO10[[#This Row],[Dosis / Ha]]*MielieLandeB_VO10[[#This Row],[Prys per Eenheid]]</f>
        <v>55</v>
      </c>
      <c r="S29" s="36">
        <f t="shared" ref="S29:S40" si="9">$B$3*P29</f>
        <v>125</v>
      </c>
      <c r="T29" s="36"/>
      <c r="U29" s="35">
        <f>$B$3*MielieLandeB_VO10[[#This Row],[Koste per Ha]]</f>
        <v>27500</v>
      </c>
      <c r="W29" s="66">
        <f t="shared" ref="W29:W40" si="10">IF(Z29&gt;0,Z29/X29,0)</f>
        <v>220</v>
      </c>
      <c r="X29" s="36">
        <f>MielieLandeB_WB[[#This Row],[Volume Totaal]]+MielieLandeB_VO[[#This Row],[Volume Totaal]]+MielieLandeB_VO10[[#This Row],[Volume Totaal]]</f>
        <v>250</v>
      </c>
      <c r="Y29" s="36"/>
      <c r="Z29" s="37">
        <f>+MielieLandeB_WB[[#This Row],[Prys Totaal]]+MielieLandeB_VO[[#This Row],[Prys Totaal]]+MielieLandeB_VO10[[#This Row],[Prys Totaal]]</f>
        <v>55000</v>
      </c>
    </row>
    <row r="30" spans="1:36" x14ac:dyDescent="0.3">
      <c r="A30" s="46" t="s">
        <v>1</v>
      </c>
      <c r="B30" s="174">
        <v>2</v>
      </c>
      <c r="C30" s="27">
        <f>IF(MielieLandeB_WB[[#This Row],[Dosis / Ha]]&gt;0,VLOOKUP(A30,Pryse!C:D,2,0),0)</f>
        <v>65</v>
      </c>
      <c r="D30" s="27">
        <f>MielieLandeB_WB[[#This Row],[Dosis / Ha]]*MielieLandeB_WB[[#This Row],[Prys per Eenheid]]</f>
        <v>130</v>
      </c>
      <c r="E30" s="5">
        <f t="shared" si="4"/>
        <v>1000</v>
      </c>
      <c r="F30" s="5"/>
      <c r="G30" s="27">
        <f>$B$3*MielieLandeB_WB[[#This Row],[Koste per Ha]]</f>
        <v>65000</v>
      </c>
      <c r="I30" s="62"/>
      <c r="J30" s="59">
        <f>IF(MielieLandeB_VO[[#This Row],[Dosis / Ha]]&gt;0,VLOOKUP(A30,Pryse!C:D,2,0),0)</f>
        <v>0</v>
      </c>
      <c r="K30" s="59">
        <f>MielieLandeB_VO[[#This Row],[Dosis / Ha]]*MielieLandeB_VO[[#This Row],[Prys per Eenheid]]</f>
        <v>0</v>
      </c>
      <c r="L30" s="58">
        <f t="shared" si="8"/>
        <v>0</v>
      </c>
      <c r="M30" s="58"/>
      <c r="N30" s="23">
        <f>$B$3*MielieLandeB_VO[[#This Row],[Koste per Ha]]</f>
        <v>0</v>
      </c>
      <c r="O30" s="4"/>
      <c r="P30" s="62">
        <v>1.5</v>
      </c>
      <c r="Q30" s="59">
        <f>IF(MielieLandeB_VO10[[#This Row],[Dosis / Ha]]&gt;0,VLOOKUP(A30,Pryse!C:D,2,0),0)</f>
        <v>65</v>
      </c>
      <c r="R30" s="59">
        <f>MielieLandeB_VO10[[#This Row],[Dosis / Ha]]*MielieLandeB_VO10[[#This Row],[Prys per Eenheid]]</f>
        <v>97.5</v>
      </c>
      <c r="S30" s="58">
        <f t="shared" si="9"/>
        <v>750</v>
      </c>
      <c r="T30" s="58"/>
      <c r="U30" s="23">
        <f>$B$3*MielieLandeB_VO10[[#This Row],[Koste per Ha]]</f>
        <v>48750</v>
      </c>
      <c r="W30" s="66">
        <f t="shared" si="10"/>
        <v>65</v>
      </c>
      <c r="X30" s="36">
        <f>MielieLandeB_WB[[#This Row],[Volume Totaal]]+MielieLandeB_VO[[#This Row],[Volume Totaal]]+MielieLandeB_VO10[[#This Row],[Volume Totaal]]</f>
        <v>1750</v>
      </c>
      <c r="Y30" s="36"/>
      <c r="Z30" s="37">
        <f>+MielieLandeB_WB[[#This Row],[Prys Totaal]]+MielieLandeB_VO[[#This Row],[Prys Totaal]]+MielieLandeB_VO10[[#This Row],[Prys Totaal]]</f>
        <v>113750</v>
      </c>
    </row>
    <row r="31" spans="1:36" x14ac:dyDescent="0.3">
      <c r="A31" s="46" t="s">
        <v>22</v>
      </c>
      <c r="B31" s="174"/>
      <c r="C31" s="27">
        <f>IF(MielieLandeB_WB[[#This Row],[Dosis / Ha]]&gt;0,VLOOKUP(A31,Pryse!C:D,2,0),0)</f>
        <v>0</v>
      </c>
      <c r="D31" s="27">
        <f>MielieLandeB_WB[[#This Row],[Dosis / Ha]]*MielieLandeB_WB[[#This Row],[Prys per Eenheid]]</f>
        <v>0</v>
      </c>
      <c r="E31" s="5">
        <f t="shared" si="4"/>
        <v>0</v>
      </c>
      <c r="F31" s="5"/>
      <c r="G31" s="27">
        <f>$B$3*MielieLandeB_WB[[#This Row],[Koste per Ha]]</f>
        <v>0</v>
      </c>
      <c r="I31" s="62"/>
      <c r="J31" s="75">
        <f>IF(MielieLandeB_VO[[#This Row],[Dosis / Ha]]&gt;0,VLOOKUP(A31,Pryse!C:D,2,0),0)</f>
        <v>0</v>
      </c>
      <c r="K31" s="75">
        <f>MielieLandeB_VO[[#This Row],[Dosis / Ha]]*MielieLandeB_VO[[#This Row],[Prys per Eenheid]]</f>
        <v>0</v>
      </c>
      <c r="L31" s="76">
        <f t="shared" si="8"/>
        <v>0</v>
      </c>
      <c r="M31" s="76"/>
      <c r="N31" s="24">
        <f>$B$3*MielieLandeB_VO[[#This Row],[Koste per Ha]]</f>
        <v>0</v>
      </c>
      <c r="O31" s="4"/>
      <c r="P31" s="62">
        <v>0.12</v>
      </c>
      <c r="Q31" s="75">
        <f>IF(MielieLandeB_VO10[[#This Row],[Dosis / Ha]]&gt;0,VLOOKUP(A31,Pryse!C:D,2,0),0)</f>
        <v>60</v>
      </c>
      <c r="R31" s="75">
        <f>MielieLandeB_VO10[[#This Row],[Dosis / Ha]]*MielieLandeB_VO10[[#This Row],[Prys per Eenheid]]</f>
        <v>7.1999999999999993</v>
      </c>
      <c r="S31" s="76">
        <f t="shared" si="9"/>
        <v>60</v>
      </c>
      <c r="T31" s="76"/>
      <c r="U31" s="24">
        <f>$B$3*MielieLandeB_VO10[[#This Row],[Koste per Ha]]</f>
        <v>3599.9999999999995</v>
      </c>
      <c r="W31" s="66">
        <f t="shared" si="10"/>
        <v>59.999999999999993</v>
      </c>
      <c r="X31" s="36">
        <f>MielieLandeB_WB[[#This Row],[Volume Totaal]]+MielieLandeB_VO[[#This Row],[Volume Totaal]]+MielieLandeB_VO10[[#This Row],[Volume Totaal]]</f>
        <v>60</v>
      </c>
      <c r="Y31" s="36"/>
      <c r="Z31" s="37">
        <f>+MielieLandeB_WB[[#This Row],[Prys Totaal]]+MielieLandeB_VO[[#This Row],[Prys Totaal]]+MielieLandeB_VO10[[#This Row],[Prys Totaal]]</f>
        <v>3599.9999999999995</v>
      </c>
    </row>
    <row r="32" spans="1:36" x14ac:dyDescent="0.3">
      <c r="A32" s="40" t="s">
        <v>18</v>
      </c>
      <c r="B32" s="174"/>
      <c r="C32" s="27">
        <f>IF(MielieLandeB_WB[[#This Row],[Dosis / Ha]]&gt;0,VLOOKUP(A32,Pryse!C:D,2,0),0)</f>
        <v>0</v>
      </c>
      <c r="D32" s="27">
        <f>MielieLandeB_WB[[#This Row],[Dosis / Ha]]*MielieLandeB_WB[[#This Row],[Prys per Eenheid]]</f>
        <v>0</v>
      </c>
      <c r="E32" s="5">
        <f t="shared" si="4"/>
        <v>0</v>
      </c>
      <c r="F32" s="5"/>
      <c r="G32" s="27">
        <f>$B$3*MielieLandeB_WB[[#This Row],[Koste per Ha]]</f>
        <v>0</v>
      </c>
      <c r="I32" s="62">
        <v>0.06</v>
      </c>
      <c r="J32" s="23">
        <f>IF(MielieLandeB_VO[[#This Row],[Dosis / Ha]]&gt;0,VLOOKUP(A32,Pryse!C:D,2,0),0)</f>
        <v>100</v>
      </c>
      <c r="K32" s="23">
        <f>MielieLandeB_VO[[#This Row],[Dosis / Ha]]*MielieLandeB_VO[[#This Row],[Prys per Eenheid]]</f>
        <v>6</v>
      </c>
      <c r="L32" s="18">
        <f t="shared" si="8"/>
        <v>30</v>
      </c>
      <c r="M32" s="18"/>
      <c r="N32" s="24">
        <f>$B$3*MielieLandeB_VO[[#This Row],[Koste per Ha]]</f>
        <v>3000</v>
      </c>
      <c r="O32" s="4"/>
      <c r="P32" s="62"/>
      <c r="Q32" s="23">
        <f>IF(MielieLandeB_VO10[[#This Row],[Dosis / Ha]]&gt;0,VLOOKUP(A32,Pryse!C:D,2,0),0)</f>
        <v>0</v>
      </c>
      <c r="R32" s="23">
        <f>MielieLandeB_VO10[[#This Row],[Dosis / Ha]]*MielieLandeB_VO10[[#This Row],[Prys per Eenheid]]</f>
        <v>0</v>
      </c>
      <c r="S32" s="18">
        <f t="shared" si="9"/>
        <v>0</v>
      </c>
      <c r="T32" s="18"/>
      <c r="U32" s="24">
        <f>$B$3*MielieLandeB_VO10[[#This Row],[Koste per Ha]]</f>
        <v>0</v>
      </c>
      <c r="W32" s="66">
        <f t="shared" si="10"/>
        <v>100</v>
      </c>
      <c r="X32" s="36">
        <f>MielieLandeB_WB[[#This Row],[Volume Totaal]]+MielieLandeB_VO[[#This Row],[Volume Totaal]]+MielieLandeB_VO10[[#This Row],[Volume Totaal]]</f>
        <v>30</v>
      </c>
      <c r="Y32" s="36"/>
      <c r="Z32" s="37">
        <f>+MielieLandeB_WB[[#This Row],[Prys Totaal]]+MielieLandeB_VO[[#This Row],[Prys Totaal]]+MielieLandeB_VO10[[#This Row],[Prys Totaal]]</f>
        <v>3000</v>
      </c>
    </row>
    <row r="33" spans="1:26" x14ac:dyDescent="0.3">
      <c r="A33" s="46" t="s">
        <v>15</v>
      </c>
      <c r="B33" s="174"/>
      <c r="C33" s="27">
        <f>IF(MielieLandeB_WB[[#This Row],[Dosis / Ha]]&gt;0,VLOOKUP(A33,Pryse!C:D,2,0),0)</f>
        <v>0</v>
      </c>
      <c r="D33" s="27">
        <f>MielieLandeB_WB[[#This Row],[Dosis / Ha]]*MielieLandeB_WB[[#This Row],[Prys per Eenheid]]</f>
        <v>0</v>
      </c>
      <c r="E33" s="5">
        <f t="shared" si="4"/>
        <v>0</v>
      </c>
      <c r="F33" s="5"/>
      <c r="G33" s="27">
        <f>$B$3*MielieLandeB_WB[[#This Row],[Koste per Ha]]</f>
        <v>0</v>
      </c>
      <c r="I33" s="62">
        <v>1</v>
      </c>
      <c r="J33" s="23">
        <f>IF(MielieLandeB_VO[[#This Row],[Dosis / Ha]]&gt;0,VLOOKUP(A33,Pryse!C:D,2,0),0)</f>
        <v>130</v>
      </c>
      <c r="K33" s="23">
        <f>MielieLandeB_VO[[#This Row],[Dosis / Ha]]*MielieLandeB_VO[[#This Row],[Prys per Eenheid]]</f>
        <v>130</v>
      </c>
      <c r="L33" s="18">
        <f t="shared" si="8"/>
        <v>500</v>
      </c>
      <c r="M33" s="18"/>
      <c r="N33" s="24">
        <f>$B$3*MielieLandeB_VO[[#This Row],[Koste per Ha]]</f>
        <v>65000</v>
      </c>
      <c r="O33" s="4"/>
      <c r="P33" s="62"/>
      <c r="Q33" s="23">
        <f>IF(MielieLandeB_VO10[[#This Row],[Dosis / Ha]]&gt;0,VLOOKUP(A33,Pryse!C:D,2,0),0)</f>
        <v>0</v>
      </c>
      <c r="R33" s="23">
        <f>MielieLandeB_VO10[[#This Row],[Dosis / Ha]]*MielieLandeB_VO10[[#This Row],[Prys per Eenheid]]</f>
        <v>0</v>
      </c>
      <c r="S33" s="18">
        <f t="shared" si="9"/>
        <v>0</v>
      </c>
      <c r="T33" s="18"/>
      <c r="U33" s="24">
        <f>$B$3*MielieLandeB_VO10[[#This Row],[Koste per Ha]]</f>
        <v>0</v>
      </c>
      <c r="W33" s="66">
        <f t="shared" si="10"/>
        <v>130</v>
      </c>
      <c r="X33" s="36">
        <f>MielieLandeB_WB[[#This Row],[Volume Totaal]]+MielieLandeB_VO[[#This Row],[Volume Totaal]]+MielieLandeB_VO10[[#This Row],[Volume Totaal]]</f>
        <v>500</v>
      </c>
      <c r="Y33" s="36"/>
      <c r="Z33" s="37">
        <f>+MielieLandeB_WB[[#This Row],[Prys Totaal]]+MielieLandeB_VO[[#This Row],[Prys Totaal]]+MielieLandeB_VO10[[#This Row],[Prys Totaal]]</f>
        <v>65000</v>
      </c>
    </row>
    <row r="34" spans="1:26" x14ac:dyDescent="0.3">
      <c r="A34" s="10" t="s">
        <v>21</v>
      </c>
      <c r="B34" s="174"/>
      <c r="C34" s="27">
        <f>IF(MielieLandeB_WB[[#This Row],[Dosis / Ha]]&gt;0,VLOOKUP(A34,Pryse!C:D,2,0),0)</f>
        <v>0</v>
      </c>
      <c r="D34" s="27">
        <f>MielieLandeB_WB[[#This Row],[Dosis / Ha]]*MielieLandeB_WB[[#This Row],[Prys per Eenheid]]</f>
        <v>0</v>
      </c>
      <c r="E34" s="5">
        <f t="shared" si="4"/>
        <v>0</v>
      </c>
      <c r="F34" s="5"/>
      <c r="G34" s="27">
        <f>$B$3*MielieLandeB_WB[[#This Row],[Koste per Ha]]</f>
        <v>0</v>
      </c>
      <c r="I34" s="62"/>
      <c r="J34" s="59">
        <f>IF(MielieLandeB_VO[[#This Row],[Dosis / Ha]]&gt;0,VLOOKUP(A34,Pryse!C:D,2,0),0)</f>
        <v>0</v>
      </c>
      <c r="K34" s="59">
        <f>MielieLandeB_VO[[#This Row],[Dosis / Ha]]*MielieLandeB_VO[[#This Row],[Prys per Eenheid]]</f>
        <v>0</v>
      </c>
      <c r="L34" s="58">
        <f t="shared" si="8"/>
        <v>0</v>
      </c>
      <c r="M34" s="58"/>
      <c r="N34" s="24">
        <f>$B$3*MielieLandeB_VO[[#This Row],[Koste per Ha]]</f>
        <v>0</v>
      </c>
      <c r="O34" s="4"/>
      <c r="P34" s="62">
        <v>1</v>
      </c>
      <c r="Q34" s="59">
        <f>IF(MielieLandeB_VO10[[#This Row],[Dosis / Ha]]&gt;0,VLOOKUP(A34,Pryse!C:D,2,0),0)</f>
        <v>110</v>
      </c>
      <c r="R34" s="59">
        <f>MielieLandeB_VO10[[#This Row],[Dosis / Ha]]*MielieLandeB_VO10[[#This Row],[Prys per Eenheid]]</f>
        <v>110</v>
      </c>
      <c r="S34" s="58">
        <f t="shared" si="9"/>
        <v>500</v>
      </c>
      <c r="T34" s="58"/>
      <c r="U34" s="24">
        <f>$B$3*MielieLandeB_VO10[[#This Row],[Koste per Ha]]</f>
        <v>55000</v>
      </c>
      <c r="W34" s="66">
        <f t="shared" si="10"/>
        <v>110</v>
      </c>
      <c r="X34" s="36">
        <f>MielieLandeB_WB[[#This Row],[Volume Totaal]]+MielieLandeB_VO[[#This Row],[Volume Totaal]]+MielieLandeB_VO10[[#This Row],[Volume Totaal]]</f>
        <v>500</v>
      </c>
      <c r="Y34" s="36"/>
      <c r="Z34" s="37">
        <f>+MielieLandeB_WB[[#This Row],[Prys Totaal]]+MielieLandeB_VO[[#This Row],[Prys Totaal]]+MielieLandeB_VO10[[#This Row],[Prys Totaal]]</f>
        <v>55000</v>
      </c>
    </row>
    <row r="35" spans="1:26" x14ac:dyDescent="0.3">
      <c r="A35" s="46" t="s">
        <v>24</v>
      </c>
      <c r="B35" s="174"/>
      <c r="C35" s="27">
        <f>IF(MielieLandeB_WB[[#This Row],[Dosis / Ha]]&gt;0,VLOOKUP(A35,Pryse!C:D,2,0),0)</f>
        <v>0</v>
      </c>
      <c r="D35" s="27">
        <f>MielieLandeB_WB[[#This Row],[Dosis / Ha]]*MielieLandeB_WB[[#This Row],[Prys per Eenheid]]</f>
        <v>0</v>
      </c>
      <c r="E35" s="5">
        <f t="shared" si="4"/>
        <v>0</v>
      </c>
      <c r="F35" s="5"/>
      <c r="G35" s="27">
        <f>$B$3*MielieLandeB_WB[[#This Row],[Koste per Ha]]</f>
        <v>0</v>
      </c>
      <c r="I35" s="62"/>
      <c r="J35" s="59">
        <f>IF(MielieLandeB_VO[[#This Row],[Dosis / Ha]]&gt;0,VLOOKUP(A35,Pryse!C:D,2,0),0)</f>
        <v>0</v>
      </c>
      <c r="K35" s="59">
        <f>MielieLandeB_VO[[#This Row],[Dosis / Ha]]*MielieLandeB_VO[[#This Row],[Prys per Eenheid]]</f>
        <v>0</v>
      </c>
      <c r="L35" s="58">
        <f t="shared" si="8"/>
        <v>0</v>
      </c>
      <c r="M35" s="58"/>
      <c r="N35" s="24">
        <f>$B$3*MielieLandeB_VO[[#This Row],[Koste per Ha]]</f>
        <v>0</v>
      </c>
      <c r="O35" s="4"/>
      <c r="P35" s="62">
        <v>0.4</v>
      </c>
      <c r="Q35" s="59">
        <f>IF(MielieLandeB_VO10[[#This Row],[Dosis / Ha]]&gt;0,VLOOKUP(A35,Pryse!C:D,2,0),0)</f>
        <v>90</v>
      </c>
      <c r="R35" s="59">
        <f>MielieLandeB_VO10[[#This Row],[Dosis / Ha]]*MielieLandeB_VO10[[#This Row],[Prys per Eenheid]]</f>
        <v>36</v>
      </c>
      <c r="S35" s="58">
        <f t="shared" si="9"/>
        <v>200</v>
      </c>
      <c r="T35" s="58"/>
      <c r="U35" s="24">
        <f>$B$3*MielieLandeB_VO10[[#This Row],[Koste per Ha]]</f>
        <v>18000</v>
      </c>
      <c r="W35" s="66">
        <f t="shared" si="10"/>
        <v>90</v>
      </c>
      <c r="X35" s="36">
        <f>MielieLandeB_WB[[#This Row],[Volume Totaal]]+MielieLandeB_VO[[#This Row],[Volume Totaal]]+MielieLandeB_VO10[[#This Row],[Volume Totaal]]</f>
        <v>200</v>
      </c>
      <c r="Y35" s="36"/>
      <c r="Z35" s="37">
        <f>+MielieLandeB_WB[[#This Row],[Prys Totaal]]+MielieLandeB_VO[[#This Row],[Prys Totaal]]+MielieLandeB_VO10[[#This Row],[Prys Totaal]]</f>
        <v>18000</v>
      </c>
    </row>
    <row r="36" spans="1:26" x14ac:dyDescent="0.3">
      <c r="A36" s="10" t="s">
        <v>25</v>
      </c>
      <c r="B36" s="174"/>
      <c r="C36" s="27">
        <f>IF(MielieLandeB_WB[[#This Row],[Dosis / Ha]]&gt;0,VLOOKUP(A36,Pryse!C:D,2,0),0)</f>
        <v>0</v>
      </c>
      <c r="D36" s="27">
        <f>MielieLandeB_WB[[#This Row],[Dosis / Ha]]*MielieLandeB_WB[[#This Row],[Prys per Eenheid]]</f>
        <v>0</v>
      </c>
      <c r="E36" s="5">
        <f t="shared" si="4"/>
        <v>0</v>
      </c>
      <c r="F36" s="5"/>
      <c r="G36" s="27">
        <f>$B$3*MielieLandeB_WB[[#This Row],[Koste per Ha]]</f>
        <v>0</v>
      </c>
      <c r="I36" s="63"/>
      <c r="J36" s="59">
        <f>IF(MielieLandeB_VO[[#This Row],[Dosis / Ha]]&gt;0,VLOOKUP(A38,Pryse!C:D,2,0),0)</f>
        <v>0</v>
      </c>
      <c r="K36" s="59">
        <f>MielieLandeB_VO[[#This Row],[Dosis / Ha]]*MielieLandeB_VO[[#This Row],[Prys per Eenheid]]</f>
        <v>0</v>
      </c>
      <c r="L36" s="58">
        <f t="shared" si="8"/>
        <v>0</v>
      </c>
      <c r="M36" s="58"/>
      <c r="N36" s="75">
        <f>$B$3*MielieLandeB_VO[[#This Row],[Koste per Ha]]</f>
        <v>0</v>
      </c>
      <c r="O36" s="4"/>
      <c r="P36" s="63"/>
      <c r="Q36" s="59">
        <f>IF(MielieLandeB_VO10[[#This Row],[Dosis / Ha]]&gt;0,VLOOKUP(A38,Pryse!C:D,2,0),0)</f>
        <v>0</v>
      </c>
      <c r="R36" s="59">
        <f>MielieLandeB_VO10[[#This Row],[Dosis / Ha]]*MielieLandeB_VO10[[#This Row],[Prys per Eenheid]]</f>
        <v>0</v>
      </c>
      <c r="S36" s="58">
        <f t="shared" si="9"/>
        <v>0</v>
      </c>
      <c r="T36" s="58"/>
      <c r="U36" s="75">
        <f>$B$3*MielieLandeB_VO10[[#This Row],[Koste per Ha]]</f>
        <v>0</v>
      </c>
      <c r="W36" s="94">
        <f t="shared" si="10"/>
        <v>0</v>
      </c>
      <c r="X36" s="95">
        <f>MielieLandeB_WB[[#This Row],[Volume Totaal]]+MielieLandeB_VO[[#This Row],[Volume Totaal]]+MielieLandeB_VO10[[#This Row],[Volume Totaal]]</f>
        <v>0</v>
      </c>
      <c r="Y36" s="95"/>
      <c r="Z36" s="96">
        <f>+MielieLandeB_WB[[#This Row],[Prys Totaal]]+MielieLandeB_VO[[#This Row],[Prys Totaal]]+MielieLandeB_VO10[[#This Row],[Prys Totaal]]</f>
        <v>0</v>
      </c>
    </row>
    <row r="37" spans="1:26" x14ac:dyDescent="0.3">
      <c r="A37" s="46" t="s">
        <v>16</v>
      </c>
      <c r="B37" s="174"/>
      <c r="C37" s="27">
        <f>IF(MielieLandeB_WB[[#This Row],[Dosis / Ha]]&gt;0,VLOOKUP(A37,Pryse!C:D,2,0),0)</f>
        <v>0</v>
      </c>
      <c r="D37" s="27">
        <f>MielieLandeB_WB[[#This Row],[Dosis / Ha]]*MielieLandeB_WB[[#This Row],[Prys per Eenheid]]</f>
        <v>0</v>
      </c>
      <c r="E37" s="5">
        <f t="shared" si="4"/>
        <v>0</v>
      </c>
      <c r="F37" s="5"/>
      <c r="G37" s="27">
        <f>$B$3*MielieLandeB_WB[[#This Row],[Koste per Ha]]</f>
        <v>0</v>
      </c>
      <c r="I37" s="62"/>
      <c r="J37" s="59">
        <f>IF(MielieLandeB_VO[[#This Row],[Dosis / Ha]]&gt;0,VLOOKUP(A37,Pryse!C:D,2,0),0)</f>
        <v>0</v>
      </c>
      <c r="K37" s="59">
        <f>MielieLandeB_VO[[#This Row],[Dosis / Ha]]*MielieLandeB_VO[[#This Row],[Prys per Eenheid]]</f>
        <v>0</v>
      </c>
      <c r="L37" s="58">
        <f t="shared" si="8"/>
        <v>0</v>
      </c>
      <c r="M37" s="58"/>
      <c r="N37" s="24">
        <f>$B$3*MielieLandeB_VO[[#This Row],[Koste per Ha]]</f>
        <v>0</v>
      </c>
      <c r="O37" s="15"/>
      <c r="P37" s="62">
        <v>1.1000000000000001</v>
      </c>
      <c r="Q37" s="59">
        <f>IF(MielieLandeB_VO10[[#This Row],[Dosis / Ha]]&gt;0,VLOOKUP(A37,Pryse!C:D,2,0),0)</f>
        <v>90</v>
      </c>
      <c r="R37" s="59">
        <f>MielieLandeB_VO10[[#This Row],[Dosis / Ha]]*MielieLandeB_VO10[[#This Row],[Prys per Eenheid]]</f>
        <v>99.000000000000014</v>
      </c>
      <c r="S37" s="58">
        <f t="shared" si="9"/>
        <v>550</v>
      </c>
      <c r="T37" s="58"/>
      <c r="U37" s="24">
        <f>$B$3*MielieLandeB_VO10[[#This Row],[Koste per Ha]]</f>
        <v>49500.000000000007</v>
      </c>
      <c r="W37" s="66">
        <f t="shared" si="10"/>
        <v>90.000000000000014</v>
      </c>
      <c r="X37" s="36">
        <f>MielieLandeB_WB[[#This Row],[Volume Totaal]]+MielieLandeB_VO[[#This Row],[Volume Totaal]]+MielieLandeB_VO10[[#This Row],[Volume Totaal]]</f>
        <v>550</v>
      </c>
      <c r="Y37" s="36"/>
      <c r="Z37" s="37">
        <f>+MielieLandeB_WB[[#This Row],[Prys Totaal]]+MielieLandeB_VO[[#This Row],[Prys Totaal]]+MielieLandeB_VO10[[#This Row],[Prys Totaal]]</f>
        <v>49500.000000000007</v>
      </c>
    </row>
    <row r="38" spans="1:26" x14ac:dyDescent="0.3">
      <c r="A38" s="74" t="s">
        <v>9</v>
      </c>
      <c r="B38" s="174">
        <v>1.5</v>
      </c>
      <c r="C38" s="27">
        <f>IF(MielieLandeB_WB[[#This Row],[Dosis / Ha]]&gt;0,VLOOKUP(A38,Pryse!C:D,2,0),0)</f>
        <v>17</v>
      </c>
      <c r="D38" s="27">
        <f>MielieLandeB_WB[[#This Row],[Dosis / Ha]]*MielieLandeB_WB[[#This Row],[Prys per Eenheid]]</f>
        <v>25.5</v>
      </c>
      <c r="E38" s="5">
        <f t="shared" si="4"/>
        <v>750</v>
      </c>
      <c r="F38" s="5"/>
      <c r="G38" s="27">
        <f>$B$3*MielieLandeB_WB[[#This Row],[Koste per Ha]]</f>
        <v>12750</v>
      </c>
      <c r="I38" s="62"/>
      <c r="J38" s="59">
        <f>IF(MielieLandeB_VO[[#This Row],[Dosis / Ha]]&gt;0,VLOOKUP(A38,Pryse!C:D,2,0),0)</f>
        <v>0</v>
      </c>
      <c r="K38" s="59">
        <f>MielieLandeB_VO[[#This Row],[Dosis / Ha]]*MielieLandeB_VO[[#This Row],[Prys per Eenheid]]</f>
        <v>0</v>
      </c>
      <c r="L38" s="58">
        <f t="shared" si="8"/>
        <v>0</v>
      </c>
      <c r="M38" s="58"/>
      <c r="N38" s="24">
        <f>$B$3*MielieLandeB_VO[[#This Row],[Koste per Ha]]</f>
        <v>0</v>
      </c>
      <c r="O38" s="15"/>
      <c r="P38" s="62">
        <v>1.5</v>
      </c>
      <c r="Q38" s="59">
        <f>IF(MielieLandeB_VO10[[#This Row],[Dosis / Ha]]&gt;0,VLOOKUP(A38,Pryse!C:D,2,0),0)</f>
        <v>17</v>
      </c>
      <c r="R38" s="59">
        <f>MielieLandeB_VO10[[#This Row],[Dosis / Ha]]*MielieLandeB_VO10[[#This Row],[Prys per Eenheid]]</f>
        <v>25.5</v>
      </c>
      <c r="S38" s="58">
        <f t="shared" si="9"/>
        <v>750</v>
      </c>
      <c r="T38" s="58"/>
      <c r="U38" s="24">
        <f>$B$3*MielieLandeB_VO10[[#This Row],[Koste per Ha]]</f>
        <v>12750</v>
      </c>
      <c r="W38" s="66">
        <f t="shared" si="10"/>
        <v>17</v>
      </c>
      <c r="X38" s="36">
        <f>MielieLandeB_WB[[#This Row],[Volume Totaal]]+MielieLandeB_VO[[#This Row],[Volume Totaal]]+MielieLandeB_VO10[[#This Row],[Volume Totaal]]</f>
        <v>1500</v>
      </c>
      <c r="Y38" s="36"/>
      <c r="Z38" s="37">
        <f>+MielieLandeB_WB[[#This Row],[Prys Totaal]]+MielieLandeB_VO[[#This Row],[Prys Totaal]]+MielieLandeB_VO10[[#This Row],[Prys Totaal]]</f>
        <v>25500</v>
      </c>
    </row>
    <row r="39" spans="1:26" x14ac:dyDescent="0.3">
      <c r="A39" s="13" t="s">
        <v>10</v>
      </c>
      <c r="B39" s="174">
        <v>0.05</v>
      </c>
      <c r="C39" s="27">
        <f>IF(MielieLandeB_WB[[#This Row],[Dosis / Ha]]&gt;0,VLOOKUP(A39,Pryse!C:D,2,0),0)</f>
        <v>25</v>
      </c>
      <c r="D39" s="27">
        <f>MielieLandeB_WB[[#This Row],[Dosis / Ha]]*MielieLandeB_WB[[#This Row],[Prys per Eenheid]]</f>
        <v>1.25</v>
      </c>
      <c r="E39" s="5">
        <f t="shared" si="4"/>
        <v>25</v>
      </c>
      <c r="F39" s="5"/>
      <c r="G39" s="27">
        <f>$B$3*MielieLandeB_WB[[#This Row],[Koste per Ha]]</f>
        <v>625</v>
      </c>
      <c r="I39" s="62"/>
      <c r="J39" s="14">
        <f>IF(MielieLandeB_VO[[#This Row],[Dosis / Ha]]&gt;0,VLOOKUP(A39,Pryse!C:D,2,0),0)</f>
        <v>0</v>
      </c>
      <c r="K39" s="39">
        <f>MielieLandeB_VO[[#This Row],[Dosis / Ha]]*MielieLandeB_VO[[#This Row],[Prys per Eenheid]]</f>
        <v>0</v>
      </c>
      <c r="L39" s="19">
        <f t="shared" si="8"/>
        <v>0</v>
      </c>
      <c r="M39" s="18"/>
      <c r="N39" s="22">
        <f>$B$3*MielieLandeB_VO[[#This Row],[Koste per Ha]]</f>
        <v>0</v>
      </c>
      <c r="O39" s="15"/>
      <c r="P39" s="62">
        <v>0.1</v>
      </c>
      <c r="Q39" s="14">
        <f>IF(MielieLandeB_VO10[[#This Row],[Dosis / Ha]]&gt;0,VLOOKUP(A39,Pryse!C:D,2,0),0)</f>
        <v>25</v>
      </c>
      <c r="R39" s="39">
        <f>MielieLandeB_VO10[[#This Row],[Dosis / Ha]]*MielieLandeB_VO10[[#This Row],[Prys per Eenheid]]</f>
        <v>2.5</v>
      </c>
      <c r="S39" s="19">
        <f t="shared" si="9"/>
        <v>50</v>
      </c>
      <c r="T39" s="18"/>
      <c r="U39" s="22">
        <f>$B$3*MielieLandeB_VO10[[#This Row],[Koste per Ha]]</f>
        <v>1250</v>
      </c>
      <c r="W39" s="68">
        <f t="shared" si="10"/>
        <v>25</v>
      </c>
      <c r="X39" s="69">
        <f>MielieLandeB_WB[[#This Row],[Volume Totaal]]+MielieLandeB_VO[[#This Row],[Volume Totaal]]+MielieLandeB_VO10[[#This Row],[Volume Totaal]]</f>
        <v>75</v>
      </c>
      <c r="Y39" s="69"/>
      <c r="Z39" s="70">
        <f>+MielieLandeB_WB[[#This Row],[Prys Totaal]]+MielieLandeB_VO[[#This Row],[Prys Totaal]]+MielieLandeB_VO10[[#This Row],[Prys Totaal]]</f>
        <v>1875</v>
      </c>
    </row>
    <row r="40" spans="1:26" ht="15" thickBot="1" x14ac:dyDescent="0.35">
      <c r="A40" s="13" t="s">
        <v>20</v>
      </c>
      <c r="B40" s="174"/>
      <c r="C40" s="68">
        <f>IF(MielieLandeB_WB[[#This Row],[Dosis / Ha]]&gt;0,VLOOKUP(A40,Pryse!C:D,2,0),0)</f>
        <v>0</v>
      </c>
      <c r="D40" s="68">
        <f>MielieLandeB_WB[[#This Row],[Dosis / Ha]]*MielieLandeB_WB[[#This Row],[Prys per Eenheid]]</f>
        <v>0</v>
      </c>
      <c r="E40" s="99">
        <f t="shared" si="4"/>
        <v>0</v>
      </c>
      <c r="F40" s="99"/>
      <c r="G40" s="68">
        <f>$B$3*MielieLandeB_WB[[#This Row],[Koste per Ha]]</f>
        <v>0</v>
      </c>
      <c r="I40" s="63"/>
      <c r="J40" s="59">
        <f>IF(MielieLandeB_VO[[#This Row],[Dosis / Ha]]&gt;0,VLOOKUP(A42,Pryse!C:D,2,0),0)</f>
        <v>0</v>
      </c>
      <c r="K40" s="59">
        <f>MielieLandeB_VO[[#This Row],[Dosis / Ha]]*MielieLandeB_VO[[#This Row],[Prys per Eenheid]]</f>
        <v>0</v>
      </c>
      <c r="L40" s="58">
        <f t="shared" si="8"/>
        <v>0</v>
      </c>
      <c r="M40" s="58"/>
      <c r="N40" s="75">
        <f>$B$3*MielieLandeB_VO[[#This Row],[Koste per Ha]]</f>
        <v>0</v>
      </c>
      <c r="O40" s="15"/>
      <c r="P40" s="63"/>
      <c r="Q40" s="59">
        <f>IF(MielieLandeB_VO10[[#This Row],[Dosis / Ha]]&gt;0,VLOOKUP(A42,Pryse!C:D,2,0),0)</f>
        <v>0</v>
      </c>
      <c r="R40" s="59">
        <f>MielieLandeB_VO10[[#This Row],[Dosis / Ha]]*MielieLandeB_VO10[[#This Row],[Prys per Eenheid]]</f>
        <v>0</v>
      </c>
      <c r="S40" s="58">
        <f t="shared" si="9"/>
        <v>0</v>
      </c>
      <c r="T40" s="58"/>
      <c r="U40" s="75">
        <f>$B$3*MielieLandeB_VO10[[#This Row],[Koste per Ha]]</f>
        <v>0</v>
      </c>
      <c r="W40" s="94">
        <f t="shared" si="10"/>
        <v>0</v>
      </c>
      <c r="X40" s="95">
        <f>MielieLandeB_WB[[#This Row],[Volume Totaal]]+MielieLandeB_VO[[#This Row],[Volume Totaal]]+MielieLandeB_VO10[[#This Row],[Volume Totaal]]</f>
        <v>0</v>
      </c>
      <c r="Y40" s="95"/>
      <c r="Z40" s="96">
        <f>+MielieLandeB_WB[[#This Row],[Prys Totaal]]+MielieLandeB_VO[[#This Row],[Prys Totaal]]+MielieLandeB_VO10[[#This Row],[Prys Totaal]]</f>
        <v>0</v>
      </c>
    </row>
    <row r="41" spans="1:26" ht="15.6" thickTop="1" thickBot="1" x14ac:dyDescent="0.35">
      <c r="A41" s="34" t="s">
        <v>36</v>
      </c>
      <c r="B41" s="77"/>
      <c r="C41" s="34"/>
      <c r="D41" s="51">
        <f>SUBTOTAL(109,MielieLandeB_WB[Koste per Ha])</f>
        <v>169.25</v>
      </c>
      <c r="E41" s="34"/>
      <c r="F41" s="34"/>
      <c r="G41" s="51">
        <f>SUBTOTAL(109,MielieLandeB_WB[Prys Totaal])</f>
        <v>84625</v>
      </c>
      <c r="I41" s="77" t="s">
        <v>36</v>
      </c>
      <c r="J41" s="81"/>
      <c r="K41" s="30">
        <f>SUBTOTAL(109,MielieLandeB_VO[Koste per Ha])</f>
        <v>191</v>
      </c>
      <c r="L41" s="31"/>
      <c r="M41" s="31"/>
      <c r="N41" s="30">
        <f>SUBTOTAL(109,MielieLandeB_VO[Prys Totaal])</f>
        <v>95500</v>
      </c>
      <c r="O41" s="15"/>
      <c r="P41" s="82" t="s">
        <v>36</v>
      </c>
      <c r="Q41" s="81"/>
      <c r="R41" s="30">
        <f>SUBTOTAL(109,MielieLandeB_VO10[Koste per Ha])</f>
        <v>432.7</v>
      </c>
      <c r="S41" s="31"/>
      <c r="T41" s="31"/>
      <c r="U41" s="30">
        <f>SUBTOTAL(109,MielieLandeB_VO10[Prys Totaal])</f>
        <v>216350</v>
      </c>
      <c r="W41" s="88" t="s">
        <v>36</v>
      </c>
      <c r="X41" s="44"/>
      <c r="Y41" s="44"/>
      <c r="Z41" s="89">
        <f>SUBTOTAL(109,Table11[Prys Totaal])</f>
        <v>396475</v>
      </c>
    </row>
    <row r="42" spans="1:26" ht="15" thickTop="1" x14ac:dyDescent="0.3">
      <c r="L42"/>
      <c r="N42" s="4"/>
      <c r="O42" s="4"/>
      <c r="Q42"/>
      <c r="S42" s="4"/>
    </row>
    <row r="43" spans="1:26" ht="43.2" x14ac:dyDescent="0.3">
      <c r="A43" s="11" t="s">
        <v>11</v>
      </c>
      <c r="B43" s="12" t="s">
        <v>32</v>
      </c>
      <c r="C43" s="16" t="s">
        <v>37</v>
      </c>
      <c r="D43" s="21" t="s">
        <v>6</v>
      </c>
      <c r="E43" s="21" t="s">
        <v>40</v>
      </c>
      <c r="F43" s="21" t="s">
        <v>41</v>
      </c>
      <c r="G43" s="21" t="s">
        <v>39</v>
      </c>
      <c r="I43" s="11" t="s">
        <v>32</v>
      </c>
      <c r="J43" s="16" t="s">
        <v>37</v>
      </c>
      <c r="K43" s="21" t="s">
        <v>6</v>
      </c>
      <c r="L43" s="21" t="s">
        <v>40</v>
      </c>
      <c r="M43" s="21" t="s">
        <v>41</v>
      </c>
      <c r="N43" s="21" t="s">
        <v>39</v>
      </c>
      <c r="O43" s="4"/>
      <c r="P43" s="11" t="s">
        <v>32</v>
      </c>
      <c r="Q43" s="16" t="s">
        <v>37</v>
      </c>
      <c r="R43" s="21" t="s">
        <v>6</v>
      </c>
      <c r="S43" s="21" t="s">
        <v>40</v>
      </c>
      <c r="T43" s="21" t="s">
        <v>41</v>
      </c>
      <c r="U43" s="21" t="s">
        <v>39</v>
      </c>
      <c r="W43" s="67" t="s">
        <v>37</v>
      </c>
      <c r="X43" s="43" t="s">
        <v>40</v>
      </c>
      <c r="Y43" s="43" t="s">
        <v>41</v>
      </c>
      <c r="Z43" s="43" t="s">
        <v>39</v>
      </c>
    </row>
    <row r="44" spans="1:26" x14ac:dyDescent="0.3">
      <c r="A44" s="10" t="s">
        <v>8</v>
      </c>
      <c r="B44" s="174">
        <v>0.25</v>
      </c>
      <c r="C44" s="6">
        <f>IF(SojaboonLandeWB[[#This Row],[Dosis / Ha]]&gt;0,VLOOKUP(SojaboonLandeWB[[#This Row],[Sojaboon lande]],Pryse!C:D,2,0),0)</f>
        <v>50</v>
      </c>
      <c r="D44" s="39">
        <f>SojaboonLandeWB[[#This Row],[Dosis / Ha]]*SojaboonLandeWB[[#This Row],[Prys per Eenheid]]</f>
        <v>12.5</v>
      </c>
      <c r="E44" s="19">
        <f>$B$4*B44</f>
        <v>250</v>
      </c>
      <c r="F44" s="19"/>
      <c r="G44" s="22">
        <f>$B$4*SojaboonLandeWB[[#This Row],[Koste per Ha]]</f>
        <v>12500</v>
      </c>
      <c r="I44" s="62"/>
      <c r="J44" s="6">
        <f>IF(Table5[[#This Row],[Dosis / Ha]]&gt;0,VLOOKUP(SojaboonLandeWB[[#This Row],[Sojaboon lande]],Pryse!C:D,2,0),0)</f>
        <v>0</v>
      </c>
      <c r="K44" s="39">
        <f>Table5[[#This Row],[Dosis / Ha]]*Table5[[#This Row],[Prys per Eenheid]]</f>
        <v>0</v>
      </c>
      <c r="L44" s="19">
        <f>$B$4*I44</f>
        <v>0</v>
      </c>
      <c r="M44" s="19"/>
      <c r="N44" s="22">
        <f>$B$4*Table5[[#This Row],[Koste per Ha]]</f>
        <v>0</v>
      </c>
      <c r="P44" s="62"/>
      <c r="Q44" s="6">
        <f>IF(Table6[[#This Row],[Dosis / Ha]]&gt;0,VLOOKUP(SojaboonLandeWB[[#This Row],[Sojaboon lande]],Pryse!C:D,2,0),0)</f>
        <v>0</v>
      </c>
      <c r="R44" s="39">
        <f>Table6[[#This Row],[Dosis / Ha]]*Table6[[#This Row],[Prys per Eenheid]]</f>
        <v>0</v>
      </c>
      <c r="S44" s="19">
        <f>$B$4*P44</f>
        <v>0</v>
      </c>
      <c r="T44" s="19"/>
      <c r="U44" s="22">
        <f>$B$4*Table6[[#This Row],[Koste per Ha]]</f>
        <v>0</v>
      </c>
      <c r="W44" s="66">
        <f>IF(Z44&gt;0,Z44/X44,0)</f>
        <v>50</v>
      </c>
      <c r="X44" s="36">
        <f>+SojaboonLandeWB[[#This Row],[Volume Totaal]]+Table5[[#This Row],[Volume Totaal]]+Table6[[#This Row],[Volume Totaal]]</f>
        <v>250</v>
      </c>
      <c r="Y44" s="36"/>
      <c r="Z44" s="37">
        <f>+SojaboonLandeWB[[#This Row],[Prys Totaal]]+Table5[[#This Row],[Prys Totaal]]+Table6[[#This Row],[Prys Totaal]]</f>
        <v>12500</v>
      </c>
    </row>
    <row r="45" spans="1:26" x14ac:dyDescent="0.3">
      <c r="A45" s="10" t="s">
        <v>17</v>
      </c>
      <c r="B45" s="174"/>
      <c r="C45" s="6">
        <f>IF(SojaboonLandeWB[[#This Row],[Dosis / Ha]]&gt;0,VLOOKUP(SojaboonLandeWB[[#This Row],[Sojaboon lande]],Pryse!C:D,2,0),0)</f>
        <v>0</v>
      </c>
      <c r="D45" s="39">
        <f>SojaboonLandeWB[[#This Row],[Dosis / Ha]]*SojaboonLandeWB[[#This Row],[Prys per Eenheid]]</f>
        <v>0</v>
      </c>
      <c r="E45" s="91">
        <f t="shared" ref="E45:E46" si="11">$B$4*B45</f>
        <v>0</v>
      </c>
      <c r="F45" s="18"/>
      <c r="G45" s="22">
        <f>$B$4*SojaboonLandeWB[[#This Row],[Koste per Ha]]</f>
        <v>0</v>
      </c>
      <c r="I45" s="62"/>
      <c r="J45" s="6">
        <f>IF(Table5[[#This Row],[Dosis / Ha]]&gt;0,VLOOKUP(SojaboonLandeWB[[#This Row],[Sojaboon lande]],Pryse!C:D,2,0),0)</f>
        <v>0</v>
      </c>
      <c r="K45" s="39">
        <f>Table5[[#This Row],[Dosis / Ha]]*Table5[[#This Row],[Prys per Eenheid]]</f>
        <v>0</v>
      </c>
      <c r="L45" s="92">
        <f t="shared" ref="L45:L46" si="12">$B$4*I45</f>
        <v>0</v>
      </c>
      <c r="M45" s="58"/>
      <c r="N45" s="22">
        <f>$B$4*Table5[[#This Row],[Koste per Ha]]</f>
        <v>0</v>
      </c>
      <c r="P45" s="62"/>
      <c r="Q45" s="6">
        <f>IF(Table6[[#This Row],[Dosis / Ha]]&gt;0,VLOOKUP(SojaboonLandeWB[[#This Row],[Sojaboon lande]],Pryse!C:D,2,0),0)</f>
        <v>0</v>
      </c>
      <c r="R45" s="39">
        <f>Table6[[#This Row],[Dosis / Ha]]*Table6[[#This Row],[Prys per Eenheid]]</f>
        <v>0</v>
      </c>
      <c r="S45" s="19">
        <f t="shared" ref="S45:S46" si="13">$B$4*P45</f>
        <v>0</v>
      </c>
      <c r="T45" s="58"/>
      <c r="U45" s="93">
        <f>$B$4*Table6[[#This Row],[Koste per Ha]]</f>
        <v>0</v>
      </c>
      <c r="W45" s="94">
        <f t="shared" ref="W45:W46" si="14">IF(Z45&gt;0,Z45/X45,0)</f>
        <v>0</v>
      </c>
      <c r="X45" s="95">
        <f>+SojaboonLandeWB[[#This Row],[Volume Totaal]]+Table5[[#This Row],[Volume Totaal]]+Table6[[#This Row],[Volume Totaal]]</f>
        <v>0</v>
      </c>
      <c r="Y45" s="95"/>
      <c r="Z45" s="96">
        <f>+SojaboonLandeWB[[#This Row],[Prys Totaal]]+Table5[[#This Row],[Prys Totaal]]+Table6[[#This Row],[Prys Totaal]]</f>
        <v>0</v>
      </c>
    </row>
    <row r="46" spans="1:26" x14ac:dyDescent="0.3">
      <c r="A46" s="45" t="s">
        <v>14</v>
      </c>
      <c r="B46" s="174"/>
      <c r="C46" s="6">
        <f>IF(SojaboonLandeWB[[#This Row],[Dosis / Ha]]&gt;0,VLOOKUP(SojaboonLandeWB[[#This Row],[Sojaboon lande]],Pryse!C:D,2,0),0)</f>
        <v>0</v>
      </c>
      <c r="D46" s="39">
        <f>SojaboonLandeWB[[#This Row],[Dosis / Ha]]*SojaboonLandeWB[[#This Row],[Prys per Eenheid]]</f>
        <v>0</v>
      </c>
      <c r="E46" s="91">
        <f t="shared" si="11"/>
        <v>0</v>
      </c>
      <c r="F46" s="18"/>
      <c r="G46" s="22">
        <f>$B$4*SojaboonLandeWB[[#This Row],[Koste per Ha]]</f>
        <v>0</v>
      </c>
      <c r="I46" s="62"/>
      <c r="J46" s="6">
        <f>IF(Table5[[#This Row],[Dosis / Ha]]&gt;0,VLOOKUP(SojaboonLandeWB[[#This Row],[Sojaboon lande]],Pryse!C:D,2,0),0)</f>
        <v>0</v>
      </c>
      <c r="K46" s="39">
        <f>Table5[[#This Row],[Dosis / Ha]]*Table5[[#This Row],[Prys per Eenheid]]</f>
        <v>0</v>
      </c>
      <c r="L46" s="92">
        <f t="shared" si="12"/>
        <v>0</v>
      </c>
      <c r="M46" s="58"/>
      <c r="N46" s="22">
        <f>$B$4*Table5[[#This Row],[Koste per Ha]]</f>
        <v>0</v>
      </c>
      <c r="P46" s="62"/>
      <c r="Q46" s="6">
        <f>IF(Table6[[#This Row],[Dosis / Ha]]&gt;0,VLOOKUP(SojaboonLandeWB[[#This Row],[Sojaboon lande]],Pryse!C:D,2,0),0)</f>
        <v>0</v>
      </c>
      <c r="R46" s="39">
        <f>Table6[[#This Row],[Dosis / Ha]]*Table6[[#This Row],[Prys per Eenheid]]</f>
        <v>0</v>
      </c>
      <c r="S46" s="19">
        <f t="shared" si="13"/>
        <v>0</v>
      </c>
      <c r="T46" s="58"/>
      <c r="U46" s="93">
        <f>$B$4*Table6[[#This Row],[Koste per Ha]]</f>
        <v>0</v>
      </c>
      <c r="W46" s="94">
        <f t="shared" si="14"/>
        <v>0</v>
      </c>
      <c r="X46" s="95">
        <f>+SojaboonLandeWB[[#This Row],[Volume Totaal]]+Table5[[#This Row],[Volume Totaal]]+Table6[[#This Row],[Volume Totaal]]</f>
        <v>0</v>
      </c>
      <c r="Y46" s="95"/>
      <c r="Z46" s="96">
        <f>+SojaboonLandeWB[[#This Row],[Prys Totaal]]+Table5[[#This Row],[Prys Totaal]]+Table6[[#This Row],[Prys Totaal]]</f>
        <v>0</v>
      </c>
    </row>
    <row r="47" spans="1:26" x14ac:dyDescent="0.3">
      <c r="A47" s="10" t="s">
        <v>1</v>
      </c>
      <c r="B47" s="174">
        <v>2</v>
      </c>
      <c r="C47" s="6">
        <f>IF(SojaboonLandeWB[[#This Row],[Dosis / Ha]]&gt;0,VLOOKUP(SojaboonLandeWB[[#This Row],[Sojaboon lande]],Pryse!C:D,2,0),0)</f>
        <v>65</v>
      </c>
      <c r="D47" s="39">
        <f>SojaboonLandeWB[[#This Row],[Dosis / Ha]]*SojaboonLandeWB[[#This Row],[Prys per Eenheid]]</f>
        <v>130</v>
      </c>
      <c r="E47" s="19">
        <f>$B$4*B47</f>
        <v>2000</v>
      </c>
      <c r="F47" s="18"/>
      <c r="G47" s="22">
        <f>$B$4*SojaboonLandeWB[[#This Row],[Koste per Ha]]</f>
        <v>130000</v>
      </c>
      <c r="I47" s="62">
        <v>1.5</v>
      </c>
      <c r="J47" s="6">
        <f>IF(Table5[[#This Row],[Dosis / Ha]]&gt;0,VLOOKUP(SojaboonLandeWB[[#This Row],[Sojaboon lande]],Pryse!C:D,2,0),0)</f>
        <v>65</v>
      </c>
      <c r="K47" s="39">
        <f>Table5[[#This Row],[Dosis / Ha]]*Table5[[#This Row],[Prys per Eenheid]]</f>
        <v>97.5</v>
      </c>
      <c r="L47" s="19">
        <f>$B$4*I47</f>
        <v>1500</v>
      </c>
      <c r="M47" s="18"/>
      <c r="N47" s="22">
        <f>$B$4*Table5[[#This Row],[Koste per Ha]]</f>
        <v>97500</v>
      </c>
      <c r="P47" s="62">
        <v>1.5</v>
      </c>
      <c r="Q47" s="6">
        <f>IF(Table6[[#This Row],[Dosis / Ha]]&gt;0,VLOOKUP(SojaboonLandeWB[[#This Row],[Sojaboon lande]],Pryse!C:D,2,0),0)</f>
        <v>65</v>
      </c>
      <c r="R47" s="39">
        <f>Table6[[#This Row],[Dosis / Ha]]*Table6[[#This Row],[Prys per Eenheid]]</f>
        <v>97.5</v>
      </c>
      <c r="S47" s="19">
        <f>$B$4*P47</f>
        <v>1500</v>
      </c>
      <c r="T47" s="18"/>
      <c r="U47" s="22">
        <f>$B$4*Table6[[#This Row],[Koste per Ha]]</f>
        <v>97500</v>
      </c>
      <c r="W47" s="66">
        <f>IF(Z47&gt;0,Z47/X47,0)</f>
        <v>65</v>
      </c>
      <c r="X47" s="36">
        <f>+SojaboonLandeWB[[#This Row],[Volume Totaal]]+Table5[[#This Row],[Volume Totaal]]+Table6[[#This Row],[Volume Totaal]]</f>
        <v>5000</v>
      </c>
      <c r="Y47" s="36"/>
      <c r="Z47" s="37">
        <f>+SojaboonLandeWB[[#This Row],[Prys Totaal]]+Table5[[#This Row],[Prys Totaal]]+Table6[[#This Row],[Prys Totaal]]</f>
        <v>325000</v>
      </c>
    </row>
    <row r="48" spans="1:26" x14ac:dyDescent="0.3">
      <c r="A48" s="46" t="s">
        <v>22</v>
      </c>
      <c r="B48" s="174"/>
      <c r="C48" s="6">
        <f>IF(SojaboonLandeWB[[#This Row],[Dosis / Ha]]&gt;0,VLOOKUP(SojaboonLandeWB[[#This Row],[Sojaboon lande]],Pryse!C:D,2,0),0)</f>
        <v>0</v>
      </c>
      <c r="D48" s="39">
        <f>SojaboonLandeWB[[#This Row],[Dosis / Ha]]*SojaboonLandeWB[[#This Row],[Prys per Eenheid]]</f>
        <v>0</v>
      </c>
      <c r="E48" s="91">
        <f t="shared" ref="E48:E50" si="15">$B$4*B48</f>
        <v>0</v>
      </c>
      <c r="F48" s="18"/>
      <c r="G48" s="22">
        <f>$B$4*SojaboonLandeWB[[#This Row],[Koste per Ha]]</f>
        <v>0</v>
      </c>
      <c r="I48" s="62"/>
      <c r="J48" s="6">
        <f>IF(Table5[[#This Row],[Dosis / Ha]]&gt;0,VLOOKUP(SojaboonLandeWB[[#This Row],[Sojaboon lande]],Pryse!C:D,2,0),0)</f>
        <v>0</v>
      </c>
      <c r="K48" s="39">
        <f>Table5[[#This Row],[Dosis / Ha]]*Table5[[#This Row],[Prys per Eenheid]]</f>
        <v>0</v>
      </c>
      <c r="L48" s="92">
        <f t="shared" ref="L48:L50" si="16">$B$4*I48</f>
        <v>0</v>
      </c>
      <c r="M48" s="58"/>
      <c r="N48" s="22">
        <f>$B$4*Table5[[#This Row],[Koste per Ha]]</f>
        <v>0</v>
      </c>
      <c r="P48" s="62"/>
      <c r="Q48" s="6">
        <f>IF(Table6[[#This Row],[Dosis / Ha]]&gt;0,VLOOKUP(SojaboonLandeWB[[#This Row],[Sojaboon lande]],Pryse!C:D,2,0),0)</f>
        <v>0</v>
      </c>
      <c r="R48" s="39">
        <f>Table6[[#This Row],[Dosis / Ha]]*Table6[[#This Row],[Prys per Eenheid]]</f>
        <v>0</v>
      </c>
      <c r="S48" s="19">
        <f t="shared" ref="S48:S50" si="17">$B$4*P48</f>
        <v>0</v>
      </c>
      <c r="T48" s="58"/>
      <c r="U48" s="93">
        <f>$B$4*Table6[[#This Row],[Koste per Ha]]</f>
        <v>0</v>
      </c>
      <c r="W48" s="94">
        <f t="shared" ref="W48:W50" si="18">IF(Z48&gt;0,Z48/X48,0)</f>
        <v>0</v>
      </c>
      <c r="X48" s="95">
        <f>+SojaboonLandeWB[[#This Row],[Volume Totaal]]+Table5[[#This Row],[Volume Totaal]]+Table6[[#This Row],[Volume Totaal]]</f>
        <v>0</v>
      </c>
      <c r="Y48" s="95"/>
      <c r="Z48" s="96">
        <f>+SojaboonLandeWB[[#This Row],[Prys Totaal]]+Table5[[#This Row],[Prys Totaal]]+Table6[[#This Row],[Prys Totaal]]</f>
        <v>0</v>
      </c>
    </row>
    <row r="49" spans="1:26" x14ac:dyDescent="0.3">
      <c r="A49" s="40" t="s">
        <v>18</v>
      </c>
      <c r="B49" s="174"/>
      <c r="C49" s="6">
        <f>IF(SojaboonLandeWB[[#This Row],[Dosis / Ha]]&gt;0,VLOOKUP(SojaboonLandeWB[[#This Row],[Sojaboon lande]],Pryse!C:D,2,0),0)</f>
        <v>0</v>
      </c>
      <c r="D49" s="39">
        <f>SojaboonLandeWB[[#This Row],[Dosis / Ha]]*SojaboonLandeWB[[#This Row],[Prys per Eenheid]]</f>
        <v>0</v>
      </c>
      <c r="E49" s="91">
        <f t="shared" si="15"/>
        <v>0</v>
      </c>
      <c r="F49" s="18"/>
      <c r="G49" s="22">
        <f>$B$4*SojaboonLandeWB[[#This Row],[Koste per Ha]]</f>
        <v>0</v>
      </c>
      <c r="I49" s="62"/>
      <c r="J49" s="6">
        <f>IF(Table5[[#This Row],[Dosis / Ha]]&gt;0,VLOOKUP(SojaboonLandeWB[[#This Row],[Sojaboon lande]],Pryse!C:D,2,0),0)</f>
        <v>0</v>
      </c>
      <c r="K49" s="39">
        <f>Table5[[#This Row],[Dosis / Ha]]*Table5[[#This Row],[Prys per Eenheid]]</f>
        <v>0</v>
      </c>
      <c r="L49" s="92">
        <f t="shared" si="16"/>
        <v>0</v>
      </c>
      <c r="M49" s="58"/>
      <c r="N49" s="22">
        <f>$B$4*Table5[[#This Row],[Koste per Ha]]</f>
        <v>0</v>
      </c>
      <c r="P49" s="62"/>
      <c r="Q49" s="6">
        <f>IF(Table6[[#This Row],[Dosis / Ha]]&gt;0,VLOOKUP(SojaboonLandeWB[[#This Row],[Sojaboon lande]],Pryse!C:D,2,0),0)</f>
        <v>0</v>
      </c>
      <c r="R49" s="39">
        <f>Table6[[#This Row],[Dosis / Ha]]*Table6[[#This Row],[Prys per Eenheid]]</f>
        <v>0</v>
      </c>
      <c r="S49" s="19">
        <f t="shared" si="17"/>
        <v>0</v>
      </c>
      <c r="T49" s="58"/>
      <c r="U49" s="93">
        <f>$B$4*Table6[[#This Row],[Koste per Ha]]</f>
        <v>0</v>
      </c>
      <c r="W49" s="94">
        <f t="shared" si="18"/>
        <v>0</v>
      </c>
      <c r="X49" s="95">
        <f>+SojaboonLandeWB[[#This Row],[Volume Totaal]]+Table5[[#This Row],[Volume Totaal]]+Table6[[#This Row],[Volume Totaal]]</f>
        <v>0</v>
      </c>
      <c r="Y49" s="95"/>
      <c r="Z49" s="96">
        <f>+SojaboonLandeWB[[#This Row],[Prys Totaal]]+Table5[[#This Row],[Prys Totaal]]+Table6[[#This Row],[Prys Totaal]]</f>
        <v>0</v>
      </c>
    </row>
    <row r="50" spans="1:26" x14ac:dyDescent="0.3">
      <c r="A50" s="46" t="s">
        <v>15</v>
      </c>
      <c r="B50" s="174"/>
      <c r="C50" s="6">
        <f>IF(SojaboonLandeWB[[#This Row],[Dosis / Ha]]&gt;0,VLOOKUP(SojaboonLandeWB[[#This Row],[Sojaboon lande]],Pryse!C:D,2,0),0)</f>
        <v>0</v>
      </c>
      <c r="D50" s="39">
        <f>SojaboonLandeWB[[#This Row],[Dosis / Ha]]*SojaboonLandeWB[[#This Row],[Prys per Eenheid]]</f>
        <v>0</v>
      </c>
      <c r="E50" s="91">
        <f t="shared" si="15"/>
        <v>0</v>
      </c>
      <c r="F50" s="18"/>
      <c r="G50" s="22">
        <f>$B$4*SojaboonLandeWB[[#This Row],[Koste per Ha]]</f>
        <v>0</v>
      </c>
      <c r="I50" s="62"/>
      <c r="J50" s="6">
        <f>IF(Table5[[#This Row],[Dosis / Ha]]&gt;0,VLOOKUP(SojaboonLandeWB[[#This Row],[Sojaboon lande]],Pryse!C:D,2,0),0)</f>
        <v>0</v>
      </c>
      <c r="K50" s="39">
        <f>Table5[[#This Row],[Dosis / Ha]]*Table5[[#This Row],[Prys per Eenheid]]</f>
        <v>0</v>
      </c>
      <c r="L50" s="92">
        <f t="shared" si="16"/>
        <v>0</v>
      </c>
      <c r="M50" s="58"/>
      <c r="N50" s="22">
        <f>$B$4*Table5[[#This Row],[Koste per Ha]]</f>
        <v>0</v>
      </c>
      <c r="P50" s="62"/>
      <c r="Q50" s="6">
        <f>IF(Table6[[#This Row],[Dosis / Ha]]&gt;0,VLOOKUP(SojaboonLandeWB[[#This Row],[Sojaboon lande]],Pryse!C:D,2,0),0)</f>
        <v>0</v>
      </c>
      <c r="R50" s="39">
        <f>Table6[[#This Row],[Dosis / Ha]]*Table6[[#This Row],[Prys per Eenheid]]</f>
        <v>0</v>
      </c>
      <c r="S50" s="19">
        <f t="shared" si="17"/>
        <v>0</v>
      </c>
      <c r="T50" s="58"/>
      <c r="U50" s="93">
        <f>$B$4*Table6[[#This Row],[Koste per Ha]]</f>
        <v>0</v>
      </c>
      <c r="W50" s="94">
        <f t="shared" si="18"/>
        <v>0</v>
      </c>
      <c r="X50" s="95">
        <f>+SojaboonLandeWB[[#This Row],[Volume Totaal]]+Table5[[#This Row],[Volume Totaal]]+Table6[[#This Row],[Volume Totaal]]</f>
        <v>0</v>
      </c>
      <c r="Y50" s="95"/>
      <c r="Z50" s="96">
        <f>+SojaboonLandeWB[[#This Row],[Prys Totaal]]+Table5[[#This Row],[Prys Totaal]]+Table6[[#This Row],[Prys Totaal]]</f>
        <v>0</v>
      </c>
    </row>
    <row r="51" spans="1:26" x14ac:dyDescent="0.3">
      <c r="A51" s="10" t="s">
        <v>21</v>
      </c>
      <c r="B51" s="174"/>
      <c r="C51" s="6">
        <f>IF(SojaboonLandeWB[[#This Row],[Dosis / Ha]]&gt;0,VLOOKUP(SojaboonLandeWB[[#This Row],[Sojaboon lande]],Pryse!C:D,2,0),0)</f>
        <v>0</v>
      </c>
      <c r="D51" s="39">
        <f>SojaboonLandeWB[[#This Row],[Dosis / Ha]]*SojaboonLandeWB[[#This Row],[Prys per Eenheid]]</f>
        <v>0</v>
      </c>
      <c r="E51" s="19">
        <f t="shared" ref="E51:E57" si="19">$B$4*B51</f>
        <v>0</v>
      </c>
      <c r="F51" s="18"/>
      <c r="G51" s="22">
        <f>$B$4*SojaboonLandeWB[[#This Row],[Koste per Ha]]</f>
        <v>0</v>
      </c>
      <c r="I51" s="62">
        <v>1</v>
      </c>
      <c r="J51" s="6">
        <f>IF(Table5[[#This Row],[Dosis / Ha]]&gt;0,VLOOKUP(SojaboonLandeWB[[#This Row],[Sojaboon lande]],Pryse!C:D,2,0),0)</f>
        <v>110</v>
      </c>
      <c r="K51" s="39">
        <f>Table5[[#This Row],[Dosis / Ha]]*Table5[[#This Row],[Prys per Eenheid]]</f>
        <v>110</v>
      </c>
      <c r="L51" s="19">
        <f t="shared" ref="L51:L57" si="20">$B$4*I51</f>
        <v>1000</v>
      </c>
      <c r="M51" s="18"/>
      <c r="N51" s="22">
        <f>$B$4*Table5[[#This Row],[Koste per Ha]]</f>
        <v>110000</v>
      </c>
      <c r="P51" s="62"/>
      <c r="Q51" s="6">
        <f>IF(Table6[[#This Row],[Dosis / Ha]]&gt;0,VLOOKUP(SojaboonLandeWB[[#This Row],[Sojaboon lande]],Pryse!C:D,2,0),0)</f>
        <v>0</v>
      </c>
      <c r="R51" s="39">
        <f>Table6[[#This Row],[Dosis / Ha]]*Table6[[#This Row],[Prys per Eenheid]]</f>
        <v>0</v>
      </c>
      <c r="S51" s="19">
        <f t="shared" ref="S51:S57" si="21">$B$4*P51</f>
        <v>0</v>
      </c>
      <c r="T51" s="18"/>
      <c r="U51" s="22">
        <f>$B$4*Table6[[#This Row],[Koste per Ha]]</f>
        <v>0</v>
      </c>
      <c r="W51" s="66">
        <f t="shared" ref="W51:W57" si="22">IF(Z51&gt;0,Z51/X51,0)</f>
        <v>110</v>
      </c>
      <c r="X51" s="36">
        <f>+SojaboonLandeWB[[#This Row],[Volume Totaal]]+Table5[[#This Row],[Volume Totaal]]+Table6[[#This Row],[Volume Totaal]]</f>
        <v>1000</v>
      </c>
      <c r="Y51" s="36"/>
      <c r="Z51" s="37">
        <f>+SojaboonLandeWB[[#This Row],[Prys Totaal]]+Table5[[#This Row],[Prys Totaal]]+Table6[[#This Row],[Prys Totaal]]</f>
        <v>110000</v>
      </c>
    </row>
    <row r="52" spans="1:26" x14ac:dyDescent="0.3">
      <c r="A52" s="46" t="s">
        <v>24</v>
      </c>
      <c r="B52" s="174"/>
      <c r="C52" s="6">
        <f>IF(SojaboonLandeWB[[#This Row],[Dosis / Ha]]&gt;0,VLOOKUP(SojaboonLandeWB[[#This Row],[Sojaboon lande]],Pryse!C:D,2,0),0)</f>
        <v>0</v>
      </c>
      <c r="D52" s="39">
        <f>SojaboonLandeWB[[#This Row],[Dosis / Ha]]*SojaboonLandeWB[[#This Row],[Prys per Eenheid]]</f>
        <v>0</v>
      </c>
      <c r="E52" s="91">
        <f t="shared" si="19"/>
        <v>0</v>
      </c>
      <c r="F52" s="18"/>
      <c r="G52" s="22">
        <f>$B$4*SojaboonLandeWB[[#This Row],[Koste per Ha]]</f>
        <v>0</v>
      </c>
      <c r="I52" s="62"/>
      <c r="J52" s="6">
        <f>IF(Table5[[#This Row],[Dosis / Ha]]&gt;0,VLOOKUP(SojaboonLandeWB[[#This Row],[Sojaboon lande]],Pryse!C:D,2,0),0)</f>
        <v>0</v>
      </c>
      <c r="K52" s="39">
        <f>Table5[[#This Row],[Dosis / Ha]]*Table5[[#This Row],[Prys per Eenheid]]</f>
        <v>0</v>
      </c>
      <c r="L52" s="92">
        <f t="shared" si="20"/>
        <v>0</v>
      </c>
      <c r="M52" s="58"/>
      <c r="N52" s="22">
        <f>$B$4*Table5[[#This Row],[Koste per Ha]]</f>
        <v>0</v>
      </c>
      <c r="P52" s="62"/>
      <c r="Q52" s="6">
        <f>IF(Table6[[#This Row],[Dosis / Ha]]&gt;0,VLOOKUP(SojaboonLandeWB[[#This Row],[Sojaboon lande]],Pryse!C:D,2,0),0)</f>
        <v>0</v>
      </c>
      <c r="R52" s="39">
        <f>Table6[[#This Row],[Dosis / Ha]]*Table6[[#This Row],[Prys per Eenheid]]</f>
        <v>0</v>
      </c>
      <c r="S52" s="19">
        <f t="shared" si="21"/>
        <v>0</v>
      </c>
      <c r="T52" s="58"/>
      <c r="U52" s="93">
        <f>$B$4*Table6[[#This Row],[Koste per Ha]]</f>
        <v>0</v>
      </c>
      <c r="W52" s="94">
        <f t="shared" si="22"/>
        <v>0</v>
      </c>
      <c r="X52" s="95">
        <f>+SojaboonLandeWB[[#This Row],[Volume Totaal]]+Table5[[#This Row],[Volume Totaal]]+Table6[[#This Row],[Volume Totaal]]</f>
        <v>0</v>
      </c>
      <c r="Y52" s="95"/>
      <c r="Z52" s="96">
        <f>+SojaboonLandeWB[[#This Row],[Prys Totaal]]+Table5[[#This Row],[Prys Totaal]]+Table6[[#This Row],[Prys Totaal]]</f>
        <v>0</v>
      </c>
    </row>
    <row r="53" spans="1:26" x14ac:dyDescent="0.3">
      <c r="A53" s="10" t="s">
        <v>25</v>
      </c>
      <c r="B53" s="174"/>
      <c r="C53" s="6">
        <f>IF(SojaboonLandeWB[[#This Row],[Dosis / Ha]]&gt;0,VLOOKUP(SojaboonLandeWB[[#This Row],[Sojaboon lande]],Pryse!C:D,2,0),0)</f>
        <v>0</v>
      </c>
      <c r="D53" s="39">
        <f>SojaboonLandeWB[[#This Row],[Dosis / Ha]]*SojaboonLandeWB[[#This Row],[Prys per Eenheid]]</f>
        <v>0</v>
      </c>
      <c r="E53" s="19">
        <f t="shared" si="19"/>
        <v>0</v>
      </c>
      <c r="F53" s="18"/>
      <c r="G53" s="22">
        <f>$B$4*SojaboonLandeWB[[#This Row],[Koste per Ha]]</f>
        <v>0</v>
      </c>
      <c r="I53" s="62"/>
      <c r="J53" s="6">
        <f>IF(Table5[[#This Row],[Dosis / Ha]]&gt;0,VLOOKUP(SojaboonLandeWB[[#This Row],[Sojaboon lande]],Pryse!C:D,2,0),0)</f>
        <v>0</v>
      </c>
      <c r="K53" s="39">
        <f>Table5[[#This Row],[Dosis / Ha]]*Table5[[#This Row],[Prys per Eenheid]]</f>
        <v>0</v>
      </c>
      <c r="L53" s="19">
        <f t="shared" si="20"/>
        <v>0</v>
      </c>
      <c r="M53" s="18"/>
      <c r="N53" s="22">
        <f>$B$4*Table5[[#This Row],[Koste per Ha]]</f>
        <v>0</v>
      </c>
      <c r="P53" s="62">
        <v>1.4E-2</v>
      </c>
      <c r="Q53" s="6">
        <f>IF(Table6[[#This Row],[Dosis / Ha]]&gt;0,VLOOKUP(SojaboonLandeWB[[#This Row],[Sojaboon lande]],Pryse!C:D,2,0),0)</f>
        <v>350</v>
      </c>
      <c r="R53" s="39">
        <f>Table6[[#This Row],[Dosis / Ha]]*Table6[[#This Row],[Prys per Eenheid]]</f>
        <v>4.9000000000000004</v>
      </c>
      <c r="S53" s="19">
        <f t="shared" si="21"/>
        <v>14</v>
      </c>
      <c r="T53" s="18"/>
      <c r="U53" s="22">
        <f>$B$4*Table6[[#This Row],[Koste per Ha]]</f>
        <v>4900</v>
      </c>
      <c r="W53" s="66">
        <f t="shared" si="22"/>
        <v>350</v>
      </c>
      <c r="X53" s="36">
        <f>+SojaboonLandeWB[[#This Row],[Volume Totaal]]+Table5[[#This Row],[Volume Totaal]]+Table6[[#This Row],[Volume Totaal]]</f>
        <v>14</v>
      </c>
      <c r="Y53" s="36"/>
      <c r="Z53" s="37">
        <f>+SojaboonLandeWB[[#This Row],[Prys Totaal]]+Table5[[#This Row],[Prys Totaal]]+Table6[[#This Row],[Prys Totaal]]</f>
        <v>4900</v>
      </c>
    </row>
    <row r="54" spans="1:26" x14ac:dyDescent="0.3">
      <c r="A54" s="46" t="s">
        <v>16</v>
      </c>
      <c r="B54" s="174"/>
      <c r="C54" s="6">
        <f>IF(SojaboonLandeWB[[#This Row],[Dosis / Ha]]&gt;0,VLOOKUP(SojaboonLandeWB[[#This Row],[Sojaboon lande]],Pryse!C:D,2,0),0)</f>
        <v>0</v>
      </c>
      <c r="D54" s="39">
        <f>SojaboonLandeWB[[#This Row],[Dosis / Ha]]*SojaboonLandeWB[[#This Row],[Prys per Eenheid]]</f>
        <v>0</v>
      </c>
      <c r="E54" s="91">
        <f t="shared" si="19"/>
        <v>0</v>
      </c>
      <c r="F54" s="18"/>
      <c r="G54" s="22">
        <f>$B$4*SojaboonLandeWB[[#This Row],[Koste per Ha]]</f>
        <v>0</v>
      </c>
      <c r="I54" s="62"/>
      <c r="J54" s="6">
        <f>IF(Table5[[#This Row],[Dosis / Ha]]&gt;0,VLOOKUP(SojaboonLandeWB[[#This Row],[Sojaboon lande]],Pryse!C:D,2,0),0)</f>
        <v>0</v>
      </c>
      <c r="K54" s="39">
        <f>Table5[[#This Row],[Dosis / Ha]]*Table5[[#This Row],[Prys per Eenheid]]</f>
        <v>0</v>
      </c>
      <c r="L54" s="92">
        <f t="shared" si="20"/>
        <v>0</v>
      </c>
      <c r="M54" s="58"/>
      <c r="N54" s="22">
        <f>$B$4*Table5[[#This Row],[Koste per Ha]]</f>
        <v>0</v>
      </c>
      <c r="P54" s="62"/>
      <c r="Q54" s="6">
        <f>IF(Table6[[#This Row],[Dosis / Ha]]&gt;0,VLOOKUP(SojaboonLandeWB[[#This Row],[Sojaboon lande]],Pryse!C:D,2,0),0)</f>
        <v>0</v>
      </c>
      <c r="R54" s="39">
        <f>Table6[[#This Row],[Dosis / Ha]]*Table6[[#This Row],[Prys per Eenheid]]</f>
        <v>0</v>
      </c>
      <c r="S54" s="19">
        <f t="shared" si="21"/>
        <v>0</v>
      </c>
      <c r="T54" s="58"/>
      <c r="U54" s="93">
        <f>$B$4*Table6[[#This Row],[Koste per Ha]]</f>
        <v>0</v>
      </c>
      <c r="W54" s="94">
        <f t="shared" si="22"/>
        <v>0</v>
      </c>
      <c r="X54" s="95">
        <f>+SojaboonLandeWB[[#This Row],[Volume Totaal]]+Table5[[#This Row],[Volume Totaal]]+Table6[[#This Row],[Volume Totaal]]</f>
        <v>0</v>
      </c>
      <c r="Y54" s="95"/>
      <c r="Z54" s="96">
        <f>+SojaboonLandeWB[[#This Row],[Prys Totaal]]+Table5[[#This Row],[Prys Totaal]]+Table6[[#This Row],[Prys Totaal]]</f>
        <v>0</v>
      </c>
    </row>
    <row r="55" spans="1:26" x14ac:dyDescent="0.3">
      <c r="A55" s="10" t="s">
        <v>9</v>
      </c>
      <c r="B55" s="174">
        <v>0</v>
      </c>
      <c r="C55" s="6">
        <f>IF(SojaboonLandeWB[[#This Row],[Dosis / Ha]]&gt;0,VLOOKUP(SojaboonLandeWB[[#This Row],[Sojaboon lande]],Pryse!C:D,2,0),0)</f>
        <v>0</v>
      </c>
      <c r="D55" s="39">
        <f>SojaboonLandeWB[[#This Row],[Dosis / Ha]]*SojaboonLandeWB[[#This Row],[Prys per Eenheid]]</f>
        <v>0</v>
      </c>
      <c r="E55" s="19">
        <f t="shared" si="19"/>
        <v>0</v>
      </c>
      <c r="F55" s="18"/>
      <c r="G55" s="22">
        <f>$B$4*SojaboonLandeWB[[#This Row],[Koste per Ha]]</f>
        <v>0</v>
      </c>
      <c r="I55" s="62">
        <v>0</v>
      </c>
      <c r="J55" s="6">
        <f>IF(Table5[[#This Row],[Dosis / Ha]]&gt;0,VLOOKUP(SojaboonLandeWB[[#This Row],[Sojaboon lande]],Pryse!C:D,2,0),0)</f>
        <v>0</v>
      </c>
      <c r="K55" s="39">
        <f>Table5[[#This Row],[Dosis / Ha]]*Table5[[#This Row],[Prys per Eenheid]]</f>
        <v>0</v>
      </c>
      <c r="L55" s="19">
        <f t="shared" si="20"/>
        <v>0</v>
      </c>
      <c r="M55" s="18"/>
      <c r="N55" s="22">
        <f>$B$4*Table5[[#This Row],[Koste per Ha]]</f>
        <v>0</v>
      </c>
      <c r="P55" s="62">
        <v>1.5</v>
      </c>
      <c r="Q55" s="6">
        <f>IF(Table6[[#This Row],[Dosis / Ha]]&gt;0,VLOOKUP(SojaboonLandeWB[[#This Row],[Sojaboon lande]],Pryse!C:D,2,0),0)</f>
        <v>17</v>
      </c>
      <c r="R55" s="39">
        <f>Table6[[#This Row],[Dosis / Ha]]*Table6[[#This Row],[Prys per Eenheid]]</f>
        <v>25.5</v>
      </c>
      <c r="S55" s="19">
        <f t="shared" si="21"/>
        <v>1500</v>
      </c>
      <c r="T55" s="18"/>
      <c r="U55" s="22">
        <f>$B$4*Table6[[#This Row],[Koste per Ha]]</f>
        <v>25500</v>
      </c>
      <c r="W55" s="66">
        <f t="shared" si="22"/>
        <v>17</v>
      </c>
      <c r="X55" s="36">
        <f>+SojaboonLandeWB[[#This Row],[Volume Totaal]]+Table5[[#This Row],[Volume Totaal]]+Table6[[#This Row],[Volume Totaal]]</f>
        <v>1500</v>
      </c>
      <c r="Y55" s="36"/>
      <c r="Z55" s="37">
        <f>+SojaboonLandeWB[[#This Row],[Prys Totaal]]+Table5[[#This Row],[Prys Totaal]]+Table6[[#This Row],[Prys Totaal]]</f>
        <v>25500</v>
      </c>
    </row>
    <row r="56" spans="1:26" x14ac:dyDescent="0.3">
      <c r="A56" s="10" t="s">
        <v>10</v>
      </c>
      <c r="B56" s="174">
        <v>0</v>
      </c>
      <c r="C56" s="6">
        <f>IF(SojaboonLandeWB[[#This Row],[Dosis / Ha]]&gt;0,VLOOKUP(SojaboonLandeWB[[#This Row],[Sojaboon lande]],Pryse!C:D,2,0),0)</f>
        <v>0</v>
      </c>
      <c r="D56" s="39">
        <f>SojaboonLandeWB[[#This Row],[Dosis / Ha]]*SojaboonLandeWB[[#This Row],[Prys per Eenheid]]</f>
        <v>0</v>
      </c>
      <c r="E56" s="19">
        <f t="shared" si="19"/>
        <v>0</v>
      </c>
      <c r="F56" s="18"/>
      <c r="G56" s="22">
        <f>$B$4*SojaboonLandeWB[[#This Row],[Koste per Ha]]</f>
        <v>0</v>
      </c>
      <c r="I56" s="62">
        <v>0</v>
      </c>
      <c r="J56" s="6">
        <f>IF(Table5[[#This Row],[Dosis / Ha]]&gt;0,VLOOKUP(SojaboonLandeWB[[#This Row],[Sojaboon lande]],Pryse!C:D,2,0),0)</f>
        <v>0</v>
      </c>
      <c r="K56" s="39">
        <f>Table5[[#This Row],[Dosis / Ha]]*Table5[[#This Row],[Prys per Eenheid]]</f>
        <v>0</v>
      </c>
      <c r="L56" s="19">
        <f t="shared" si="20"/>
        <v>0</v>
      </c>
      <c r="M56" s="18"/>
      <c r="N56" s="22">
        <f>$B$4*Table5[[#This Row],[Koste per Ha]]</f>
        <v>0</v>
      </c>
      <c r="P56" s="62">
        <v>0.05</v>
      </c>
      <c r="Q56" s="6">
        <f>IF(Table6[[#This Row],[Dosis / Ha]]&gt;0,VLOOKUP(SojaboonLandeWB[[#This Row],[Sojaboon lande]],Pryse!C:D,2,0),0)</f>
        <v>25</v>
      </c>
      <c r="R56" s="39">
        <f>Table6[[#This Row],[Dosis / Ha]]*Table6[[#This Row],[Prys per Eenheid]]</f>
        <v>1.25</v>
      </c>
      <c r="S56" s="19">
        <f t="shared" si="21"/>
        <v>50</v>
      </c>
      <c r="T56" s="18"/>
      <c r="U56" s="22">
        <f>$B$4*Table6[[#This Row],[Koste per Ha]]</f>
        <v>1250</v>
      </c>
      <c r="W56" s="66">
        <f t="shared" si="22"/>
        <v>25</v>
      </c>
      <c r="X56" s="36">
        <f>+SojaboonLandeWB[[#This Row],[Volume Totaal]]+Table5[[#This Row],[Volume Totaal]]+Table6[[#This Row],[Volume Totaal]]</f>
        <v>50</v>
      </c>
      <c r="Y56" s="36"/>
      <c r="Z56" s="37">
        <f>+SojaboonLandeWB[[#This Row],[Prys Totaal]]+Table5[[#This Row],[Prys Totaal]]+Table6[[#This Row],[Prys Totaal]]</f>
        <v>1250</v>
      </c>
    </row>
    <row r="57" spans="1:26" ht="15" thickBot="1" x14ac:dyDescent="0.35">
      <c r="A57" s="13" t="s">
        <v>20</v>
      </c>
      <c r="B57" s="175"/>
      <c r="C57" s="14">
        <f>IF(SojaboonLandeWB[[#This Row],[Dosis / Ha]]&gt;0,VLOOKUP(SojaboonLandeWB[[#This Row],[Sojaboon lande]],Pryse!C:D,2,0),0)</f>
        <v>0</v>
      </c>
      <c r="D57" s="39">
        <f>SojaboonLandeWB[[#This Row],[Dosis / Ha]]*SojaboonLandeWB[[#This Row],[Prys per Eenheid]]</f>
        <v>0</v>
      </c>
      <c r="E57" s="19">
        <f t="shared" si="19"/>
        <v>0</v>
      </c>
      <c r="F57" s="18"/>
      <c r="G57" s="22">
        <f>$B$4*SojaboonLandeWB[[#This Row],[Koste per Ha]]</f>
        <v>0</v>
      </c>
      <c r="I57" s="64">
        <v>0.02</v>
      </c>
      <c r="J57" s="14">
        <f>IF(Table5[[#This Row],[Dosis / Ha]]&gt;0,VLOOKUP(SojaboonLandeWB[[#This Row],[Sojaboon lande]],Pryse!C:D,2,0),0)</f>
        <v>11818.181818181818</v>
      </c>
      <c r="K57" s="39">
        <f>Table5[[#This Row],[Dosis / Ha]]*Table5[[#This Row],[Prys per Eenheid]]</f>
        <v>236.36363636363637</v>
      </c>
      <c r="L57" s="19">
        <f t="shared" si="20"/>
        <v>20</v>
      </c>
      <c r="M57" s="18"/>
      <c r="N57" s="22">
        <f>$B$4*Table5[[#This Row],[Koste per Ha]]</f>
        <v>236363.63636363638</v>
      </c>
      <c r="P57" s="64"/>
      <c r="Q57" s="14">
        <f>IF(Table6[[#This Row],[Dosis / Ha]]&gt;0,VLOOKUP(SojaboonLandeWB[[#This Row],[Sojaboon lande]],Pryse!C:D,2,0),0)</f>
        <v>0</v>
      </c>
      <c r="R57" s="39">
        <f>Table6[[#This Row],[Dosis / Ha]]*Table6[[#This Row],[Prys per Eenheid]]</f>
        <v>0</v>
      </c>
      <c r="S57" s="19">
        <f t="shared" si="21"/>
        <v>0</v>
      </c>
      <c r="T57" s="18"/>
      <c r="U57" s="22">
        <f>$B$4*Table6[[#This Row],[Koste per Ha]]</f>
        <v>0</v>
      </c>
      <c r="W57" s="68">
        <f t="shared" si="22"/>
        <v>11818.18181818182</v>
      </c>
      <c r="X57" s="69">
        <f>+SojaboonLandeWB[[#This Row],[Volume Totaal]]+Table5[[#This Row],[Volume Totaal]]+Table6[[#This Row],[Volume Totaal]]</f>
        <v>20</v>
      </c>
      <c r="Y57" s="69"/>
      <c r="Z57" s="70">
        <f>+SojaboonLandeWB[[#This Row],[Prys Totaal]]+Table5[[#This Row],[Prys Totaal]]+Table6[[#This Row],[Prys Totaal]]</f>
        <v>236363.63636363638</v>
      </c>
    </row>
    <row r="58" spans="1:26" ht="15.6" thickTop="1" thickBot="1" x14ac:dyDescent="0.35">
      <c r="A58" s="13" t="s">
        <v>36</v>
      </c>
      <c r="B58" s="82"/>
      <c r="C58" s="81"/>
      <c r="D58" s="30">
        <f>SUBTOTAL(109,SojaboonLandeWB[Koste per Ha])</f>
        <v>142.5</v>
      </c>
      <c r="E58" s="31"/>
      <c r="F58" s="31"/>
      <c r="G58" s="30">
        <f>SUBTOTAL(109,SojaboonLandeWB[Prys Totaal])</f>
        <v>142500</v>
      </c>
      <c r="I58" s="32" t="s">
        <v>36</v>
      </c>
      <c r="J58" s="33"/>
      <c r="K58" s="30">
        <f>SUBTOTAL(109,Table5[Koste per Ha])</f>
        <v>443.86363636363637</v>
      </c>
      <c r="L58" s="31"/>
      <c r="M58" s="31"/>
      <c r="N58" s="30">
        <f>SUBTOTAL(109,Table5[Prys Totaal])</f>
        <v>443863.63636363635</v>
      </c>
      <c r="P58" s="52" t="s">
        <v>36</v>
      </c>
      <c r="Q58" s="53"/>
      <c r="R58" s="54">
        <f>SUBTOTAL(109,Table6[Koste per Ha])</f>
        <v>129.15</v>
      </c>
      <c r="S58" s="55"/>
      <c r="T58" s="55"/>
      <c r="U58" s="54">
        <f>SUBTOTAL(109,Table6[Prys Totaal])</f>
        <v>129150</v>
      </c>
      <c r="W58" s="71" t="s">
        <v>36</v>
      </c>
      <c r="X58" s="72"/>
      <c r="Y58" s="72"/>
      <c r="Z58" s="73">
        <f>SUBTOTAL(109,Table12[Prys Totaal])</f>
        <v>715513.63636363635</v>
      </c>
    </row>
    <row r="59" spans="1:26" ht="15" thickTop="1" x14ac:dyDescent="0.3"/>
    <row r="1048568" spans="8:8" x14ac:dyDescent="0.3">
      <c r="H1048568"/>
    </row>
    <row r="1048569" spans="8:8" x14ac:dyDescent="0.3">
      <c r="H1048569"/>
    </row>
    <row r="1048570" spans="8:8" x14ac:dyDescent="0.3">
      <c r="H1048570"/>
    </row>
    <row r="1048571" spans="8:8" x14ac:dyDescent="0.3">
      <c r="H1048571"/>
    </row>
    <row r="1048572" spans="8:8" x14ac:dyDescent="0.3">
      <c r="H1048572"/>
    </row>
    <row r="1048573" spans="8:8" x14ac:dyDescent="0.3">
      <c r="H1048573"/>
    </row>
    <row r="1048574" spans="8:8" x14ac:dyDescent="0.3">
      <c r="H1048574"/>
    </row>
    <row r="1048575" spans="8:8" x14ac:dyDescent="0.3">
      <c r="H1048575"/>
    </row>
    <row r="1048576" spans="8:8" x14ac:dyDescent="0.3">
      <c r="H1048576"/>
    </row>
  </sheetData>
  <mergeCells count="6">
    <mergeCell ref="AG6:AJ7"/>
    <mergeCell ref="B6:G7"/>
    <mergeCell ref="I6:N7"/>
    <mergeCell ref="P6:U7"/>
    <mergeCell ref="W6:Z7"/>
    <mergeCell ref="AB6:AE7"/>
  </mergeCells>
  <pageMargins left="0.7" right="0.7" top="0.75" bottom="0.75" header="0.3" footer="0.3"/>
  <pageSetup paperSize="9" orientation="portrait"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zoomScale="146" zoomScaleNormal="146" workbookViewId="0">
      <selection activeCell="E5" sqref="E5"/>
    </sheetView>
  </sheetViews>
  <sheetFormatPr defaultRowHeight="14.4" x14ac:dyDescent="0.3"/>
  <cols>
    <col min="1" max="1" width="6" customWidth="1"/>
    <col min="2" max="2" width="17.5546875" bestFit="1" customWidth="1"/>
    <col min="3" max="3" width="16.88671875" bestFit="1" customWidth="1"/>
    <col min="4" max="4" width="11.5546875" style="101" bestFit="1" customWidth="1"/>
    <col min="5" max="5" width="9.6640625" bestFit="1" customWidth="1"/>
    <col min="8" max="8" width="12.109375" bestFit="1" customWidth="1"/>
  </cols>
  <sheetData>
    <row r="1" spans="1:8" ht="15.6" x14ac:dyDescent="0.3">
      <c r="A1" s="104" t="s">
        <v>67</v>
      </c>
    </row>
    <row r="3" spans="1:8" x14ac:dyDescent="0.3">
      <c r="A3" s="100">
        <v>1</v>
      </c>
      <c r="B3" s="107" t="s">
        <v>0</v>
      </c>
      <c r="C3" s="171" t="s">
        <v>68</v>
      </c>
      <c r="D3" s="165">
        <f>+Opsomming!B2+Opsomming!B3</f>
        <v>1000</v>
      </c>
      <c r="E3" s="162"/>
      <c r="F3" s="162"/>
      <c r="G3" s="162"/>
      <c r="H3" s="162"/>
    </row>
    <row r="4" spans="1:8" x14ac:dyDescent="0.3">
      <c r="A4" s="100"/>
      <c r="B4" s="107" t="s">
        <v>47</v>
      </c>
      <c r="C4" s="107" t="s">
        <v>2</v>
      </c>
      <c r="D4" s="108" t="s">
        <v>7</v>
      </c>
      <c r="E4" s="107" t="s">
        <v>4</v>
      </c>
      <c r="F4" s="107" t="s">
        <v>3</v>
      </c>
      <c r="G4" s="107" t="s">
        <v>5</v>
      </c>
      <c r="H4" s="107" t="s">
        <v>6</v>
      </c>
    </row>
    <row r="5" spans="1:8" x14ac:dyDescent="0.3">
      <c r="A5" s="100"/>
      <c r="B5" s="1"/>
      <c r="C5" s="166" t="s">
        <v>1</v>
      </c>
      <c r="D5" s="167">
        <f>+$D$3*H5</f>
        <v>130000</v>
      </c>
      <c r="E5" s="168">
        <v>2</v>
      </c>
      <c r="F5" s="166">
        <f>+$D$3*E5</f>
        <v>2000</v>
      </c>
      <c r="G5" s="166">
        <f>+Pryse!D13</f>
        <v>65</v>
      </c>
      <c r="H5" s="166">
        <f>+E5*G5</f>
        <v>130</v>
      </c>
    </row>
    <row r="6" spans="1:8" x14ac:dyDescent="0.3">
      <c r="A6" s="100"/>
      <c r="B6" s="1"/>
      <c r="C6" s="166" t="s">
        <v>8</v>
      </c>
      <c r="D6" s="167">
        <f>+$D$3*H6</f>
        <v>12500</v>
      </c>
      <c r="E6" s="168">
        <v>0.25</v>
      </c>
      <c r="F6" s="166">
        <f>+$D$3*E6</f>
        <v>250</v>
      </c>
      <c r="G6" s="166">
        <f>+Pryse!D24</f>
        <v>50</v>
      </c>
      <c r="H6" s="166">
        <f t="shared" ref="H6:H8" si="0">+E6*G6</f>
        <v>12.5</v>
      </c>
    </row>
    <row r="7" spans="1:8" x14ac:dyDescent="0.3">
      <c r="A7" s="100"/>
      <c r="B7" s="1"/>
      <c r="C7" s="166" t="s">
        <v>9</v>
      </c>
      <c r="D7" s="167">
        <f>+$D$3*H7</f>
        <v>25500</v>
      </c>
      <c r="E7" s="168">
        <v>1.5</v>
      </c>
      <c r="F7" s="166">
        <f>+$D$3*E7</f>
        <v>1500</v>
      </c>
      <c r="G7" s="166">
        <f>+Pryse!D21</f>
        <v>17</v>
      </c>
      <c r="H7" s="166">
        <f t="shared" si="0"/>
        <v>25.5</v>
      </c>
    </row>
    <row r="8" spans="1:8" x14ac:dyDescent="0.3">
      <c r="A8" s="100"/>
      <c r="B8" s="1"/>
      <c r="C8" s="166" t="s">
        <v>10</v>
      </c>
      <c r="D8" s="167">
        <f>+$D$3*H8</f>
        <v>1250</v>
      </c>
      <c r="E8" s="168">
        <v>0.05</v>
      </c>
      <c r="F8" s="166">
        <f>+$D$3*E8</f>
        <v>50</v>
      </c>
      <c r="G8" s="166">
        <f>+Pryse!D22</f>
        <v>25</v>
      </c>
      <c r="H8" s="166">
        <f t="shared" si="0"/>
        <v>1.25</v>
      </c>
    </row>
    <row r="9" spans="1:8" x14ac:dyDescent="0.3">
      <c r="A9" s="100"/>
      <c r="B9" s="3"/>
      <c r="C9" s="169" t="s">
        <v>13</v>
      </c>
      <c r="D9" s="170">
        <f>SUM(D5:D8)</f>
        <v>169250</v>
      </c>
      <c r="E9" s="163"/>
      <c r="F9" s="162"/>
      <c r="G9" s="162"/>
      <c r="H9" s="162"/>
    </row>
    <row r="10" spans="1:8" x14ac:dyDescent="0.3">
      <c r="A10" s="100"/>
      <c r="C10" s="162"/>
      <c r="D10" s="164"/>
      <c r="E10" s="162"/>
      <c r="F10" s="162"/>
      <c r="G10" s="162"/>
      <c r="H10" s="162"/>
    </row>
    <row r="11" spans="1:8" ht="15.6" x14ac:dyDescent="0.3">
      <c r="A11" s="100">
        <v>2</v>
      </c>
      <c r="B11" s="122" t="s">
        <v>11</v>
      </c>
      <c r="C11" s="173" t="s">
        <v>68</v>
      </c>
      <c r="D11" s="123">
        <f>+Opsomming!B4</f>
        <v>1000</v>
      </c>
      <c r="F11" s="102"/>
      <c r="G11" s="109"/>
      <c r="H11" s="109"/>
    </row>
    <row r="12" spans="1:8" ht="15.6" x14ac:dyDescent="0.3">
      <c r="A12" s="100"/>
      <c r="B12" s="122" t="s">
        <v>47</v>
      </c>
      <c r="C12" s="122" t="s">
        <v>2</v>
      </c>
      <c r="D12" s="123"/>
      <c r="E12" s="172" t="s">
        <v>4</v>
      </c>
      <c r="F12" s="122" t="s">
        <v>3</v>
      </c>
      <c r="G12" s="123" t="s">
        <v>5</v>
      </c>
      <c r="H12" s="123" t="s">
        <v>6</v>
      </c>
    </row>
    <row r="13" spans="1:8" x14ac:dyDescent="0.3">
      <c r="B13" s="166"/>
      <c r="C13" s="166" t="s">
        <v>1</v>
      </c>
      <c r="D13" s="167">
        <f>+$D$11*H13</f>
        <v>130000</v>
      </c>
      <c r="E13" s="168">
        <v>2</v>
      </c>
      <c r="F13" s="166">
        <f>+$D$11*E13</f>
        <v>2000</v>
      </c>
      <c r="G13" s="166">
        <f>+Pryse!D13</f>
        <v>65</v>
      </c>
      <c r="H13" s="166">
        <f>+E13*G13</f>
        <v>130</v>
      </c>
    </row>
    <row r="14" spans="1:8" x14ac:dyDescent="0.3">
      <c r="B14" s="166"/>
      <c r="C14" s="166" t="s">
        <v>8</v>
      </c>
      <c r="D14" s="167">
        <f>+$D$11*H14</f>
        <v>12500</v>
      </c>
      <c r="E14" s="168">
        <v>0.25</v>
      </c>
      <c r="F14" s="166">
        <f>+$D$11*E14</f>
        <v>250</v>
      </c>
      <c r="G14" s="166">
        <f>+Pryse!D24</f>
        <v>50</v>
      </c>
      <c r="H14" s="166">
        <f>+E14*G14</f>
        <v>12.5</v>
      </c>
    </row>
    <row r="15" spans="1:8" x14ac:dyDescent="0.3">
      <c r="B15" s="166"/>
      <c r="C15" s="166" t="s">
        <v>9</v>
      </c>
      <c r="D15" s="167">
        <f>+$D$11*H15</f>
        <v>25500</v>
      </c>
      <c r="E15" s="168">
        <v>1.5</v>
      </c>
      <c r="F15" s="166">
        <f>+$D$11*E15</f>
        <v>1500</v>
      </c>
      <c r="G15" s="166">
        <f>+Pryse!D21</f>
        <v>17</v>
      </c>
      <c r="H15" s="166">
        <f t="shared" ref="H15:H16" si="1">+E15*G15</f>
        <v>25.5</v>
      </c>
    </row>
    <row r="16" spans="1:8" x14ac:dyDescent="0.3">
      <c r="B16" s="166"/>
      <c r="C16" s="166" t="s">
        <v>10</v>
      </c>
      <c r="D16" s="167">
        <f>+$D$11*H16</f>
        <v>1250</v>
      </c>
      <c r="E16" s="168">
        <v>0.05</v>
      </c>
      <c r="F16" s="166">
        <f>+$D$11*E16</f>
        <v>50</v>
      </c>
      <c r="G16" s="166">
        <f>+Pryse!D22</f>
        <v>25</v>
      </c>
      <c r="H16" s="166">
        <f t="shared" si="1"/>
        <v>1.25</v>
      </c>
    </row>
    <row r="17" spans="2:8" x14ac:dyDescent="0.3">
      <c r="B17" s="169"/>
      <c r="C17" s="169" t="s">
        <v>13</v>
      </c>
      <c r="D17" s="170">
        <f>SUM(D13:D16)</f>
        <v>169250</v>
      </c>
      <c r="E17" s="163"/>
      <c r="F17" s="162"/>
      <c r="G17" s="162"/>
      <c r="H17" s="16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2"/>
  <sheetViews>
    <sheetView zoomScale="85" zoomScaleNormal="85" workbookViewId="0">
      <selection activeCell="H15" sqref="B13:H15"/>
    </sheetView>
  </sheetViews>
  <sheetFormatPr defaultRowHeight="15.6" x14ac:dyDescent="0.3"/>
  <cols>
    <col min="1" max="1" width="6.44140625" style="103" customWidth="1"/>
    <col min="2" max="2" width="33.88671875" style="103" customWidth="1"/>
    <col min="3" max="3" width="29.33203125" style="103" customWidth="1"/>
    <col min="4" max="4" width="11.5546875" style="124" bestFit="1" customWidth="1"/>
    <col min="5" max="5" width="8.88671875" style="103"/>
    <col min="6" max="7" width="8.88671875" style="124"/>
    <col min="8" max="8" width="12.109375" style="124" bestFit="1" customWidth="1"/>
    <col min="9" max="16384" width="8.88671875" style="103"/>
  </cols>
  <sheetData>
    <row r="1" spans="1:9" x14ac:dyDescent="0.3">
      <c r="A1" s="102"/>
      <c r="B1" s="104" t="s">
        <v>65</v>
      </c>
      <c r="C1" s="102"/>
      <c r="D1" s="109"/>
      <c r="E1" s="102"/>
      <c r="F1" s="109"/>
      <c r="G1" s="109"/>
      <c r="H1" s="109"/>
      <c r="I1" s="102"/>
    </row>
    <row r="2" spans="1:9" x14ac:dyDescent="0.3">
      <c r="A2" s="102"/>
      <c r="B2" s="102"/>
      <c r="C2" s="102"/>
      <c r="D2" s="109"/>
      <c r="E2" s="102"/>
      <c r="F2" s="109"/>
      <c r="G2" s="109"/>
      <c r="H2" s="109"/>
      <c r="I2" s="102"/>
    </row>
    <row r="3" spans="1:9" x14ac:dyDescent="0.3">
      <c r="A3" s="102">
        <v>1</v>
      </c>
      <c r="B3" s="110" t="s">
        <v>62</v>
      </c>
      <c r="C3" s="111"/>
      <c r="D3" s="144" t="s">
        <v>52</v>
      </c>
      <c r="E3" s="102"/>
      <c r="F3" s="109"/>
      <c r="G3" s="109"/>
      <c r="H3" s="109"/>
      <c r="I3" s="102"/>
    </row>
    <row r="4" spans="1:9" x14ac:dyDescent="0.3">
      <c r="A4" s="102"/>
      <c r="B4" s="112" t="s">
        <v>58</v>
      </c>
      <c r="C4" s="113"/>
      <c r="D4" s="158">
        <f>+Opsomming!B2</f>
        <v>500</v>
      </c>
      <c r="E4" s="102"/>
      <c r="F4" s="109"/>
      <c r="G4" s="109"/>
      <c r="H4" s="109"/>
      <c r="I4" s="102"/>
    </row>
    <row r="5" spans="1:9" x14ac:dyDescent="0.3">
      <c r="A5" s="102"/>
      <c r="B5" s="138" t="s">
        <v>47</v>
      </c>
      <c r="C5" s="138" t="s">
        <v>2</v>
      </c>
      <c r="D5" s="115" t="s">
        <v>7</v>
      </c>
      <c r="E5" s="116" t="s">
        <v>4</v>
      </c>
      <c r="F5" s="115" t="s">
        <v>3</v>
      </c>
      <c r="G5" s="115" t="s">
        <v>5</v>
      </c>
      <c r="H5" s="115" t="s">
        <v>6</v>
      </c>
      <c r="I5" s="102"/>
    </row>
    <row r="6" spans="1:9" x14ac:dyDescent="0.3">
      <c r="A6" s="102"/>
      <c r="B6" s="136"/>
      <c r="C6" s="106" t="s">
        <v>14</v>
      </c>
      <c r="D6" s="117">
        <f>+$D$4*H6</f>
        <v>27500</v>
      </c>
      <c r="E6" s="118">
        <v>0.25</v>
      </c>
      <c r="F6" s="117">
        <f>+$D$4*E6</f>
        <v>125</v>
      </c>
      <c r="G6" s="117">
        <f>VLOOKUP(C6,Pryse!$C$11:$E$33,2,FALSE)</f>
        <v>220</v>
      </c>
      <c r="H6" s="117">
        <f>+E6*G6</f>
        <v>55</v>
      </c>
      <c r="I6" s="102"/>
    </row>
    <row r="7" spans="1:9" x14ac:dyDescent="0.3">
      <c r="A7" s="102"/>
      <c r="B7" s="136"/>
      <c r="C7" s="106" t="s">
        <v>15</v>
      </c>
      <c r="D7" s="117">
        <f>+$D$4*H7</f>
        <v>65000</v>
      </c>
      <c r="E7" s="118">
        <v>1</v>
      </c>
      <c r="F7" s="117">
        <f>+$D$4*E7</f>
        <v>500</v>
      </c>
      <c r="G7" s="117">
        <f>VLOOKUP(C7,Pryse!$C$11:$E$33,2,FALSE)</f>
        <v>130</v>
      </c>
      <c r="H7" s="117">
        <f t="shared" ref="H7:H10" si="0">+E7*G7</f>
        <v>130</v>
      </c>
      <c r="I7" s="102"/>
    </row>
    <row r="8" spans="1:9" x14ac:dyDescent="0.3">
      <c r="A8" s="102"/>
      <c r="B8" s="136"/>
      <c r="C8" s="106" t="s">
        <v>16</v>
      </c>
      <c r="D8" s="117">
        <f>+$D$4*H8</f>
        <v>45000</v>
      </c>
      <c r="E8" s="118">
        <v>1</v>
      </c>
      <c r="F8" s="117">
        <f>+$D$4*E8</f>
        <v>500</v>
      </c>
      <c r="G8" s="117">
        <f>VLOOKUP(C8,Pryse!$C$11:$E$33,2,FALSE)</f>
        <v>90</v>
      </c>
      <c r="H8" s="117">
        <f t="shared" si="0"/>
        <v>90</v>
      </c>
      <c r="I8" s="102"/>
    </row>
    <row r="9" spans="1:9" x14ac:dyDescent="0.3">
      <c r="A9" s="102"/>
      <c r="B9" s="136"/>
      <c r="C9" s="106" t="s">
        <v>17</v>
      </c>
      <c r="D9" s="117">
        <f>+$D$4*H9</f>
        <v>0</v>
      </c>
      <c r="E9" s="118"/>
      <c r="F9" s="117">
        <f>+$D$4*E9</f>
        <v>0</v>
      </c>
      <c r="G9" s="117">
        <f>VLOOKUP(C9,Pryse!$C$11:$E$33,2,FALSE)</f>
        <v>90</v>
      </c>
      <c r="H9" s="117">
        <f t="shared" si="0"/>
        <v>0</v>
      </c>
      <c r="I9" s="102"/>
    </row>
    <row r="10" spans="1:9" x14ac:dyDescent="0.3">
      <c r="A10" s="102"/>
      <c r="B10" s="136"/>
      <c r="C10" s="106" t="s">
        <v>18</v>
      </c>
      <c r="D10" s="117">
        <f>+$D$4*H10</f>
        <v>3000</v>
      </c>
      <c r="E10" s="118">
        <v>0.06</v>
      </c>
      <c r="F10" s="117">
        <f>+$D$4*E10</f>
        <v>30</v>
      </c>
      <c r="G10" s="117">
        <f>VLOOKUP(C10,Pryse!$C$11:$E$33,2,FALSE)</f>
        <v>100</v>
      </c>
      <c r="H10" s="117">
        <f t="shared" si="0"/>
        <v>6</v>
      </c>
      <c r="I10" s="102"/>
    </row>
    <row r="11" spans="1:9" x14ac:dyDescent="0.3">
      <c r="A11" s="102"/>
      <c r="B11" s="136"/>
      <c r="C11" s="131" t="s">
        <v>13</v>
      </c>
      <c r="D11" s="132">
        <f>SUM(D6:D10)</f>
        <v>140500</v>
      </c>
      <c r="E11" s="119"/>
      <c r="F11" s="120"/>
      <c r="G11" s="120"/>
      <c r="H11" s="120"/>
      <c r="I11" s="102"/>
    </row>
    <row r="12" spans="1:9" x14ac:dyDescent="0.3">
      <c r="A12" s="102"/>
      <c r="B12" s="102"/>
      <c r="C12" s="102"/>
      <c r="D12" s="109"/>
      <c r="E12" s="102"/>
      <c r="F12" s="109"/>
      <c r="G12" s="109"/>
      <c r="H12" s="109"/>
      <c r="I12" s="102"/>
    </row>
    <row r="13" spans="1:9" x14ac:dyDescent="0.3">
      <c r="A13" s="102">
        <v>2</v>
      </c>
      <c r="B13" s="110" t="s">
        <v>63</v>
      </c>
      <c r="C13" s="125"/>
      <c r="D13" s="144" t="s">
        <v>52</v>
      </c>
      <c r="E13" s="102"/>
      <c r="F13" s="109"/>
      <c r="G13" s="109"/>
      <c r="H13" s="109"/>
      <c r="I13" s="102"/>
    </row>
    <row r="14" spans="1:9" x14ac:dyDescent="0.3">
      <c r="A14" s="102"/>
      <c r="B14" s="112" t="s">
        <v>55</v>
      </c>
      <c r="C14" s="127"/>
      <c r="D14" s="158">
        <f>+Opsomming!B3</f>
        <v>500</v>
      </c>
      <c r="E14" s="102"/>
      <c r="F14" s="109"/>
      <c r="G14" s="109"/>
      <c r="H14" s="109"/>
      <c r="I14" s="102"/>
    </row>
    <row r="15" spans="1:9" x14ac:dyDescent="0.3">
      <c r="A15" s="102"/>
      <c r="B15" s="138" t="s">
        <v>47</v>
      </c>
      <c r="C15" s="138" t="s">
        <v>2</v>
      </c>
      <c r="D15" s="121" t="s">
        <v>7</v>
      </c>
      <c r="E15" s="114" t="s">
        <v>4</v>
      </c>
      <c r="F15" s="121" t="s">
        <v>3</v>
      </c>
      <c r="G15" s="121" t="s">
        <v>5</v>
      </c>
      <c r="H15" s="121" t="s">
        <v>6</v>
      </c>
      <c r="I15" s="102"/>
    </row>
    <row r="16" spans="1:9" x14ac:dyDescent="0.3">
      <c r="A16" s="102"/>
      <c r="B16" s="136"/>
      <c r="C16" s="106" t="s">
        <v>14</v>
      </c>
      <c r="D16" s="117">
        <f>+$D$14*H16</f>
        <v>27500</v>
      </c>
      <c r="E16" s="118">
        <v>0.25</v>
      </c>
      <c r="F16" s="117">
        <f>+$D$4*E16</f>
        <v>125</v>
      </c>
      <c r="G16" s="117">
        <f>VLOOKUP(C16,Pryse!$C$11:$E$33,2,FALSE)</f>
        <v>220</v>
      </c>
      <c r="H16" s="117">
        <f>+E16*G16</f>
        <v>55</v>
      </c>
      <c r="I16" s="102"/>
    </row>
    <row r="17" spans="1:9" x14ac:dyDescent="0.3">
      <c r="A17" s="102"/>
      <c r="B17" s="136"/>
      <c r="C17" s="106" t="s">
        <v>15</v>
      </c>
      <c r="D17" s="117">
        <f>+$D$14*H17</f>
        <v>65000</v>
      </c>
      <c r="E17" s="118">
        <v>1</v>
      </c>
      <c r="F17" s="117">
        <f>+$D$4*E17</f>
        <v>500</v>
      </c>
      <c r="G17" s="117">
        <f>VLOOKUP(C17,Pryse!$C$11:$E$33,2,FALSE)</f>
        <v>130</v>
      </c>
      <c r="H17" s="117">
        <f t="shared" ref="H17:H18" si="1">+E17*G17</f>
        <v>130</v>
      </c>
      <c r="I17" s="102"/>
    </row>
    <row r="18" spans="1:9" x14ac:dyDescent="0.3">
      <c r="A18" s="102"/>
      <c r="B18" s="136"/>
      <c r="C18" s="106" t="s">
        <v>18</v>
      </c>
      <c r="D18" s="117">
        <f>+$D$14*H18</f>
        <v>3000</v>
      </c>
      <c r="E18" s="118">
        <v>0.06</v>
      </c>
      <c r="F18" s="117">
        <f>+$D$4*E18</f>
        <v>30</v>
      </c>
      <c r="G18" s="117">
        <f>VLOOKUP(C18,Pryse!$C$11:$E$33,2,FALSE)</f>
        <v>100</v>
      </c>
      <c r="H18" s="117">
        <f t="shared" si="1"/>
        <v>6</v>
      </c>
      <c r="I18" s="102"/>
    </row>
    <row r="19" spans="1:9" x14ac:dyDescent="0.3">
      <c r="A19" s="102"/>
      <c r="B19" s="136"/>
      <c r="C19" s="131" t="s">
        <v>13</v>
      </c>
      <c r="D19" s="132">
        <f>SUM(D16:D18)</f>
        <v>95500</v>
      </c>
      <c r="E19" s="119"/>
      <c r="F19" s="120"/>
      <c r="G19" s="120"/>
      <c r="H19" s="120"/>
      <c r="I19" s="102"/>
    </row>
    <row r="20" spans="1:9" x14ac:dyDescent="0.3">
      <c r="A20" s="102"/>
      <c r="B20" s="102"/>
      <c r="C20" s="102"/>
      <c r="D20" s="109"/>
      <c r="E20" s="102"/>
      <c r="F20" s="109"/>
      <c r="G20" s="109"/>
      <c r="H20" s="109"/>
      <c r="I20" s="102"/>
    </row>
    <row r="21" spans="1:9" x14ac:dyDescent="0.3">
      <c r="A21" s="102">
        <v>3</v>
      </c>
      <c r="B21" s="151" t="s">
        <v>64</v>
      </c>
      <c r="C21" s="128"/>
      <c r="D21" s="150" t="s">
        <v>52</v>
      </c>
      <c r="E21" s="102"/>
      <c r="F21" s="109"/>
      <c r="G21" s="109"/>
      <c r="H21" s="109"/>
      <c r="I21" s="102"/>
    </row>
    <row r="22" spans="1:9" x14ac:dyDescent="0.3">
      <c r="A22" s="102"/>
      <c r="B22" s="129" t="s">
        <v>57</v>
      </c>
      <c r="C22" s="159"/>
      <c r="D22" s="160">
        <f>+Opsomming!B4</f>
        <v>1000</v>
      </c>
      <c r="E22" s="102"/>
      <c r="F22" s="109"/>
      <c r="G22" s="109"/>
      <c r="H22" s="109"/>
      <c r="I22" s="102"/>
    </row>
    <row r="23" spans="1:9" x14ac:dyDescent="0.3">
      <c r="A23" s="102"/>
      <c r="B23" s="136"/>
      <c r="C23" s="122" t="s">
        <v>2</v>
      </c>
      <c r="D23" s="123" t="s">
        <v>7</v>
      </c>
      <c r="E23" s="122" t="s">
        <v>4</v>
      </c>
      <c r="F23" s="123" t="s">
        <v>3</v>
      </c>
      <c r="G23" s="123" t="s">
        <v>5</v>
      </c>
      <c r="H23" s="123" t="s">
        <v>6</v>
      </c>
      <c r="I23" s="102"/>
    </row>
    <row r="24" spans="1:9" x14ac:dyDescent="0.3">
      <c r="A24" s="102"/>
      <c r="B24" s="136"/>
      <c r="C24" s="106" t="s">
        <v>1</v>
      </c>
      <c r="D24" s="117">
        <f>+$D$22*H24</f>
        <v>0</v>
      </c>
      <c r="E24" s="118">
        <v>0</v>
      </c>
      <c r="F24" s="117">
        <f>+$D$22*E24</f>
        <v>0</v>
      </c>
      <c r="G24" s="117">
        <f>VLOOKUP(C24,Pryse!$C$11:$E$33,2,FALSE)</f>
        <v>65</v>
      </c>
      <c r="H24" s="117">
        <f>+E24*G24</f>
        <v>0</v>
      </c>
      <c r="I24" s="102"/>
    </row>
    <row r="25" spans="1:9" x14ac:dyDescent="0.3">
      <c r="A25" s="102"/>
      <c r="B25" s="136"/>
      <c r="C25" s="106" t="s">
        <v>20</v>
      </c>
      <c r="D25" s="117">
        <f>+$D$22*H25</f>
        <v>236363.63636363638</v>
      </c>
      <c r="E25" s="118">
        <v>0.02</v>
      </c>
      <c r="F25" s="117">
        <f>+$D$22*E25</f>
        <v>20</v>
      </c>
      <c r="G25" s="117">
        <f>VLOOKUP(C25,Pryse!$C$11:$E$33,2,FALSE)</f>
        <v>11818.181818181818</v>
      </c>
      <c r="H25" s="117">
        <f t="shared" ref="H25:H28" si="2">+E25*G25</f>
        <v>236.36363636363637</v>
      </c>
      <c r="I25" s="102"/>
    </row>
    <row r="26" spans="1:9" x14ac:dyDescent="0.3">
      <c r="A26" s="102"/>
      <c r="B26" s="136"/>
      <c r="C26" s="106" t="s">
        <v>21</v>
      </c>
      <c r="D26" s="117">
        <f>+$D$22*H26</f>
        <v>110000</v>
      </c>
      <c r="E26" s="118">
        <v>1</v>
      </c>
      <c r="F26" s="117">
        <f>+$D$22*E26</f>
        <v>1000</v>
      </c>
      <c r="G26" s="117">
        <f>VLOOKUP(C26,Pryse!$C$11:$E$33,2,FALSE)</f>
        <v>110</v>
      </c>
      <c r="H26" s="117">
        <f t="shared" si="2"/>
        <v>110</v>
      </c>
      <c r="I26" s="102"/>
    </row>
    <row r="27" spans="1:9" x14ac:dyDescent="0.3">
      <c r="A27" s="102"/>
      <c r="B27" s="136"/>
      <c r="C27" s="106" t="s">
        <v>9</v>
      </c>
      <c r="D27" s="117">
        <f>+$D$22*H27</f>
        <v>0</v>
      </c>
      <c r="E27" s="118">
        <v>0</v>
      </c>
      <c r="F27" s="117">
        <f>+$D$22*E27</f>
        <v>0</v>
      </c>
      <c r="G27" s="117">
        <f>VLOOKUP(C27,Pryse!$C$11:$E$33,2,FALSE)</f>
        <v>17</v>
      </c>
      <c r="H27" s="117">
        <f t="shared" si="2"/>
        <v>0</v>
      </c>
      <c r="I27" s="102"/>
    </row>
    <row r="28" spans="1:9" x14ac:dyDescent="0.3">
      <c r="A28" s="102"/>
      <c r="B28" s="136"/>
      <c r="C28" s="106" t="s">
        <v>10</v>
      </c>
      <c r="D28" s="117">
        <f>+$D$22*H28</f>
        <v>0</v>
      </c>
      <c r="E28" s="118">
        <v>0</v>
      </c>
      <c r="F28" s="117">
        <f>+$D$22*E28</f>
        <v>0</v>
      </c>
      <c r="G28" s="117">
        <f>VLOOKUP(C28,Pryse!$C$11:$E$33,2,FALSE)</f>
        <v>25</v>
      </c>
      <c r="H28" s="117">
        <f t="shared" si="2"/>
        <v>0</v>
      </c>
      <c r="I28" s="102"/>
    </row>
    <row r="29" spans="1:9" x14ac:dyDescent="0.3">
      <c r="A29" s="102"/>
      <c r="B29" s="136"/>
      <c r="C29" s="156" t="s">
        <v>13</v>
      </c>
      <c r="D29" s="157">
        <f>SUM(D24:D28)</f>
        <v>346363.63636363635</v>
      </c>
      <c r="E29" s="119"/>
      <c r="F29" s="120"/>
      <c r="G29" s="120"/>
      <c r="H29" s="120"/>
      <c r="I29" s="102"/>
    </row>
    <row r="30" spans="1:9" x14ac:dyDescent="0.3">
      <c r="A30" s="102"/>
      <c r="B30" s="102"/>
      <c r="C30" s="102"/>
      <c r="D30" s="109"/>
      <c r="E30" s="102"/>
      <c r="F30" s="109"/>
      <c r="G30" s="109"/>
      <c r="H30" s="109"/>
      <c r="I30" s="102"/>
    </row>
    <row r="31" spans="1:9" x14ac:dyDescent="0.3">
      <c r="A31" s="102"/>
      <c r="B31" s="102"/>
      <c r="C31" s="102"/>
      <c r="D31" s="109"/>
      <c r="E31" s="102"/>
      <c r="F31" s="109"/>
      <c r="G31" s="109"/>
      <c r="H31" s="109"/>
      <c r="I31" s="102"/>
    </row>
    <row r="32" spans="1:9" x14ac:dyDescent="0.3">
      <c r="A32" s="102"/>
      <c r="B32" s="102"/>
      <c r="C32" s="102"/>
      <c r="D32" s="109"/>
      <c r="E32" s="102"/>
      <c r="F32" s="109"/>
      <c r="G32" s="109"/>
      <c r="H32" s="109"/>
      <c r="I32" s="102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0"/>
  <sheetViews>
    <sheetView zoomScale="85" zoomScaleNormal="85" workbookViewId="0">
      <selection activeCell="B2" sqref="B2"/>
    </sheetView>
  </sheetViews>
  <sheetFormatPr defaultRowHeight="15.6" x14ac:dyDescent="0.3"/>
  <cols>
    <col min="1" max="1" width="8.88671875" style="103"/>
    <col min="2" max="2" width="14.5546875" style="103" customWidth="1"/>
    <col min="3" max="3" width="24.21875" style="103" bestFit="1" customWidth="1"/>
    <col min="4" max="4" width="11.5546875" style="124" bestFit="1" customWidth="1"/>
    <col min="5" max="8" width="13.21875" style="103" customWidth="1"/>
    <col min="9" max="16384" width="8.88671875" style="103"/>
  </cols>
  <sheetData>
    <row r="1" spans="1:9" x14ac:dyDescent="0.3">
      <c r="A1" s="102"/>
      <c r="B1" s="104" t="s">
        <v>66</v>
      </c>
      <c r="C1" s="102"/>
      <c r="D1" s="109"/>
      <c r="E1" s="102"/>
      <c r="F1" s="102"/>
      <c r="G1" s="102"/>
      <c r="H1" s="102"/>
      <c r="I1" s="102"/>
    </row>
    <row r="2" spans="1:9" x14ac:dyDescent="0.3">
      <c r="A2" s="102"/>
      <c r="B2" s="102"/>
      <c r="C2" s="102"/>
      <c r="D2" s="109"/>
      <c r="E2" s="102"/>
      <c r="F2" s="102"/>
      <c r="G2" s="102"/>
      <c r="H2" s="102"/>
      <c r="I2" s="102"/>
    </row>
    <row r="3" spans="1:9" x14ac:dyDescent="0.3">
      <c r="A3" s="102"/>
      <c r="B3" s="110" t="s">
        <v>53</v>
      </c>
      <c r="C3" s="111"/>
      <c r="D3" s="144" t="s">
        <v>52</v>
      </c>
      <c r="E3" s="102"/>
      <c r="F3" s="102"/>
      <c r="G3" s="102"/>
      <c r="H3" s="102"/>
      <c r="I3" s="102"/>
    </row>
    <row r="4" spans="1:9" x14ac:dyDescent="0.3">
      <c r="A4" s="102"/>
      <c r="B4" s="112" t="s">
        <v>54</v>
      </c>
      <c r="C4" s="113"/>
      <c r="D4" s="145">
        <f>+Opsomming!B2</f>
        <v>500</v>
      </c>
      <c r="E4" s="102"/>
      <c r="F4" s="102"/>
      <c r="G4" s="102"/>
      <c r="H4" s="102"/>
      <c r="I4" s="102"/>
    </row>
    <row r="5" spans="1:9" s="140" customFormat="1" ht="31.2" x14ac:dyDescent="0.3">
      <c r="A5" s="137"/>
      <c r="B5" s="138" t="s">
        <v>47</v>
      </c>
      <c r="C5" s="138" t="s">
        <v>2</v>
      </c>
      <c r="D5" s="139" t="s">
        <v>7</v>
      </c>
      <c r="E5" s="138" t="s">
        <v>4</v>
      </c>
      <c r="F5" s="138" t="s">
        <v>3</v>
      </c>
      <c r="G5" s="138" t="s">
        <v>5</v>
      </c>
      <c r="H5" s="138" t="s">
        <v>6</v>
      </c>
      <c r="I5" s="137"/>
    </row>
    <row r="6" spans="1:9" x14ac:dyDescent="0.3">
      <c r="A6" s="102"/>
      <c r="B6" s="136"/>
      <c r="C6" s="106" t="s">
        <v>14</v>
      </c>
      <c r="D6" s="117">
        <f t="shared" ref="D6:D13" si="0">+$D$4*H6</f>
        <v>27500</v>
      </c>
      <c r="E6" s="134">
        <v>0.25</v>
      </c>
      <c r="F6" s="106">
        <f t="shared" ref="F6:F13" si="1">+$D$4*E6</f>
        <v>125</v>
      </c>
      <c r="G6" s="106">
        <f>VLOOKUP(C6,Pryse!$C$10:$D$56,2,FALSE)</f>
        <v>220</v>
      </c>
      <c r="H6" s="106">
        <f>+E6*G6</f>
        <v>55</v>
      </c>
      <c r="I6" s="102"/>
    </row>
    <row r="7" spans="1:9" x14ac:dyDescent="0.3">
      <c r="A7" s="102"/>
      <c r="B7" s="136"/>
      <c r="C7" s="106" t="s">
        <v>21</v>
      </c>
      <c r="D7" s="117">
        <f t="shared" si="0"/>
        <v>55000</v>
      </c>
      <c r="E7" s="134">
        <v>1</v>
      </c>
      <c r="F7" s="106">
        <f t="shared" si="1"/>
        <v>500</v>
      </c>
      <c r="G7" s="106">
        <f>VLOOKUP(C7,Pryse!$C$10:$D$56,2,FALSE)</f>
        <v>110</v>
      </c>
      <c r="H7" s="106">
        <f t="shared" ref="H7:H13" si="2">+E7*G7</f>
        <v>110</v>
      </c>
      <c r="I7" s="102"/>
    </row>
    <row r="8" spans="1:9" x14ac:dyDescent="0.3">
      <c r="A8" s="102"/>
      <c r="B8" s="136"/>
      <c r="C8" s="106" t="s">
        <v>1</v>
      </c>
      <c r="D8" s="117">
        <f t="shared" si="0"/>
        <v>48750</v>
      </c>
      <c r="E8" s="134">
        <v>1.5</v>
      </c>
      <c r="F8" s="106">
        <f t="shared" si="1"/>
        <v>750</v>
      </c>
      <c r="G8" s="106">
        <f>VLOOKUP(C8,Pryse!$C$10:$D$56,2,FALSE)</f>
        <v>65</v>
      </c>
      <c r="H8" s="106">
        <f t="shared" si="2"/>
        <v>97.5</v>
      </c>
      <c r="I8" s="102"/>
    </row>
    <row r="9" spans="1:9" x14ac:dyDescent="0.3">
      <c r="A9" s="102"/>
      <c r="B9" s="136"/>
      <c r="C9" s="106" t="s">
        <v>26</v>
      </c>
      <c r="D9" s="117" t="e">
        <f t="shared" si="0"/>
        <v>#N/A</v>
      </c>
      <c r="E9" s="134">
        <v>1.5</v>
      </c>
      <c r="F9" s="106">
        <f t="shared" si="1"/>
        <v>750</v>
      </c>
      <c r="G9" s="106" t="e">
        <f>VLOOKUP(C9,Pryse!$C$10:$D$56,2,FALSE)</f>
        <v>#N/A</v>
      </c>
      <c r="H9" s="106" t="e">
        <f t="shared" si="2"/>
        <v>#N/A</v>
      </c>
      <c r="I9" s="102"/>
    </row>
    <row r="10" spans="1:9" x14ac:dyDescent="0.3">
      <c r="A10" s="102"/>
      <c r="B10" s="136"/>
      <c r="C10" s="106" t="s">
        <v>16</v>
      </c>
      <c r="D10" s="117">
        <f t="shared" si="0"/>
        <v>45000</v>
      </c>
      <c r="E10" s="134">
        <v>1</v>
      </c>
      <c r="F10" s="106">
        <f t="shared" si="1"/>
        <v>500</v>
      </c>
      <c r="G10" s="106">
        <f>VLOOKUP(C10,Pryse!$C$10:$D$56,2,FALSE)</f>
        <v>90</v>
      </c>
      <c r="H10" s="106">
        <f t="shared" si="2"/>
        <v>90</v>
      </c>
      <c r="I10" s="102"/>
    </row>
    <row r="11" spans="1:9" x14ac:dyDescent="0.3">
      <c r="A11" s="102"/>
      <c r="B11" s="136"/>
      <c r="C11" s="106" t="s">
        <v>22</v>
      </c>
      <c r="D11" s="117">
        <f t="shared" si="0"/>
        <v>3599.9999999999995</v>
      </c>
      <c r="E11" s="134">
        <v>0.12</v>
      </c>
      <c r="F11" s="106">
        <f t="shared" si="1"/>
        <v>60</v>
      </c>
      <c r="G11" s="106">
        <f>VLOOKUP(C11,Pryse!$C$10:$D$56,2,FALSE)</f>
        <v>60</v>
      </c>
      <c r="H11" s="106">
        <f t="shared" si="2"/>
        <v>7.1999999999999993</v>
      </c>
      <c r="I11" s="102"/>
    </row>
    <row r="12" spans="1:9" x14ac:dyDescent="0.3">
      <c r="A12" s="102"/>
      <c r="B12" s="136"/>
      <c r="C12" s="106" t="s">
        <v>24</v>
      </c>
      <c r="D12" s="117">
        <f t="shared" si="0"/>
        <v>18000</v>
      </c>
      <c r="E12" s="134">
        <v>0.4</v>
      </c>
      <c r="F12" s="106">
        <f t="shared" si="1"/>
        <v>200</v>
      </c>
      <c r="G12" s="106">
        <f>VLOOKUP(C12,Pryse!$C$10:$D$56,2,FALSE)</f>
        <v>90</v>
      </c>
      <c r="H12" s="106">
        <f t="shared" si="2"/>
        <v>36</v>
      </c>
      <c r="I12" s="102"/>
    </row>
    <row r="13" spans="1:9" x14ac:dyDescent="0.3">
      <c r="A13" s="102"/>
      <c r="B13" s="136"/>
      <c r="C13" s="1" t="s">
        <v>10</v>
      </c>
      <c r="D13" s="117">
        <f t="shared" si="0"/>
        <v>1250</v>
      </c>
      <c r="E13" s="134">
        <v>0.1</v>
      </c>
      <c r="F13" s="106">
        <f t="shared" si="1"/>
        <v>50</v>
      </c>
      <c r="G13" s="106">
        <f>VLOOKUP(C13,Pryse!$C$10:$D$56,2,FALSE)</f>
        <v>25</v>
      </c>
      <c r="H13" s="106">
        <f t="shared" si="2"/>
        <v>2.5</v>
      </c>
      <c r="I13" s="102"/>
    </row>
    <row r="14" spans="1:9" x14ac:dyDescent="0.3">
      <c r="A14" s="102"/>
      <c r="B14" s="141"/>
      <c r="C14" s="105" t="s">
        <v>13</v>
      </c>
      <c r="D14" s="133" t="e">
        <f>SUM(D6:D13)</f>
        <v>#N/A</v>
      </c>
      <c r="E14" s="135"/>
      <c r="F14" s="102"/>
      <c r="G14" s="102"/>
      <c r="H14" s="102"/>
      <c r="I14" s="102"/>
    </row>
    <row r="15" spans="1:9" x14ac:dyDescent="0.3">
      <c r="A15" s="102"/>
      <c r="B15" s="102"/>
      <c r="C15" s="102"/>
      <c r="D15" s="109"/>
      <c r="E15" s="135"/>
      <c r="F15" s="102"/>
      <c r="G15" s="102"/>
      <c r="H15" s="102"/>
      <c r="I15" s="102"/>
    </row>
    <row r="16" spans="1:9" x14ac:dyDescent="0.3">
      <c r="A16" s="102"/>
      <c r="B16" s="110" t="s">
        <v>53</v>
      </c>
      <c r="C16" s="126"/>
      <c r="D16" s="142" t="s">
        <v>52</v>
      </c>
      <c r="E16" s="135"/>
      <c r="F16" s="102"/>
      <c r="G16" s="102"/>
      <c r="H16" s="102"/>
      <c r="I16" s="102"/>
    </row>
    <row r="17" spans="1:9" x14ac:dyDescent="0.3">
      <c r="A17" s="102"/>
      <c r="B17" s="112" t="s">
        <v>55</v>
      </c>
      <c r="C17" s="153"/>
      <c r="D17" s="143">
        <f>+Opsomming!B3</f>
        <v>500</v>
      </c>
      <c r="E17" s="135"/>
      <c r="F17" s="102"/>
      <c r="G17" s="102"/>
      <c r="H17" s="102"/>
      <c r="I17" s="102"/>
    </row>
    <row r="18" spans="1:9" x14ac:dyDescent="0.3">
      <c r="A18" s="102"/>
      <c r="B18" s="152" t="s">
        <v>47</v>
      </c>
      <c r="C18" s="152" t="s">
        <v>2</v>
      </c>
      <c r="D18" s="121" t="s">
        <v>7</v>
      </c>
      <c r="E18" s="147" t="s">
        <v>4</v>
      </c>
      <c r="F18" s="114" t="s">
        <v>3</v>
      </c>
      <c r="G18" s="114" t="s">
        <v>5</v>
      </c>
      <c r="H18" s="114" t="s">
        <v>6</v>
      </c>
      <c r="I18" s="102"/>
    </row>
    <row r="19" spans="1:9" x14ac:dyDescent="0.3">
      <c r="A19" s="102"/>
      <c r="B19" s="136"/>
      <c r="C19" s="106" t="s">
        <v>14</v>
      </c>
      <c r="D19" s="117">
        <f t="shared" ref="D19:D26" si="3">+$D$17*H19</f>
        <v>27500</v>
      </c>
      <c r="E19" s="134">
        <v>0.25</v>
      </c>
      <c r="F19" s="106">
        <f t="shared" ref="F19:F26" si="4">+$D$4*E19</f>
        <v>125</v>
      </c>
      <c r="G19" s="106">
        <f>+Pryse!D12</f>
        <v>220</v>
      </c>
      <c r="H19" s="106">
        <f>+E19*G19</f>
        <v>55</v>
      </c>
      <c r="I19" s="102"/>
    </row>
    <row r="20" spans="1:9" x14ac:dyDescent="0.3">
      <c r="A20" s="102"/>
      <c r="B20" s="136"/>
      <c r="C20" s="106" t="s">
        <v>19</v>
      </c>
      <c r="D20" s="117">
        <f t="shared" si="3"/>
        <v>55000</v>
      </c>
      <c r="E20" s="134">
        <v>1</v>
      </c>
      <c r="F20" s="106">
        <f t="shared" si="4"/>
        <v>500</v>
      </c>
      <c r="G20" s="106">
        <f>+Pryse!D17</f>
        <v>110</v>
      </c>
      <c r="H20" s="106">
        <f t="shared" ref="H20:H26" si="5">+E20*G20</f>
        <v>110</v>
      </c>
      <c r="I20" s="102"/>
    </row>
    <row r="21" spans="1:9" x14ac:dyDescent="0.3">
      <c r="A21" s="102"/>
      <c r="B21" s="136"/>
      <c r="C21" s="106" t="s">
        <v>1</v>
      </c>
      <c r="D21" s="117">
        <f t="shared" si="3"/>
        <v>48750</v>
      </c>
      <c r="E21" s="134">
        <v>1.5</v>
      </c>
      <c r="F21" s="106">
        <f t="shared" si="4"/>
        <v>750</v>
      </c>
      <c r="G21" s="106">
        <f>+Pryse!D13</f>
        <v>65</v>
      </c>
      <c r="H21" s="106">
        <f t="shared" si="5"/>
        <v>97.5</v>
      </c>
      <c r="I21" s="102"/>
    </row>
    <row r="22" spans="1:9" x14ac:dyDescent="0.3">
      <c r="A22" s="102"/>
      <c r="B22" s="136"/>
      <c r="C22" s="106" t="s">
        <v>26</v>
      </c>
      <c r="D22" s="117">
        <f t="shared" si="3"/>
        <v>12750</v>
      </c>
      <c r="E22" s="134">
        <v>1.5</v>
      </c>
      <c r="F22" s="106">
        <f t="shared" si="4"/>
        <v>750</v>
      </c>
      <c r="G22" s="106">
        <f>+Pryse!D21</f>
        <v>17</v>
      </c>
      <c r="H22" s="106">
        <f t="shared" si="5"/>
        <v>25.5</v>
      </c>
      <c r="I22" s="102"/>
    </row>
    <row r="23" spans="1:9" x14ac:dyDescent="0.3">
      <c r="A23" s="102"/>
      <c r="B23" s="136"/>
      <c r="C23" s="106" t="s">
        <v>16</v>
      </c>
      <c r="D23" s="117">
        <f t="shared" si="3"/>
        <v>49500.000000000007</v>
      </c>
      <c r="E23" s="134">
        <v>1.1000000000000001</v>
      </c>
      <c r="F23" s="106">
        <f t="shared" si="4"/>
        <v>550</v>
      </c>
      <c r="G23" s="106">
        <f>+Pryse!D20</f>
        <v>90</v>
      </c>
      <c r="H23" s="106">
        <f t="shared" si="5"/>
        <v>99.000000000000014</v>
      </c>
      <c r="I23" s="102"/>
    </row>
    <row r="24" spans="1:9" x14ac:dyDescent="0.3">
      <c r="A24" s="102"/>
      <c r="B24" s="136"/>
      <c r="C24" s="106" t="s">
        <v>22</v>
      </c>
      <c r="D24" s="117">
        <f t="shared" si="3"/>
        <v>3599.9999999999995</v>
      </c>
      <c r="E24" s="134">
        <v>0.12</v>
      </c>
      <c r="F24" s="106">
        <f t="shared" si="4"/>
        <v>60</v>
      </c>
      <c r="G24" s="106">
        <f>+Pryse!D14</f>
        <v>60</v>
      </c>
      <c r="H24" s="106">
        <f>+E24*G24</f>
        <v>7.1999999999999993</v>
      </c>
      <c r="I24" s="102"/>
    </row>
    <row r="25" spans="1:9" x14ac:dyDescent="0.3">
      <c r="A25" s="102"/>
      <c r="B25" s="136"/>
      <c r="C25" s="106" t="s">
        <v>24</v>
      </c>
      <c r="D25" s="117">
        <f t="shared" si="3"/>
        <v>18000</v>
      </c>
      <c r="E25" s="134">
        <v>0.4</v>
      </c>
      <c r="F25" s="106">
        <f t="shared" si="4"/>
        <v>200</v>
      </c>
      <c r="G25" s="106">
        <f>+Pryse!D18</f>
        <v>90</v>
      </c>
      <c r="H25" s="106">
        <f t="shared" si="5"/>
        <v>36</v>
      </c>
      <c r="I25" s="102"/>
    </row>
    <row r="26" spans="1:9" x14ac:dyDescent="0.3">
      <c r="A26" s="102"/>
      <c r="B26" s="136"/>
      <c r="C26" s="106" t="s">
        <v>23</v>
      </c>
      <c r="D26" s="117">
        <f t="shared" si="3"/>
        <v>1250</v>
      </c>
      <c r="E26" s="134">
        <v>0.1</v>
      </c>
      <c r="F26" s="106">
        <f t="shared" si="4"/>
        <v>50</v>
      </c>
      <c r="G26" s="106">
        <f>+Pryse!D22</f>
        <v>25</v>
      </c>
      <c r="H26" s="106">
        <f t="shared" si="5"/>
        <v>2.5</v>
      </c>
      <c r="I26" s="102"/>
    </row>
    <row r="27" spans="1:9" x14ac:dyDescent="0.3">
      <c r="A27" s="102"/>
      <c r="B27" s="105"/>
      <c r="C27" s="105" t="s">
        <v>13</v>
      </c>
      <c r="D27" s="133">
        <f>SUM(D19:D26)</f>
        <v>216350</v>
      </c>
      <c r="I27" s="102"/>
    </row>
    <row r="28" spans="1:9" x14ac:dyDescent="0.3">
      <c r="A28" s="102"/>
      <c r="B28" s="102"/>
      <c r="C28" s="102"/>
      <c r="D28" s="109"/>
      <c r="E28" s="102"/>
      <c r="F28" s="102"/>
      <c r="G28" s="102"/>
      <c r="H28" s="102"/>
      <c r="I28" s="102"/>
    </row>
    <row r="29" spans="1:9" x14ac:dyDescent="0.3">
      <c r="A29" s="102"/>
      <c r="B29" s="151" t="s">
        <v>56</v>
      </c>
      <c r="C29" s="130"/>
      <c r="D29" s="148" t="s">
        <v>52</v>
      </c>
      <c r="E29" s="102"/>
      <c r="F29" s="102"/>
      <c r="G29" s="102"/>
      <c r="H29" s="102"/>
      <c r="I29" s="102"/>
    </row>
    <row r="30" spans="1:9" x14ac:dyDescent="0.3">
      <c r="A30" s="102"/>
      <c r="B30" s="129" t="s">
        <v>57</v>
      </c>
      <c r="C30" s="155"/>
      <c r="D30" s="149">
        <f>+Opsomming!B4</f>
        <v>1000</v>
      </c>
      <c r="E30" s="102"/>
      <c r="F30" s="102"/>
      <c r="G30" s="102"/>
      <c r="H30" s="102"/>
      <c r="I30" s="102"/>
    </row>
    <row r="31" spans="1:9" x14ac:dyDescent="0.3">
      <c r="A31" s="102"/>
      <c r="B31" s="154" t="s">
        <v>47</v>
      </c>
      <c r="C31" s="154" t="s">
        <v>2</v>
      </c>
      <c r="D31" s="123" t="s">
        <v>7</v>
      </c>
      <c r="E31" s="146" t="s">
        <v>4</v>
      </c>
      <c r="F31" s="146" t="s">
        <v>3</v>
      </c>
      <c r="G31" s="146" t="s">
        <v>5</v>
      </c>
      <c r="H31" s="146" t="s">
        <v>6</v>
      </c>
      <c r="I31" s="102"/>
    </row>
    <row r="32" spans="1:9" x14ac:dyDescent="0.3">
      <c r="A32" s="102"/>
      <c r="B32" s="136"/>
      <c r="C32" s="106" t="s">
        <v>1</v>
      </c>
      <c r="D32" s="117">
        <f>+$D$30*H32</f>
        <v>97500</v>
      </c>
      <c r="E32" s="134">
        <v>1.5</v>
      </c>
      <c r="F32" s="106">
        <f>+$D$30*E32</f>
        <v>1500</v>
      </c>
      <c r="G32" s="106">
        <f>+Pryse!D13</f>
        <v>65</v>
      </c>
      <c r="H32" s="106">
        <f>+E32*G32</f>
        <v>97.5</v>
      </c>
      <c r="I32" s="102"/>
    </row>
    <row r="33" spans="1:9" x14ac:dyDescent="0.3">
      <c r="A33" s="102"/>
      <c r="B33" s="136"/>
      <c r="C33" s="106" t="s">
        <v>25</v>
      </c>
      <c r="D33" s="117">
        <f>+$D$30*H33</f>
        <v>4900</v>
      </c>
      <c r="E33" s="134">
        <v>1.4E-2</v>
      </c>
      <c r="F33" s="106">
        <f>+$D$30*E33</f>
        <v>14</v>
      </c>
      <c r="G33" s="106">
        <f>+Pryse!D19</f>
        <v>350</v>
      </c>
      <c r="H33" s="106">
        <f t="shared" ref="H33:H36" si="6">+E33*G33</f>
        <v>4.9000000000000004</v>
      </c>
      <c r="I33" s="102"/>
    </row>
    <row r="34" spans="1:9" x14ac:dyDescent="0.3">
      <c r="A34" s="102"/>
      <c r="B34" s="136"/>
      <c r="C34" s="106" t="s">
        <v>21</v>
      </c>
      <c r="D34" s="117">
        <f>+$D$30*H34</f>
        <v>0</v>
      </c>
      <c r="E34" s="134"/>
      <c r="F34" s="106">
        <f>+$D$30*E34</f>
        <v>0</v>
      </c>
      <c r="G34" s="106">
        <f>+Pryse!D17</f>
        <v>110</v>
      </c>
      <c r="H34" s="106">
        <f t="shared" si="6"/>
        <v>0</v>
      </c>
      <c r="I34" s="102"/>
    </row>
    <row r="35" spans="1:9" x14ac:dyDescent="0.3">
      <c r="A35" s="102"/>
      <c r="B35" s="136"/>
      <c r="C35" s="106" t="s">
        <v>9</v>
      </c>
      <c r="D35" s="117">
        <f>+$D$30*H35</f>
        <v>25500</v>
      </c>
      <c r="E35" s="134">
        <v>1.5</v>
      </c>
      <c r="F35" s="106">
        <f>+$D$30*E35</f>
        <v>1500</v>
      </c>
      <c r="G35" s="106">
        <f>+Pryse!D21</f>
        <v>17</v>
      </c>
      <c r="H35" s="106">
        <f t="shared" si="6"/>
        <v>25.5</v>
      </c>
      <c r="I35" s="102"/>
    </row>
    <row r="36" spans="1:9" x14ac:dyDescent="0.3">
      <c r="A36" s="102"/>
      <c r="B36" s="136"/>
      <c r="C36" s="106" t="s">
        <v>10</v>
      </c>
      <c r="D36" s="117">
        <f>+$D$30*H36</f>
        <v>1250</v>
      </c>
      <c r="E36" s="134">
        <v>0.05</v>
      </c>
      <c r="F36" s="106">
        <f>+$D$30*E36</f>
        <v>50</v>
      </c>
      <c r="G36" s="106">
        <f>+Pryse!D22</f>
        <v>25</v>
      </c>
      <c r="H36" s="106">
        <f t="shared" si="6"/>
        <v>1.25</v>
      </c>
      <c r="I36" s="102"/>
    </row>
    <row r="37" spans="1:9" x14ac:dyDescent="0.3">
      <c r="A37" s="102"/>
      <c r="B37" s="105"/>
      <c r="C37" s="105" t="s">
        <v>13</v>
      </c>
      <c r="D37" s="133">
        <f>SUM(D32:D36)</f>
        <v>129150</v>
      </c>
      <c r="I37" s="102"/>
    </row>
    <row r="38" spans="1:9" x14ac:dyDescent="0.3">
      <c r="A38" s="102"/>
      <c r="B38" s="102"/>
      <c r="C38" s="102"/>
      <c r="D38" s="109"/>
      <c r="E38" s="102"/>
      <c r="F38" s="102"/>
      <c r="G38" s="102"/>
      <c r="H38" s="102"/>
      <c r="I38" s="102"/>
    </row>
    <row r="39" spans="1:9" x14ac:dyDescent="0.3">
      <c r="A39" s="102"/>
      <c r="B39" s="102"/>
      <c r="C39" s="102"/>
      <c r="D39" s="109"/>
      <c r="E39" s="102"/>
      <c r="F39" s="102"/>
      <c r="G39" s="102"/>
      <c r="H39" s="102"/>
      <c r="I39" s="102"/>
    </row>
    <row r="40" spans="1:9" x14ac:dyDescent="0.3">
      <c r="A40" s="102"/>
      <c r="B40" s="102"/>
      <c r="C40" s="102"/>
      <c r="D40" s="109"/>
      <c r="E40" s="102"/>
      <c r="F40" s="102"/>
      <c r="G40" s="102"/>
      <c r="H40" s="102"/>
      <c r="I40" s="10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workbookViewId="0">
      <selection activeCell="I18" sqref="I18"/>
    </sheetView>
  </sheetViews>
  <sheetFormatPr defaultRowHeight="14.4" x14ac:dyDescent="0.3"/>
  <cols>
    <col min="2" max="2" width="23" customWidth="1"/>
    <col min="3" max="3" width="22.6640625" bestFit="1" customWidth="1"/>
  </cols>
  <sheetData>
    <row r="1" spans="1:6" x14ac:dyDescent="0.3">
      <c r="A1" t="s">
        <v>48</v>
      </c>
    </row>
    <row r="4" spans="1:6" x14ac:dyDescent="0.3">
      <c r="A4" t="s">
        <v>49</v>
      </c>
    </row>
    <row r="5" spans="1:6" x14ac:dyDescent="0.3">
      <c r="A5" t="s">
        <v>50</v>
      </c>
      <c r="C5" t="s">
        <v>51</v>
      </c>
    </row>
    <row r="10" spans="1:6" x14ac:dyDescent="0.3">
      <c r="A10" s="3" t="s">
        <v>46</v>
      </c>
      <c r="B10" s="3" t="s">
        <v>59</v>
      </c>
      <c r="C10" s="3" t="s">
        <v>27</v>
      </c>
      <c r="D10" s="3" t="s">
        <v>5</v>
      </c>
      <c r="E10" s="3" t="s">
        <v>60</v>
      </c>
      <c r="F10" s="3" t="s">
        <v>61</v>
      </c>
    </row>
    <row r="11" spans="1:6" x14ac:dyDescent="0.3">
      <c r="A11" s="1">
        <v>12345</v>
      </c>
      <c r="B11" s="1"/>
      <c r="C11" s="1" t="s">
        <v>17</v>
      </c>
      <c r="D11" s="161">
        <v>90</v>
      </c>
      <c r="E11" s="1"/>
      <c r="F11" s="1"/>
    </row>
    <row r="12" spans="1:6" x14ac:dyDescent="0.3">
      <c r="A12" s="1">
        <f>A11+2</f>
        <v>12347</v>
      </c>
      <c r="B12" s="1"/>
      <c r="C12" s="1" t="s">
        <v>14</v>
      </c>
      <c r="D12" s="161">
        <v>220</v>
      </c>
      <c r="E12" s="1"/>
      <c r="F12" s="1"/>
    </row>
    <row r="13" spans="1:6" x14ac:dyDescent="0.3">
      <c r="A13" s="1">
        <f t="shared" ref="A13:A24" si="0">A12+2</f>
        <v>12349</v>
      </c>
      <c r="B13" s="1"/>
      <c r="C13" s="1" t="s">
        <v>1</v>
      </c>
      <c r="D13" s="161">
        <v>65</v>
      </c>
      <c r="E13" s="1"/>
      <c r="F13" s="1"/>
    </row>
    <row r="14" spans="1:6" x14ac:dyDescent="0.3">
      <c r="A14" s="1">
        <f t="shared" si="0"/>
        <v>12351</v>
      </c>
      <c r="B14" s="1"/>
      <c r="C14" s="1" t="s">
        <v>22</v>
      </c>
      <c r="D14" s="161">
        <v>60</v>
      </c>
      <c r="E14" s="1"/>
      <c r="F14" s="1"/>
    </row>
    <row r="15" spans="1:6" x14ac:dyDescent="0.3">
      <c r="A15" s="1">
        <f t="shared" si="0"/>
        <v>12353</v>
      </c>
      <c r="B15" s="1"/>
      <c r="C15" s="1" t="s">
        <v>18</v>
      </c>
      <c r="D15" s="161">
        <v>100</v>
      </c>
      <c r="E15" s="1"/>
      <c r="F15" s="1"/>
    </row>
    <row r="16" spans="1:6" x14ac:dyDescent="0.3">
      <c r="A16" s="1">
        <f t="shared" si="0"/>
        <v>12355</v>
      </c>
      <c r="B16" s="1"/>
      <c r="C16" s="1" t="s">
        <v>15</v>
      </c>
      <c r="D16" s="161">
        <v>130</v>
      </c>
      <c r="E16" s="1"/>
      <c r="F16" s="1"/>
    </row>
    <row r="17" spans="1:6" x14ac:dyDescent="0.3">
      <c r="A17" s="1">
        <f t="shared" si="0"/>
        <v>12357</v>
      </c>
      <c r="B17" s="1"/>
      <c r="C17" s="1" t="s">
        <v>21</v>
      </c>
      <c r="D17" s="161">
        <v>110</v>
      </c>
      <c r="E17" s="1"/>
      <c r="F17" s="1"/>
    </row>
    <row r="18" spans="1:6" x14ac:dyDescent="0.3">
      <c r="A18" s="1">
        <f t="shared" si="0"/>
        <v>12359</v>
      </c>
      <c r="B18" s="1"/>
      <c r="C18" s="1" t="s">
        <v>24</v>
      </c>
      <c r="D18" s="161">
        <v>90</v>
      </c>
      <c r="E18" s="1"/>
      <c r="F18" s="1"/>
    </row>
    <row r="19" spans="1:6" x14ac:dyDescent="0.3">
      <c r="A19" s="1">
        <f t="shared" si="0"/>
        <v>12361</v>
      </c>
      <c r="B19" s="1"/>
      <c r="C19" s="1" t="s">
        <v>25</v>
      </c>
      <c r="D19" s="161">
        <v>350</v>
      </c>
      <c r="E19" s="1"/>
      <c r="F19" s="1"/>
    </row>
    <row r="20" spans="1:6" x14ac:dyDescent="0.3">
      <c r="A20" s="1">
        <f t="shared" si="0"/>
        <v>12363</v>
      </c>
      <c r="B20" s="1"/>
      <c r="C20" s="1" t="s">
        <v>16</v>
      </c>
      <c r="D20" s="161">
        <v>90</v>
      </c>
      <c r="E20" s="1"/>
      <c r="F20" s="1"/>
    </row>
    <row r="21" spans="1:6" x14ac:dyDescent="0.3">
      <c r="A21" s="1">
        <f t="shared" si="0"/>
        <v>12365</v>
      </c>
      <c r="B21" s="1"/>
      <c r="C21" s="1" t="s">
        <v>9</v>
      </c>
      <c r="D21" s="161">
        <v>17</v>
      </c>
      <c r="E21" s="1"/>
      <c r="F21" s="1"/>
    </row>
    <row r="22" spans="1:6" x14ac:dyDescent="0.3">
      <c r="A22" s="1">
        <f t="shared" si="0"/>
        <v>12367</v>
      </c>
      <c r="B22" s="1"/>
      <c r="C22" s="1" t="s">
        <v>10</v>
      </c>
      <c r="D22" s="161">
        <v>25</v>
      </c>
      <c r="E22" s="1"/>
      <c r="F22" s="1"/>
    </row>
    <row r="23" spans="1:6" x14ac:dyDescent="0.3">
      <c r="A23" s="1">
        <f t="shared" si="0"/>
        <v>12369</v>
      </c>
      <c r="B23" s="1"/>
      <c r="C23" s="1" t="s">
        <v>20</v>
      </c>
      <c r="D23" s="161">
        <v>11818.181818181818</v>
      </c>
      <c r="E23" s="1"/>
      <c r="F23" s="1"/>
    </row>
    <row r="24" spans="1:6" x14ac:dyDescent="0.3">
      <c r="A24" s="1">
        <f t="shared" si="0"/>
        <v>12371</v>
      </c>
      <c r="B24" s="1"/>
      <c r="C24" s="1" t="s">
        <v>8</v>
      </c>
      <c r="D24" s="161">
        <v>50</v>
      </c>
      <c r="E24" s="1"/>
      <c r="F24" s="1"/>
    </row>
  </sheetData>
  <autoFilter ref="C10:D22" xr:uid="{00000000-0009-0000-0000-000004000000}">
    <sortState xmlns:xlrd2="http://schemas.microsoft.com/office/spreadsheetml/2017/richdata2" ref="C11:D23">
      <sortCondition ref="C10:C2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F5A178-4A3D-4AC7-8D3A-302AA83E4FD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Opsomming</vt:lpstr>
      <vt:lpstr>Winter bespuiting</vt:lpstr>
      <vt:lpstr>Vooropkoms</vt:lpstr>
      <vt:lpstr>Na-opkoms</vt:lpstr>
      <vt:lpstr>Pryse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Boshoff</dc:creator>
  <cp:lastModifiedBy>Justin Vermaak</cp:lastModifiedBy>
  <dcterms:created xsi:type="dcterms:W3CDTF">2017-02-17T06:19:11Z</dcterms:created>
  <dcterms:modified xsi:type="dcterms:W3CDTF">2022-07-13T09:09:02Z</dcterms:modified>
</cp:coreProperties>
</file>