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tmatteson\Dropbox\Consulting\"/>
    </mc:Choice>
  </mc:AlternateContent>
  <bookViews>
    <workbookView xWindow="0" yWindow="0" windowWidth="23040" windowHeight="9072" activeTab="3" xr2:uid="{00000000-000D-0000-FFFF-FFFF00000000}"/>
  </bookViews>
  <sheets>
    <sheet name="Herd 1" sheetId="2" r:id="rId1"/>
    <sheet name="Cash Flow 1" sheetId="1" r:id="rId2"/>
    <sheet name="Herd 2" sheetId="3" r:id="rId3"/>
    <sheet name="Cash Flow 2" sheetId="4" r:id="rId4"/>
  </sheets>
  <definedNames>
    <definedName name="_xlnm.Print_Area" localSheetId="1">'Cash Flow 1'!$A$1:$O$51</definedName>
    <definedName name="_xlnm.Print_Area" localSheetId="3">'Cash Flow 2'!$A$1:$O$53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4" l="1"/>
  <c r="N41" i="4"/>
  <c r="N40" i="4"/>
  <c r="N37" i="4"/>
  <c r="N29" i="4"/>
  <c r="N28" i="4"/>
  <c r="N27" i="4"/>
  <c r="N25" i="4"/>
  <c r="L38" i="4"/>
  <c r="K38" i="4"/>
  <c r="J38" i="4"/>
  <c r="I38" i="4"/>
  <c r="H38" i="4"/>
  <c r="E38" i="4"/>
  <c r="D38" i="4"/>
  <c r="N42" i="1"/>
  <c r="N41" i="1"/>
  <c r="N40" i="1"/>
  <c r="N37" i="1"/>
  <c r="N29" i="1"/>
  <c r="N28" i="1"/>
  <c r="N27" i="1"/>
  <c r="N25" i="1"/>
  <c r="D55" i="3" l="1"/>
  <c r="A68" i="3"/>
  <c r="C68" i="3"/>
  <c r="F7" i="4" s="1"/>
  <c r="G7" i="4" s="1"/>
  <c r="H7" i="4" s="1"/>
  <c r="I7" i="4" s="1"/>
  <c r="J7" i="4" s="1"/>
  <c r="K7" i="4" s="1"/>
  <c r="L7" i="4" s="1"/>
  <c r="M7" i="4" s="1"/>
  <c r="D59" i="3"/>
  <c r="D54" i="3"/>
  <c r="D48" i="3"/>
  <c r="B49" i="3"/>
  <c r="B50" i="3" s="1"/>
  <c r="B51" i="3" s="1"/>
  <c r="C32" i="3"/>
  <c r="C31" i="3"/>
  <c r="C30" i="3"/>
  <c r="C29" i="3"/>
  <c r="C28" i="3"/>
  <c r="C27" i="3"/>
  <c r="C26" i="3"/>
  <c r="D39" i="3"/>
  <c r="C39" i="3" s="1"/>
  <c r="D49" i="3" l="1"/>
  <c r="B52" i="3"/>
  <c r="D51" i="3"/>
  <c r="D50" i="3"/>
  <c r="B56" i="3"/>
  <c r="C33" i="3"/>
  <c r="B4" i="4" s="1"/>
  <c r="A33" i="3"/>
  <c r="A24" i="3"/>
  <c r="C4" i="4" l="1"/>
  <c r="D4" i="4" s="1"/>
  <c r="E4" i="4" s="1"/>
  <c r="F4" i="4" s="1"/>
  <c r="G4" i="4" s="1"/>
  <c r="H4" i="4" s="1"/>
  <c r="I4" i="4" s="1"/>
  <c r="J4" i="4" s="1"/>
  <c r="K4" i="4" s="1"/>
  <c r="B53" i="3"/>
  <c r="D53" i="3" s="1"/>
  <c r="D52" i="3"/>
  <c r="B57" i="3"/>
  <c r="D56" i="3"/>
  <c r="G38" i="4"/>
  <c r="F38" i="4"/>
  <c r="M5" i="4"/>
  <c r="L5" i="4"/>
  <c r="C24" i="3"/>
  <c r="B3" i="4" s="1"/>
  <c r="N38" i="4" l="1"/>
  <c r="B58" i="3"/>
  <c r="D57" i="3"/>
  <c r="C3" i="4"/>
  <c r="L38" i="1"/>
  <c r="K38" i="1"/>
  <c r="J38" i="1"/>
  <c r="I38" i="1"/>
  <c r="H38" i="1"/>
  <c r="G38" i="1"/>
  <c r="F38" i="1"/>
  <c r="M43" i="1"/>
  <c r="L43" i="1"/>
  <c r="K43" i="1"/>
  <c r="J43" i="1"/>
  <c r="I43" i="1"/>
  <c r="H43" i="1"/>
  <c r="G43" i="1"/>
  <c r="F43" i="1"/>
  <c r="E43" i="1"/>
  <c r="D43" i="1"/>
  <c r="C43" i="1"/>
  <c r="B43" i="1"/>
  <c r="M5" i="1"/>
  <c r="L5" i="1"/>
  <c r="N43" i="1" l="1"/>
  <c r="N38" i="1"/>
  <c r="B60" i="3"/>
  <c r="D58" i="3"/>
  <c r="D3" i="4"/>
  <c r="A49" i="2"/>
  <c r="A33" i="2"/>
  <c r="A26" i="2"/>
  <c r="A19" i="2"/>
  <c r="C49" i="2"/>
  <c r="C33" i="2"/>
  <c r="C26" i="2"/>
  <c r="B4" i="1" s="1"/>
  <c r="C19" i="2"/>
  <c r="B3" i="1" s="1"/>
  <c r="C3" i="1" s="1"/>
  <c r="D3" i="1" s="1"/>
  <c r="E3" i="1" s="1"/>
  <c r="F3" i="1" s="1"/>
  <c r="D35" i="3"/>
  <c r="C35" i="3" s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D32" i="2"/>
  <c r="D31" i="2"/>
  <c r="D30" i="2"/>
  <c r="D29" i="2"/>
  <c r="D28" i="2"/>
  <c r="B61" i="3" l="1"/>
  <c r="D60" i="3"/>
  <c r="B5" i="1"/>
  <c r="F7" i="1"/>
  <c r="G7" i="1" s="1"/>
  <c r="H7" i="1" s="1"/>
  <c r="I7" i="1" s="1"/>
  <c r="J7" i="1" s="1"/>
  <c r="K7" i="1" s="1"/>
  <c r="L7" i="1" s="1"/>
  <c r="M7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E3" i="4"/>
  <c r="G3" i="1"/>
  <c r="H3" i="1" s="1"/>
  <c r="I3" i="1" s="1"/>
  <c r="J3" i="1" s="1"/>
  <c r="K3" i="1" s="1"/>
  <c r="L3" i="1" s="1"/>
  <c r="M3" i="1" s="1"/>
  <c r="C5" i="1"/>
  <c r="D5" i="1" s="1"/>
  <c r="E5" i="1" s="1"/>
  <c r="F5" i="1" s="1"/>
  <c r="G5" i="1" s="1"/>
  <c r="H5" i="1" s="1"/>
  <c r="I5" i="1" s="1"/>
  <c r="J5" i="1" s="1"/>
  <c r="K5" i="1" s="1"/>
  <c r="D25" i="2"/>
  <c r="D24" i="2"/>
  <c r="D23" i="2"/>
  <c r="D22" i="2"/>
  <c r="D21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K31" i="1" l="1"/>
  <c r="N31" i="1" s="1"/>
  <c r="K23" i="1"/>
  <c r="N23" i="1" s="1"/>
  <c r="K12" i="1"/>
  <c r="K21" i="1" s="1"/>
  <c r="B62" i="3"/>
  <c r="D61" i="3"/>
  <c r="F3" i="4"/>
  <c r="F8" i="1"/>
  <c r="M8" i="1"/>
  <c r="L8" i="1"/>
  <c r="K8" i="1"/>
  <c r="J8" i="1"/>
  <c r="I8" i="1"/>
  <c r="H8" i="1"/>
  <c r="G8" i="1"/>
  <c r="E8" i="1"/>
  <c r="D8" i="1"/>
  <c r="C8" i="1"/>
  <c r="B8" i="1"/>
  <c r="N21" i="1" l="1"/>
  <c r="O31" i="1" s="1"/>
  <c r="B39" i="1"/>
  <c r="C39" i="1" s="1"/>
  <c r="B63" i="3"/>
  <c r="D62" i="3"/>
  <c r="B11" i="1"/>
  <c r="B32" i="1"/>
  <c r="B26" i="1"/>
  <c r="G11" i="1"/>
  <c r="G19" i="1" s="1"/>
  <c r="G20" i="1" s="1"/>
  <c r="G32" i="1"/>
  <c r="G26" i="1"/>
  <c r="K11" i="1"/>
  <c r="K16" i="1" s="1"/>
  <c r="K32" i="1"/>
  <c r="K26" i="1"/>
  <c r="C11" i="1"/>
  <c r="C16" i="1" s="1"/>
  <c r="C32" i="1"/>
  <c r="C26" i="1"/>
  <c r="H11" i="1"/>
  <c r="H19" i="1" s="1"/>
  <c r="H20" i="1" s="1"/>
  <c r="H32" i="1"/>
  <c r="H26" i="1"/>
  <c r="L11" i="1"/>
  <c r="L16" i="1" s="1"/>
  <c r="L32" i="1"/>
  <c r="L26" i="1"/>
  <c r="D11" i="1"/>
  <c r="D16" i="1" s="1"/>
  <c r="D32" i="1"/>
  <c r="D26" i="1"/>
  <c r="I11" i="1"/>
  <c r="I19" i="1" s="1"/>
  <c r="I20" i="1" s="1"/>
  <c r="I32" i="1"/>
  <c r="I26" i="1"/>
  <c r="M11" i="1"/>
  <c r="M16" i="1" s="1"/>
  <c r="M32" i="1"/>
  <c r="M26" i="1"/>
  <c r="E11" i="1"/>
  <c r="E19" i="1" s="1"/>
  <c r="E20" i="1" s="1"/>
  <c r="E32" i="1"/>
  <c r="E26" i="1"/>
  <c r="J11" i="1"/>
  <c r="J19" i="1" s="1"/>
  <c r="J32" i="1"/>
  <c r="J26" i="1"/>
  <c r="F11" i="1"/>
  <c r="F19" i="1" s="1"/>
  <c r="F20" i="1" s="1"/>
  <c r="F32" i="1"/>
  <c r="F26" i="1"/>
  <c r="G3" i="4"/>
  <c r="D36" i="3"/>
  <c r="C36" i="3" s="1"/>
  <c r="O23" i="1" l="1"/>
  <c r="C33" i="1"/>
  <c r="C35" i="1" s="1"/>
  <c r="N26" i="1"/>
  <c r="O26" i="1" s="1"/>
  <c r="D39" i="1"/>
  <c r="C44" i="1"/>
  <c r="L33" i="1"/>
  <c r="L35" i="1" s="1"/>
  <c r="N32" i="1"/>
  <c r="O32" i="1" s="1"/>
  <c r="O40" i="1"/>
  <c r="O29" i="1"/>
  <c r="O25" i="1"/>
  <c r="O43" i="1"/>
  <c r="O38" i="1"/>
  <c r="O28" i="1"/>
  <c r="O41" i="1"/>
  <c r="O21" i="1"/>
  <c r="O42" i="1"/>
  <c r="O37" i="1"/>
  <c r="O27" i="1"/>
  <c r="B44" i="1"/>
  <c r="B64" i="3"/>
  <c r="D63" i="3"/>
  <c r="F33" i="1"/>
  <c r="F35" i="1" s="1"/>
  <c r="I33" i="1"/>
  <c r="I35" i="1" s="1"/>
  <c r="M33" i="1"/>
  <c r="M35" i="1" s="1"/>
  <c r="H33" i="1"/>
  <c r="H35" i="1" s="1"/>
  <c r="B33" i="1"/>
  <c r="B35" i="1" s="1"/>
  <c r="J20" i="1"/>
  <c r="E30" i="1"/>
  <c r="E33" i="1" s="1"/>
  <c r="D33" i="1"/>
  <c r="K33" i="1"/>
  <c r="B16" i="1"/>
  <c r="G15" i="1" s="1"/>
  <c r="G24" i="1" s="1"/>
  <c r="H3" i="4"/>
  <c r="C46" i="1" l="1"/>
  <c r="B46" i="1"/>
  <c r="B51" i="1" s="1"/>
  <c r="C47" i="1" s="1"/>
  <c r="C51" i="1" s="1"/>
  <c r="D47" i="1" s="1"/>
  <c r="G33" i="1"/>
  <c r="G35" i="1" s="1"/>
  <c r="N24" i="1"/>
  <c r="O24" i="1" s="1"/>
  <c r="J30" i="1"/>
  <c r="N30" i="1" s="1"/>
  <c r="O30" i="1" s="1"/>
  <c r="E39" i="1"/>
  <c r="D44" i="1"/>
  <c r="D46" i="1" s="1"/>
  <c r="B65" i="3"/>
  <c r="D64" i="3"/>
  <c r="E35" i="1"/>
  <c r="K35" i="1"/>
  <c r="D35" i="1"/>
  <c r="I3" i="4"/>
  <c r="D37" i="3"/>
  <c r="C37" i="3" s="1"/>
  <c r="J33" i="1" l="1"/>
  <c r="N33" i="1" s="1"/>
  <c r="O33" i="1" s="1"/>
  <c r="F39" i="1"/>
  <c r="E44" i="1"/>
  <c r="B66" i="3"/>
  <c r="D65" i="3"/>
  <c r="D51" i="1"/>
  <c r="E47" i="1" s="1"/>
  <c r="J3" i="4"/>
  <c r="J35" i="1" l="1"/>
  <c r="N35" i="1" s="1"/>
  <c r="O35" i="1" s="1"/>
  <c r="E46" i="1"/>
  <c r="G39" i="1"/>
  <c r="F44" i="1"/>
  <c r="F46" i="1" s="1"/>
  <c r="B67" i="3"/>
  <c r="D67" i="3" s="1"/>
  <c r="D66" i="3"/>
  <c r="K3" i="4"/>
  <c r="D38" i="3"/>
  <c r="C38" i="3" s="1"/>
  <c r="H39" i="1" l="1"/>
  <c r="G44" i="1"/>
  <c r="E51" i="1"/>
  <c r="F47" i="1" s="1"/>
  <c r="F51" i="1" s="1"/>
  <c r="G47" i="1" s="1"/>
  <c r="L3" i="4"/>
  <c r="G46" i="1" l="1"/>
  <c r="G51" i="1" s="1"/>
  <c r="H47" i="1" s="1"/>
  <c r="I39" i="1"/>
  <c r="H44" i="1"/>
  <c r="H46" i="1" s="1"/>
  <c r="M3" i="4"/>
  <c r="D40" i="3"/>
  <c r="C40" i="3" s="1"/>
  <c r="H51" i="1" l="1"/>
  <c r="I47" i="1" s="1"/>
  <c r="J39" i="1"/>
  <c r="I44" i="1"/>
  <c r="K39" i="1" l="1"/>
  <c r="J44" i="1"/>
  <c r="J46" i="1" s="1"/>
  <c r="I46" i="1"/>
  <c r="M8" i="4"/>
  <c r="L8" i="4"/>
  <c r="D41" i="3"/>
  <c r="C41" i="3" s="1"/>
  <c r="I51" i="1" l="1"/>
  <c r="J47" i="1" s="1"/>
  <c r="J51" i="1" s="1"/>
  <c r="K47" i="1" s="1"/>
  <c r="L39" i="1"/>
  <c r="K44" i="1"/>
  <c r="M11" i="4"/>
  <c r="M16" i="4" s="1"/>
  <c r="M26" i="4"/>
  <c r="M32" i="4"/>
  <c r="L32" i="4"/>
  <c r="L11" i="4"/>
  <c r="L16" i="4" s="1"/>
  <c r="L26" i="4"/>
  <c r="D42" i="3"/>
  <c r="C42" i="3" s="1"/>
  <c r="A43" i="3" l="1"/>
  <c r="C43" i="3"/>
  <c r="B5" i="4" s="1"/>
  <c r="K46" i="1"/>
  <c r="K51" i="1" s="1"/>
  <c r="L47" i="1" s="1"/>
  <c r="M39" i="1"/>
  <c r="M44" i="1" s="1"/>
  <c r="M46" i="1" s="1"/>
  <c r="L44" i="1"/>
  <c r="L46" i="1" s="1"/>
  <c r="L33" i="4"/>
  <c r="M33" i="4"/>
  <c r="C5" i="4" l="1"/>
  <c r="B8" i="4"/>
  <c r="N39" i="1"/>
  <c r="O39" i="1" s="1"/>
  <c r="L51" i="1"/>
  <c r="M47" i="1" s="1"/>
  <c r="M51" i="1" s="1"/>
  <c r="B49" i="4" s="1"/>
  <c r="N46" i="1"/>
  <c r="O46" i="1" s="1"/>
  <c r="N44" i="1"/>
  <c r="O44" i="1" s="1"/>
  <c r="L35" i="4"/>
  <c r="M35" i="4"/>
  <c r="B11" i="4" l="1"/>
  <c r="B16" i="4" s="1"/>
  <c r="B32" i="4"/>
  <c r="B26" i="4"/>
  <c r="D5" i="4"/>
  <c r="C8" i="4"/>
  <c r="E5" i="4" l="1"/>
  <c r="D8" i="4"/>
  <c r="B33" i="4"/>
  <c r="C32" i="4"/>
  <c r="C11" i="4"/>
  <c r="C16" i="4" s="1"/>
  <c r="C26" i="4"/>
  <c r="C33" i="4" s="1"/>
  <c r="F5" i="4" l="1"/>
  <c r="E8" i="4"/>
  <c r="C35" i="4"/>
  <c r="B35" i="4"/>
  <c r="D32" i="4"/>
  <c r="D11" i="4"/>
  <c r="D16" i="4" s="1"/>
  <c r="D26" i="4"/>
  <c r="D33" i="4" s="1"/>
  <c r="G5" i="4" l="1"/>
  <c r="F8" i="4"/>
  <c r="D35" i="4"/>
  <c r="E11" i="4"/>
  <c r="E19" i="4" s="1"/>
  <c r="E20" i="4" s="1"/>
  <c r="E26" i="4"/>
  <c r="E32" i="4"/>
  <c r="H5" i="4" l="1"/>
  <c r="G8" i="4"/>
  <c r="F26" i="4"/>
  <c r="F32" i="4"/>
  <c r="F11" i="4"/>
  <c r="F19" i="4" s="1"/>
  <c r="F20" i="4" s="1"/>
  <c r="G26" i="4" l="1"/>
  <c r="G11" i="4"/>
  <c r="G19" i="4" s="1"/>
  <c r="G20" i="4" s="1"/>
  <c r="G32" i="4"/>
  <c r="F33" i="4"/>
  <c r="I5" i="4"/>
  <c r="H8" i="4"/>
  <c r="J5" i="4" l="1"/>
  <c r="I8" i="4"/>
  <c r="F35" i="4"/>
  <c r="H32" i="4"/>
  <c r="H11" i="4"/>
  <c r="H19" i="4" s="1"/>
  <c r="H20" i="4" s="1"/>
  <c r="H26" i="4"/>
  <c r="H33" i="4" s="1"/>
  <c r="K5" i="4" l="1"/>
  <c r="J8" i="4"/>
  <c r="H35" i="4"/>
  <c r="I11" i="4"/>
  <c r="I19" i="4" s="1"/>
  <c r="I20" i="4" s="1"/>
  <c r="I26" i="4"/>
  <c r="I32" i="4"/>
  <c r="K23" i="4" l="1"/>
  <c r="K12" i="4"/>
  <c r="K21" i="4" s="1"/>
  <c r="K31" i="4"/>
  <c r="N31" i="4" s="1"/>
  <c r="K8" i="4"/>
  <c r="I33" i="4"/>
  <c r="J11" i="4"/>
  <c r="J19" i="4" s="1"/>
  <c r="J32" i="4"/>
  <c r="J26" i="4"/>
  <c r="I35" i="4" l="1"/>
  <c r="N23" i="4"/>
  <c r="K33" i="4"/>
  <c r="K35" i="4" s="1"/>
  <c r="K32" i="4"/>
  <c r="N32" i="4" s="1"/>
  <c r="K11" i="4"/>
  <c r="K16" i="4" s="1"/>
  <c r="G15" i="4" s="1"/>
  <c r="G24" i="4" s="1"/>
  <c r="K26" i="4"/>
  <c r="N26" i="4" s="1"/>
  <c r="E30" i="4"/>
  <c r="J20" i="4"/>
  <c r="J30" i="4" s="1"/>
  <c r="J33" i="4" s="1"/>
  <c r="M39" i="4"/>
  <c r="M45" i="4" s="1"/>
  <c r="M47" i="4" s="1"/>
  <c r="I43" i="4"/>
  <c r="C43" i="4"/>
  <c r="L39" i="4"/>
  <c r="H43" i="4"/>
  <c r="C39" i="4"/>
  <c r="F43" i="4"/>
  <c r="J39" i="4"/>
  <c r="I39" i="4"/>
  <c r="I45" i="4" s="1"/>
  <c r="I47" i="4" s="1"/>
  <c r="E43" i="4"/>
  <c r="F39" i="4"/>
  <c r="F45" i="4" s="1"/>
  <c r="F47" i="4" s="1"/>
  <c r="H39" i="4"/>
  <c r="D43" i="4"/>
  <c r="G43" i="4"/>
  <c r="E39" i="4"/>
  <c r="E45" i="4" s="1"/>
  <c r="K39" i="4"/>
  <c r="J43" i="4"/>
  <c r="D39" i="4"/>
  <c r="N21" i="4"/>
  <c r="M43" i="4"/>
  <c r="K43" i="4"/>
  <c r="B43" i="4"/>
  <c r="L43" i="4"/>
  <c r="G39" i="4"/>
  <c r="G45" i="4" s="1"/>
  <c r="B39" i="4"/>
  <c r="O21" i="4" l="1"/>
  <c r="O38" i="4"/>
  <c r="O40" i="4"/>
  <c r="O28" i="4"/>
  <c r="O25" i="4"/>
  <c r="O37" i="4"/>
  <c r="O41" i="4"/>
  <c r="O29" i="4"/>
  <c r="O42" i="4"/>
  <c r="O27" i="4"/>
  <c r="N30" i="4"/>
  <c r="O30" i="4" s="1"/>
  <c r="E33" i="4"/>
  <c r="O31" i="4"/>
  <c r="N43" i="4"/>
  <c r="O43" i="4" s="1"/>
  <c r="D45" i="4"/>
  <c r="D47" i="4" s="1"/>
  <c r="C45" i="4"/>
  <c r="C47" i="4" s="1"/>
  <c r="O26" i="4"/>
  <c r="O23" i="4"/>
  <c r="N24" i="4"/>
  <c r="O24" i="4" s="1"/>
  <c r="G33" i="4"/>
  <c r="K45" i="4"/>
  <c r="K47" i="4" s="1"/>
  <c r="H45" i="4"/>
  <c r="H47" i="4" s="1"/>
  <c r="J45" i="4"/>
  <c r="L45" i="4"/>
  <c r="L47" i="4" s="1"/>
  <c r="J47" i="4"/>
  <c r="J35" i="4"/>
  <c r="O32" i="4"/>
  <c r="N39" i="4"/>
  <c r="O39" i="4" s="1"/>
  <c r="B45" i="4"/>
  <c r="N45" i="4" l="1"/>
  <c r="O45" i="4" s="1"/>
  <c r="B47" i="4"/>
  <c r="N33" i="4"/>
  <c r="O33" i="4" s="1"/>
  <c r="G47" i="4"/>
  <c r="G35" i="4"/>
  <c r="E47" i="4"/>
  <c r="E35" i="4"/>
  <c r="B53" i="4" l="1"/>
  <c r="C49" i="4" s="1"/>
  <c r="C53" i="4" s="1"/>
  <c r="D49" i="4" s="1"/>
  <c r="D53" i="4" s="1"/>
  <c r="E49" i="4" s="1"/>
  <c r="E53" i="4" s="1"/>
  <c r="F49" i="4" s="1"/>
  <c r="F53" i="4" s="1"/>
  <c r="G49" i="4" s="1"/>
  <c r="G53" i="4" s="1"/>
  <c r="H49" i="4" s="1"/>
  <c r="H53" i="4" s="1"/>
  <c r="I49" i="4" s="1"/>
  <c r="I53" i="4" s="1"/>
  <c r="J49" i="4" s="1"/>
  <c r="J53" i="4" s="1"/>
  <c r="K49" i="4" s="1"/>
  <c r="K53" i="4" s="1"/>
  <c r="L49" i="4" s="1"/>
  <c r="L53" i="4" s="1"/>
  <c r="M49" i="4" s="1"/>
  <c r="M53" i="4" s="1"/>
  <c r="N47" i="4"/>
  <c r="O47" i="4" s="1"/>
  <c r="N35" i="4"/>
  <c r="O3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Matteson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Breeding Age Animals</t>
        </r>
      </text>
    </comment>
    <comment ref="A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Replacements and Expansion</t>
        </r>
      </text>
    </comment>
    <comment ref="A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Animals intended for sale or slaughter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Matteson</author>
  </authors>
  <commentList>
    <comment ref="A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Breeding Age Animals</t>
        </r>
      </text>
    </comment>
    <comment ref="A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Replacements and Expansion</t>
        </r>
      </text>
    </comment>
    <comment ref="A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Animals intended for sale or slaughter</t>
        </r>
      </text>
    </comment>
  </commentList>
</comments>
</file>

<file path=xl/sharedStrings.xml><?xml version="1.0" encoding="utf-8"?>
<sst xmlns="http://schemas.openxmlformats.org/spreadsheetml/2006/main" count="227" uniqueCount="129">
  <si>
    <t>Herd Manager</t>
  </si>
  <si>
    <t>January</t>
  </si>
  <si>
    <t>Average Daily Gain</t>
  </si>
  <si>
    <t>Finished Price/ Lb (Boxed)</t>
  </si>
  <si>
    <t>Hay Required (Bales)</t>
  </si>
  <si>
    <t>SALES</t>
  </si>
  <si>
    <t>Transport</t>
  </si>
  <si>
    <t>Winter Hay - Forage</t>
  </si>
  <si>
    <t>Other Feed</t>
  </si>
  <si>
    <t>Protein &amp; Mineral</t>
  </si>
  <si>
    <t>Hired Labor</t>
  </si>
  <si>
    <t>Veterinary &amp; Supplies</t>
  </si>
  <si>
    <t>Utilities, Fuel, Oil</t>
  </si>
  <si>
    <t>Fencing &amp; Fence Repairs</t>
  </si>
  <si>
    <t>Slaughterhouse</t>
  </si>
  <si>
    <t>Misc</t>
  </si>
  <si>
    <t>TOTAL VARIABLE EXPENSES</t>
  </si>
  <si>
    <t>GROSS MARGIN</t>
  </si>
  <si>
    <t>FIXED COSTS</t>
  </si>
  <si>
    <t>Interest</t>
  </si>
  <si>
    <t>Facility &amp; Equip Repair</t>
  </si>
  <si>
    <t>Taxes</t>
  </si>
  <si>
    <t>Insurance</t>
  </si>
  <si>
    <t>Owner Draw</t>
  </si>
  <si>
    <t>TOTAL FIXED COSTS</t>
  </si>
  <si>
    <t>NET MARGIN</t>
  </si>
  <si>
    <t>Beginning Cash/ Checking</t>
  </si>
  <si>
    <t>Money Borrowed</t>
  </si>
  <si>
    <t>Money Repaid</t>
  </si>
  <si>
    <t>Capital Purchases</t>
  </si>
  <si>
    <t>Ending Cash/ Checking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</si>
  <si>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</si>
  <si>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</si>
  <si>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</si>
  <si>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</si>
  <si>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</si>
  <si>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</si>
  <si>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</si>
  <si>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</si>
  <si>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</si>
  <si>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</si>
  <si>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Decemeber</t>
  </si>
  <si>
    <t>Total</t>
  </si>
  <si>
    <t>% of Sales</t>
  </si>
  <si>
    <t>Cows (lbs)</t>
  </si>
  <si>
    <t>Heifers (lbs)</t>
  </si>
  <si>
    <t>Bull(s) (lbs)</t>
  </si>
  <si>
    <t>Calves (lbs)</t>
  </si>
  <si>
    <t>Herd</t>
  </si>
  <si>
    <t>DOB</t>
  </si>
  <si>
    <t>LBS</t>
  </si>
  <si>
    <t>Age in Days</t>
  </si>
  <si>
    <t>Zara</t>
  </si>
  <si>
    <t>Zetta</t>
  </si>
  <si>
    <t>Zan</t>
  </si>
  <si>
    <t>Zoe</t>
  </si>
  <si>
    <t>Agnes</t>
  </si>
  <si>
    <t>Aisling</t>
  </si>
  <si>
    <t>Beatrix</t>
  </si>
  <si>
    <t>Bridgit</t>
  </si>
  <si>
    <t>Blair</t>
  </si>
  <si>
    <t>Belen</t>
  </si>
  <si>
    <t>Claire</t>
  </si>
  <si>
    <t>Celeste</t>
  </si>
  <si>
    <t>Casey</t>
  </si>
  <si>
    <t>Cora</t>
  </si>
  <si>
    <t>Cat</t>
  </si>
  <si>
    <t>Daisy</t>
  </si>
  <si>
    <t>Diana</t>
  </si>
  <si>
    <t>Daphne</t>
  </si>
  <si>
    <t>Deidra</t>
  </si>
  <si>
    <t>Dory</t>
  </si>
  <si>
    <t xml:space="preserve">Today is: </t>
  </si>
  <si>
    <t>D01</t>
  </si>
  <si>
    <t>D02</t>
  </si>
  <si>
    <t>D03</t>
  </si>
  <si>
    <t>D04</t>
  </si>
  <si>
    <t>D05</t>
  </si>
  <si>
    <t>E01</t>
  </si>
  <si>
    <t>E02</t>
  </si>
  <si>
    <t>E03</t>
  </si>
  <si>
    <t>E05</t>
  </si>
  <si>
    <t>E06</t>
  </si>
  <si>
    <t>E07</t>
  </si>
  <si>
    <t>E08</t>
  </si>
  <si>
    <t>E09</t>
  </si>
  <si>
    <t>E11</t>
  </si>
  <si>
    <t>E12</t>
  </si>
  <si>
    <t>E13</t>
  </si>
  <si>
    <t>E14</t>
  </si>
  <si>
    <t>E15</t>
  </si>
  <si>
    <t>Buster</t>
  </si>
  <si>
    <t>E04</t>
  </si>
  <si>
    <t>Hay Costs</t>
  </si>
  <si>
    <t>Rest Period (days)</t>
  </si>
  <si>
    <t>Paddock Size (Acres/ 2 days)</t>
  </si>
  <si>
    <t>Hay Price/ 1100 lb Bale</t>
  </si>
  <si>
    <t>Misc Overhead</t>
  </si>
  <si>
    <t>Hanging Weight</t>
  </si>
  <si>
    <t>Daily Feed Required (DM lbs)</t>
  </si>
  <si>
    <t>Pasture Required (Acres/ Month)</t>
  </si>
  <si>
    <t>DM Yield/ Acre/ Rotation</t>
  </si>
  <si>
    <t>E10</t>
  </si>
  <si>
    <t>Heifers</t>
  </si>
  <si>
    <t>Steers</t>
  </si>
  <si>
    <t>Bull</t>
  </si>
  <si>
    <t>Calves</t>
  </si>
  <si>
    <t>F01</t>
  </si>
  <si>
    <t>F02</t>
  </si>
  <si>
    <t>F03</t>
  </si>
  <si>
    <t>F04</t>
  </si>
  <si>
    <t>F05</t>
  </si>
  <si>
    <t>F06</t>
  </si>
  <si>
    <t>F07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</si>
  <si>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</si>
  <si>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</si>
  <si>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</si>
  <si>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</si>
  <si>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</si>
  <si>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</si>
  <si>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</si>
  <si>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</si>
  <si>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</si>
  <si>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</si>
  <si>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</si>
  <si>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</si>
  <si>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F08</t>
  </si>
  <si>
    <t>Steers (lbs)</t>
  </si>
  <si>
    <t>Cut and Wrapped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</si>
</sst>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1" fillId="0" borderId="0" xfId="0" applyFont="1" applyAlignment="1">
      <alignment horizontal="center"/>
    </xf>
    <xf numFmtId="6" fontId="0" fillId="0" borderId="0" xfId="0" applyNumberFormat="1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8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44" fontId="0" fillId="0" borderId="0" xfId="1" applyNumberFormat="1" applyFont="1"/>
    <xf numFmtId="9" fontId="0" fillId="0" borderId="0" xfId="2" applyFont="1"/>
    <xf numFmtId="165" fontId="0" fillId="5" borderId="0" xfId="1" applyNumberFormat="1" applyFont="1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8" fontId="0" fillId="7" borderId="0" xfId="0" applyNumberFormat="1" applyFill="1"/>
    <xf numFmtId="165" fontId="0" fillId="7" borderId="0" xfId="0" applyNumberFormat="1" applyFill="1"/>
    <xf numFmtId="165" fontId="0" fillId="6" borderId="0" xfId="0" applyNumberFormat="1" applyFill="1"/>
    <xf numFmtId="0" fontId="0" fillId="5" borderId="0" xfId="0" applyFont="1" applyFill="1"/>
    <xf numFmtId="0" fontId="0" fillId="5" borderId="0" xfId="0" applyFill="1"/>
    <xf numFmtId="0" fontId="1" fillId="8" borderId="0" xfId="0" applyFont="1" applyFill="1"/>
    <xf numFmtId="165" fontId="0" fillId="8" borderId="0" xfId="0" applyNumberFormat="1" applyFill="1"/>
    <xf numFmtId="165" fontId="0" fillId="8" borderId="0" xfId="1" applyNumberFormat="1" applyFont="1" applyFill="1"/>
    <xf numFmtId="9" fontId="0" fillId="8" borderId="0" xfId="2" applyFont="1" applyFill="1"/>
    <xf numFmtId="0" fontId="0" fillId="8" borderId="0" xfId="0" applyFill="1"/>
    <xf numFmtId="9" fontId="1" fillId="7" borderId="0" xfId="2" applyFont="1" applyFill="1"/>
    <xf numFmtId="9" fontId="1" fillId="6" borderId="0" xfId="2" applyFont="1" applyFill="1"/>
    <xf numFmtId="165" fontId="1" fillId="7" borderId="0" xfId="1" applyNumberFormat="1" applyFont="1" applyFill="1"/>
    <xf numFmtId="165" fontId="1" fillId="6" borderId="0" xfId="1" applyNumberFormat="1" applyFont="1" applyFill="1"/>
    <xf numFmtId="8" fontId="0" fillId="8" borderId="0" xfId="0" applyNumberFormat="1" applyFill="1"/>
    <xf numFmtId="165" fontId="1" fillId="8" borderId="0" xfId="1" applyNumberFormat="1" applyFont="1" applyFill="1"/>
    <xf numFmtId="9" fontId="1" fillId="8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1"/>
  <sheetViews>
    <sheetView workbookViewId="0">
      <selection activeCell="B10" sqref="B10"/>
    </sheetView>
  </sheetViews>
  <sheetFormatPr defaultRowHeight="14.4" x14ac:dyDescent="0.3"/>
  <cols>
    <col min="2" max="2" width="10.5546875" bestFit="1" customWidth="1"/>
  </cols>
  <sheetData>
    <row r="2" spans="1:4" x14ac:dyDescent="0.3">
      <c r="A2" t="s">
        <v>72</v>
      </c>
      <c r="B2" s="9">
        <v>42735</v>
      </c>
    </row>
    <row r="3" spans="1:4" x14ac:dyDescent="0.3">
      <c r="B3" t="s">
        <v>49</v>
      </c>
      <c r="C3" t="s">
        <v>50</v>
      </c>
      <c r="D3" t="s">
        <v>51</v>
      </c>
    </row>
    <row r="4" spans="1:4" x14ac:dyDescent="0.3">
      <c r="A4" t="s">
        <v>52</v>
      </c>
      <c r="B4" s="9">
        <v>41030</v>
      </c>
      <c r="C4">
        <v>1168</v>
      </c>
      <c r="D4">
        <f>$B$2-B4</f>
        <v>1705</v>
      </c>
    </row>
    <row r="5" spans="1:4" x14ac:dyDescent="0.3">
      <c r="A5" t="s">
        <v>53</v>
      </c>
      <c r="B5" s="9">
        <v>41044</v>
      </c>
      <c r="C5">
        <v>1190</v>
      </c>
      <c r="D5">
        <f>$B$2-B5</f>
        <v>1691</v>
      </c>
    </row>
    <row r="6" spans="1:4" x14ac:dyDescent="0.3">
      <c r="A6" t="s">
        <v>54</v>
      </c>
      <c r="B6" s="9">
        <v>41027</v>
      </c>
      <c r="C6">
        <v>1168</v>
      </c>
      <c r="D6">
        <f t="shared" ref="D6:D18" si="0">$B$2-B6</f>
        <v>1708</v>
      </c>
    </row>
    <row r="7" spans="1:4" x14ac:dyDescent="0.3">
      <c r="A7" t="s">
        <v>55</v>
      </c>
      <c r="B7" s="9">
        <v>41056</v>
      </c>
      <c r="C7">
        <v>1170</v>
      </c>
      <c r="D7">
        <f t="shared" si="0"/>
        <v>1679</v>
      </c>
    </row>
    <row r="8" spans="1:4" x14ac:dyDescent="0.3">
      <c r="A8" t="s">
        <v>56</v>
      </c>
      <c r="B8" s="9">
        <v>41394</v>
      </c>
      <c r="C8">
        <v>1189</v>
      </c>
      <c r="D8">
        <f t="shared" si="0"/>
        <v>1341</v>
      </c>
    </row>
    <row r="9" spans="1:4" x14ac:dyDescent="0.3">
      <c r="A9" t="s">
        <v>57</v>
      </c>
      <c r="B9" s="9">
        <v>41409</v>
      </c>
      <c r="C9">
        <v>1171</v>
      </c>
      <c r="D9">
        <f t="shared" si="0"/>
        <v>1326</v>
      </c>
    </row>
    <row r="10" spans="1:4" x14ac:dyDescent="0.3">
      <c r="A10" t="s">
        <v>58</v>
      </c>
      <c r="B10" s="9">
        <v>41762</v>
      </c>
      <c r="C10">
        <v>1183</v>
      </c>
      <c r="D10">
        <f t="shared" si="0"/>
        <v>973</v>
      </c>
    </row>
    <row r="11" spans="1:4" x14ac:dyDescent="0.3">
      <c r="A11" t="s">
        <v>59</v>
      </c>
      <c r="B11" s="9">
        <v>41774</v>
      </c>
      <c r="C11">
        <v>1172</v>
      </c>
      <c r="D11">
        <f t="shared" si="0"/>
        <v>961</v>
      </c>
    </row>
    <row r="12" spans="1:4" x14ac:dyDescent="0.3">
      <c r="A12" t="s">
        <v>60</v>
      </c>
      <c r="B12" s="9">
        <v>41780</v>
      </c>
      <c r="C12">
        <v>1172</v>
      </c>
      <c r="D12">
        <f t="shared" si="0"/>
        <v>955</v>
      </c>
    </row>
    <row r="13" spans="1:4" x14ac:dyDescent="0.3">
      <c r="A13" t="s">
        <v>61</v>
      </c>
      <c r="B13" s="9">
        <v>41786</v>
      </c>
      <c r="C13">
        <v>1176</v>
      </c>
      <c r="D13">
        <f t="shared" si="0"/>
        <v>949</v>
      </c>
    </row>
    <row r="14" spans="1:4" x14ac:dyDescent="0.3">
      <c r="A14" t="s">
        <v>62</v>
      </c>
      <c r="B14" s="9">
        <v>42119</v>
      </c>
      <c r="C14">
        <v>950</v>
      </c>
      <c r="D14">
        <f t="shared" si="0"/>
        <v>616</v>
      </c>
    </row>
    <row r="15" spans="1:4" x14ac:dyDescent="0.3">
      <c r="A15" t="s">
        <v>63</v>
      </c>
      <c r="B15" s="9">
        <v>42126</v>
      </c>
      <c r="C15">
        <v>898</v>
      </c>
      <c r="D15">
        <f t="shared" si="0"/>
        <v>609</v>
      </c>
    </row>
    <row r="16" spans="1:4" x14ac:dyDescent="0.3">
      <c r="A16" t="s">
        <v>64</v>
      </c>
      <c r="B16" s="9">
        <v>42140</v>
      </c>
      <c r="C16">
        <v>874</v>
      </c>
      <c r="D16">
        <f t="shared" si="0"/>
        <v>595</v>
      </c>
    </row>
    <row r="17" spans="1:4" x14ac:dyDescent="0.3">
      <c r="A17" t="s">
        <v>65</v>
      </c>
      <c r="B17" s="9">
        <v>42141</v>
      </c>
      <c r="C17">
        <v>873</v>
      </c>
      <c r="D17">
        <f t="shared" si="0"/>
        <v>594</v>
      </c>
    </row>
    <row r="18" spans="1:4" x14ac:dyDescent="0.3">
      <c r="A18" t="s">
        <v>66</v>
      </c>
      <c r="B18" s="9">
        <v>42148</v>
      </c>
      <c r="C18">
        <v>890</v>
      </c>
      <c r="D18">
        <f t="shared" si="0"/>
        <v>587</v>
      </c>
    </row>
    <row r="19" spans="1:4" x14ac:dyDescent="0.3">
      <c r="A19">
        <f>COUNT(C4:C18)</f>
        <v>15</v>
      </c>
      <c r="C19">
        <f>SUM(C4:C18)</f>
        <v>16244</v>
      </c>
    </row>
    <row r="21" spans="1:4" x14ac:dyDescent="0.3">
      <c r="A21" t="s">
        <v>67</v>
      </c>
      <c r="B21" s="9">
        <v>42485</v>
      </c>
      <c r="C21">
        <v>538</v>
      </c>
      <c r="D21">
        <f t="shared" ref="D21:D25" si="1">$B$2-B21</f>
        <v>250</v>
      </c>
    </row>
    <row r="22" spans="1:4" x14ac:dyDescent="0.3">
      <c r="A22" t="s">
        <v>68</v>
      </c>
      <c r="B22" s="9">
        <v>42496</v>
      </c>
      <c r="C22">
        <v>515</v>
      </c>
      <c r="D22">
        <f t="shared" si="1"/>
        <v>239</v>
      </c>
    </row>
    <row r="23" spans="1:4" x14ac:dyDescent="0.3">
      <c r="A23" t="s">
        <v>69</v>
      </c>
      <c r="B23" s="9">
        <v>42503</v>
      </c>
      <c r="C23">
        <v>504</v>
      </c>
      <c r="D23">
        <f t="shared" si="1"/>
        <v>232</v>
      </c>
    </row>
    <row r="24" spans="1:4" x14ac:dyDescent="0.3">
      <c r="A24" t="s">
        <v>70</v>
      </c>
      <c r="B24" s="9">
        <v>42508</v>
      </c>
      <c r="C24">
        <v>486</v>
      </c>
      <c r="D24">
        <f t="shared" si="1"/>
        <v>227</v>
      </c>
    </row>
    <row r="25" spans="1:4" x14ac:dyDescent="0.3">
      <c r="A25" t="s">
        <v>71</v>
      </c>
      <c r="B25" s="9">
        <v>42521</v>
      </c>
      <c r="C25">
        <v>480</v>
      </c>
      <c r="D25">
        <f t="shared" si="1"/>
        <v>214</v>
      </c>
    </row>
    <row r="26" spans="1:4" x14ac:dyDescent="0.3">
      <c r="A26">
        <f>COUNT(C21:C25)</f>
        <v>5</v>
      </c>
      <c r="B26" s="9"/>
      <c r="C26">
        <f>SUM(C21:C25)</f>
        <v>2523</v>
      </c>
    </row>
    <row r="28" spans="1:4" x14ac:dyDescent="0.3">
      <c r="A28" t="s">
        <v>73</v>
      </c>
      <c r="B28" s="9">
        <v>42487</v>
      </c>
      <c r="C28">
        <v>648</v>
      </c>
      <c r="D28">
        <f t="shared" ref="D28:D32" si="2">$B$2-B28</f>
        <v>248</v>
      </c>
    </row>
    <row r="29" spans="1:4" x14ac:dyDescent="0.3">
      <c r="A29" t="s">
        <v>74</v>
      </c>
      <c r="B29" s="9">
        <v>42494</v>
      </c>
      <c r="C29">
        <v>646</v>
      </c>
      <c r="D29">
        <f t="shared" si="2"/>
        <v>241</v>
      </c>
    </row>
    <row r="30" spans="1:4" x14ac:dyDescent="0.3">
      <c r="A30" t="s">
        <v>75</v>
      </c>
      <c r="B30" s="9">
        <v>42506</v>
      </c>
      <c r="C30">
        <v>615</v>
      </c>
      <c r="D30">
        <f t="shared" si="2"/>
        <v>229</v>
      </c>
    </row>
    <row r="31" spans="1:4" x14ac:dyDescent="0.3">
      <c r="A31" t="s">
        <v>76</v>
      </c>
      <c r="B31" s="9">
        <v>42515</v>
      </c>
      <c r="C31">
        <v>589</v>
      </c>
      <c r="D31">
        <f t="shared" si="2"/>
        <v>220</v>
      </c>
    </row>
    <row r="32" spans="1:4" x14ac:dyDescent="0.3">
      <c r="A32" t="s">
        <v>77</v>
      </c>
      <c r="B32" s="9">
        <v>42517</v>
      </c>
      <c r="C32">
        <v>584</v>
      </c>
      <c r="D32">
        <f t="shared" si="2"/>
        <v>218</v>
      </c>
    </row>
    <row r="33" spans="1:3" x14ac:dyDescent="0.3">
      <c r="A33">
        <f>COUNT(C28:C32)</f>
        <v>5</v>
      </c>
      <c r="C33">
        <f>SUM(C28:C32)</f>
        <v>3082</v>
      </c>
    </row>
    <row r="34" spans="1:3" x14ac:dyDescent="0.3">
      <c r="A34" t="s">
        <v>78</v>
      </c>
      <c r="B34" s="9">
        <v>42856</v>
      </c>
      <c r="C34">
        <v>73</v>
      </c>
    </row>
    <row r="35" spans="1:3" x14ac:dyDescent="0.3">
      <c r="A35" t="s">
        <v>79</v>
      </c>
      <c r="B35" s="9">
        <f>B34+2</f>
        <v>42858</v>
      </c>
      <c r="C35">
        <v>87</v>
      </c>
    </row>
    <row r="36" spans="1:3" x14ac:dyDescent="0.3">
      <c r="A36" t="s">
        <v>80</v>
      </c>
      <c r="B36" s="9">
        <f t="shared" ref="B36:B41" si="3">B35+2</f>
        <v>42860</v>
      </c>
      <c r="C36">
        <v>84</v>
      </c>
    </row>
    <row r="37" spans="1:3" x14ac:dyDescent="0.3">
      <c r="A37" t="s">
        <v>92</v>
      </c>
      <c r="B37" s="9">
        <f t="shared" si="3"/>
        <v>42862</v>
      </c>
      <c r="C37">
        <v>77</v>
      </c>
    </row>
    <row r="38" spans="1:3" x14ac:dyDescent="0.3">
      <c r="A38" t="s">
        <v>81</v>
      </c>
      <c r="B38" s="9">
        <f t="shared" si="3"/>
        <v>42864</v>
      </c>
      <c r="C38">
        <v>90</v>
      </c>
    </row>
    <row r="39" spans="1:3" x14ac:dyDescent="0.3">
      <c r="A39" t="s">
        <v>82</v>
      </c>
      <c r="B39" s="9">
        <f t="shared" si="3"/>
        <v>42866</v>
      </c>
      <c r="C39">
        <v>76</v>
      </c>
    </row>
    <row r="40" spans="1:3" x14ac:dyDescent="0.3">
      <c r="A40" t="s">
        <v>83</v>
      </c>
      <c r="B40" s="9">
        <f t="shared" si="3"/>
        <v>42868</v>
      </c>
      <c r="C40">
        <v>82</v>
      </c>
    </row>
    <row r="41" spans="1:3" x14ac:dyDescent="0.3">
      <c r="A41" t="s">
        <v>84</v>
      </c>
      <c r="B41" s="9">
        <f t="shared" si="3"/>
        <v>42870</v>
      </c>
      <c r="C41">
        <v>89</v>
      </c>
    </row>
    <row r="42" spans="1:3" x14ac:dyDescent="0.3">
      <c r="A42" t="s">
        <v>85</v>
      </c>
      <c r="B42" s="9">
        <f>B41+2</f>
        <v>42872</v>
      </c>
      <c r="C42">
        <v>81</v>
      </c>
    </row>
    <row r="43" spans="1:3" x14ac:dyDescent="0.3">
      <c r="A43" t="s">
        <v>102</v>
      </c>
      <c r="B43" s="9">
        <f>B42+2</f>
        <v>42874</v>
      </c>
      <c r="C43">
        <v>80</v>
      </c>
    </row>
    <row r="44" spans="1:3" x14ac:dyDescent="0.3">
      <c r="A44" t="s">
        <v>86</v>
      </c>
      <c r="B44" s="9">
        <f t="shared" ref="B44:B48" si="4">B43+2</f>
        <v>42876</v>
      </c>
      <c r="C44">
        <v>75</v>
      </c>
    </row>
    <row r="45" spans="1:3" x14ac:dyDescent="0.3">
      <c r="A45" t="s">
        <v>87</v>
      </c>
      <c r="B45" s="9">
        <f t="shared" si="4"/>
        <v>42878</v>
      </c>
      <c r="C45">
        <v>73</v>
      </c>
    </row>
    <row r="46" spans="1:3" x14ac:dyDescent="0.3">
      <c r="A46" t="s">
        <v>88</v>
      </c>
      <c r="B46" s="9">
        <f t="shared" si="4"/>
        <v>42880</v>
      </c>
      <c r="C46">
        <v>71</v>
      </c>
    </row>
    <row r="47" spans="1:3" x14ac:dyDescent="0.3">
      <c r="A47" t="s">
        <v>89</v>
      </c>
      <c r="B47" s="9">
        <f t="shared" si="4"/>
        <v>42882</v>
      </c>
      <c r="C47">
        <v>74</v>
      </c>
    </row>
    <row r="48" spans="1:3" x14ac:dyDescent="0.3">
      <c r="A48" t="s">
        <v>90</v>
      </c>
      <c r="B48" s="9">
        <f t="shared" si="4"/>
        <v>42884</v>
      </c>
      <c r="C48">
        <v>71</v>
      </c>
    </row>
    <row r="49" spans="1:3" x14ac:dyDescent="0.3">
      <c r="A49">
        <f>COUNT(C34:C48)</f>
        <v>15</v>
      </c>
      <c r="C49">
        <f>SUM(C34:C48)</f>
        <v>1183</v>
      </c>
    </row>
    <row r="51" spans="1:3" x14ac:dyDescent="0.3">
      <c r="A51" t="s">
        <v>91</v>
      </c>
      <c r="B51" s="9">
        <v>41857</v>
      </c>
      <c r="C51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"/>
  <sheetViews>
    <sheetView topLeftCell="A32" workbookViewId="0">
      <selection sqref="A1:O51"/>
    </sheetView>
  </sheetViews>
  <sheetFormatPr defaultRowHeight="14.4" x14ac:dyDescent="0.3"/>
  <cols>
    <col min="1" max="1" width="27.88671875" bestFit="1" customWidth="1"/>
    <col min="2" max="15" width="11.44140625" customWidth="1"/>
  </cols>
  <sheetData>
    <row r="1" spans="1:15" x14ac:dyDescent="0.3">
      <c r="A1" s="1" t="s">
        <v>0</v>
      </c>
      <c r="B1" s="6" t="s">
        <v>1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</row>
    <row r="2" spans="1:15" x14ac:dyDescent="0.3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">
      <c r="A3" s="3" t="s">
        <v>44</v>
      </c>
      <c r="B3">
        <f>'Herd 1'!C19</f>
        <v>16244</v>
      </c>
      <c r="C3">
        <f>B3</f>
        <v>16244</v>
      </c>
      <c r="D3">
        <f t="shared" ref="D3:M3" si="0">C3</f>
        <v>16244</v>
      </c>
      <c r="E3">
        <f t="shared" si="0"/>
        <v>16244</v>
      </c>
      <c r="F3">
        <f t="shared" si="0"/>
        <v>16244</v>
      </c>
      <c r="G3">
        <f t="shared" si="0"/>
        <v>16244</v>
      </c>
      <c r="H3">
        <f t="shared" si="0"/>
        <v>16244</v>
      </c>
      <c r="I3">
        <f t="shared" si="0"/>
        <v>16244</v>
      </c>
      <c r="J3">
        <f t="shared" si="0"/>
        <v>16244</v>
      </c>
      <c r="K3">
        <f t="shared" si="0"/>
        <v>16244</v>
      </c>
      <c r="L3">
        <f t="shared" si="0"/>
        <v>16244</v>
      </c>
      <c r="M3">
        <f t="shared" si="0"/>
        <v>16244</v>
      </c>
    </row>
    <row r="4" spans="1:15" x14ac:dyDescent="0.3">
      <c r="A4" s="3" t="s">
        <v>45</v>
      </c>
      <c r="B4">
        <f>'Herd 1'!C26</f>
        <v>2523</v>
      </c>
      <c r="C4">
        <f>('Herd 1'!$A$33*'Cash Flow 1'!B9*30)+B4</f>
        <v>2523</v>
      </c>
      <c r="D4">
        <f>('Herd 1'!$A$26*'Cash Flow 1'!C10*30)+C4</f>
        <v>2748</v>
      </c>
      <c r="E4">
        <f>('Herd 1'!$A$26*'Cash Flow 1'!D10*30)+D4</f>
        <v>2973</v>
      </c>
      <c r="F4">
        <f>('Herd 1'!$A$26*'Cash Flow 1'!E10*30)+E4</f>
        <v>3273</v>
      </c>
      <c r="G4">
        <f>('Herd 1'!$A$26*'Cash Flow 1'!F10*30)+F4</f>
        <v>3573</v>
      </c>
      <c r="H4">
        <f>('Herd 1'!$A$26*'Cash Flow 1'!G10*30)+G4</f>
        <v>3873</v>
      </c>
      <c r="I4">
        <f>('Herd 1'!$A$26*'Cash Flow 1'!H10*30)+H4</f>
        <v>4173</v>
      </c>
      <c r="J4">
        <f>('Herd 1'!$A$26*'Cash Flow 1'!I10*30)+I4</f>
        <v>4473</v>
      </c>
      <c r="K4">
        <f>('Herd 1'!$A$26*'Cash Flow 1'!J10*30)+J4</f>
        <v>4773</v>
      </c>
      <c r="L4">
        <f>('Herd 1'!$A$26*'Cash Flow 1'!K10*30)+K4</f>
        <v>5073</v>
      </c>
      <c r="M4">
        <f>('Herd 1'!$A$26*'Cash Flow 1'!L10*30)+L4</f>
        <v>5373</v>
      </c>
    </row>
    <row r="5" spans="1:15" x14ac:dyDescent="0.3">
      <c r="A5" s="3" t="s">
        <v>127</v>
      </c>
      <c r="B5">
        <f>'Herd 1'!C33</f>
        <v>3082</v>
      </c>
      <c r="C5">
        <f>('Herd 1'!$A$33*'Cash Flow 1'!B10*30)+B5</f>
        <v>3307</v>
      </c>
      <c r="D5">
        <f>('Herd 1'!$A$33*'Cash Flow 1'!C10*30)+C5</f>
        <v>3532</v>
      </c>
      <c r="E5">
        <f>('Herd 1'!$A$33*'Cash Flow 1'!D10*30)+D5</f>
        <v>3757</v>
      </c>
      <c r="F5">
        <f>('Herd 1'!$A$33*'Cash Flow 1'!E10*30)+E5</f>
        <v>4057</v>
      </c>
      <c r="G5">
        <f>('Herd 1'!$A$33*'Cash Flow 1'!F10*30)+F5</f>
        <v>4357</v>
      </c>
      <c r="H5">
        <f>('Herd 1'!$A$33*'Cash Flow 1'!G10*30)+G5</f>
        <v>4657</v>
      </c>
      <c r="I5">
        <f>('Herd 1'!$A$33*'Cash Flow 1'!H10*30)+H5</f>
        <v>4957</v>
      </c>
      <c r="J5">
        <f>('Herd 1'!$A$33*'Cash Flow 1'!I10*30)+I5</f>
        <v>5257</v>
      </c>
      <c r="K5">
        <f>('Herd 1'!$A$33*'Cash Flow 1'!J10*30)+J5</f>
        <v>5557</v>
      </c>
      <c r="L5">
        <f>'Herd 1'!J33*'Cash Flow 1'!K10*30</f>
        <v>0</v>
      </c>
      <c r="M5">
        <f>'Herd 1'!K33*'Cash Flow 1'!L10*30</f>
        <v>0</v>
      </c>
    </row>
    <row r="6" spans="1:15" x14ac:dyDescent="0.3">
      <c r="A6" s="3" t="s">
        <v>46</v>
      </c>
      <c r="B6">
        <v>2100</v>
      </c>
      <c r="C6">
        <v>2100</v>
      </c>
      <c r="D6">
        <v>2100</v>
      </c>
      <c r="E6">
        <v>2100</v>
      </c>
      <c r="F6">
        <v>2100</v>
      </c>
      <c r="G6">
        <v>2100</v>
      </c>
      <c r="H6">
        <v>2100</v>
      </c>
      <c r="I6">
        <v>2100</v>
      </c>
      <c r="J6">
        <v>2100</v>
      </c>
      <c r="K6">
        <v>2100</v>
      </c>
      <c r="L6">
        <v>2100</v>
      </c>
      <c r="M6">
        <v>2100</v>
      </c>
    </row>
    <row r="7" spans="1:15" x14ac:dyDescent="0.3">
      <c r="A7" s="3" t="s">
        <v>47</v>
      </c>
      <c r="F7">
        <f>'Herd 1'!C49</f>
        <v>1183</v>
      </c>
      <c r="G7">
        <f>('Herd 1'!$A$49*'Cash Flow 1'!F10*30)+F7</f>
        <v>2083</v>
      </c>
      <c r="H7">
        <f>('Herd 1'!$A$49*'Cash Flow 1'!G10*30)+G7</f>
        <v>2983</v>
      </c>
      <c r="I7">
        <f>('Herd 1'!$A$49*'Cash Flow 1'!H10*30)+H7</f>
        <v>3883</v>
      </c>
      <c r="J7">
        <f>('Herd 1'!$A$49*'Cash Flow 1'!I10*30)+I7</f>
        <v>4783</v>
      </c>
      <c r="K7">
        <f>('Herd 1'!$A$49*'Cash Flow 1'!J10*30)+J7</f>
        <v>5683</v>
      </c>
      <c r="L7">
        <f>('Herd 1'!$A$49*'Cash Flow 1'!K10*30)+K7</f>
        <v>6583</v>
      </c>
      <c r="M7">
        <f>('Herd 1'!$A$49*'Cash Flow 1'!L10*30)+L7</f>
        <v>7483</v>
      </c>
    </row>
    <row r="8" spans="1:15" x14ac:dyDescent="0.3">
      <c r="A8" s="8" t="s">
        <v>48</v>
      </c>
      <c r="B8">
        <f>SUM(B3:B7)</f>
        <v>23949</v>
      </c>
      <c r="C8">
        <f t="shared" ref="C8:M8" si="1">SUM(C3:C7)</f>
        <v>24174</v>
      </c>
      <c r="D8">
        <f t="shared" si="1"/>
        <v>24624</v>
      </c>
      <c r="E8">
        <f t="shared" si="1"/>
        <v>25074</v>
      </c>
      <c r="F8">
        <f>SUM(F3:F7)</f>
        <v>26857</v>
      </c>
      <c r="G8">
        <f t="shared" si="1"/>
        <v>28357</v>
      </c>
      <c r="H8">
        <f t="shared" si="1"/>
        <v>29857</v>
      </c>
      <c r="I8">
        <f t="shared" si="1"/>
        <v>31357</v>
      </c>
      <c r="J8">
        <f t="shared" si="1"/>
        <v>32857</v>
      </c>
      <c r="K8">
        <f t="shared" si="1"/>
        <v>34357</v>
      </c>
      <c r="L8">
        <f t="shared" si="1"/>
        <v>30000</v>
      </c>
      <c r="M8">
        <f t="shared" si="1"/>
        <v>31200</v>
      </c>
    </row>
    <row r="9" spans="1:15" x14ac:dyDescent="0.3">
      <c r="A9" s="3"/>
    </row>
    <row r="10" spans="1:15" x14ac:dyDescent="0.3">
      <c r="A10" s="3" t="s">
        <v>2</v>
      </c>
      <c r="B10" s="10">
        <v>1.5</v>
      </c>
      <c r="C10" s="10">
        <v>1.5</v>
      </c>
      <c r="D10" s="10">
        <v>1.5</v>
      </c>
      <c r="E10" s="10">
        <v>2</v>
      </c>
      <c r="F10" s="10">
        <v>2</v>
      </c>
      <c r="G10" s="10">
        <v>2</v>
      </c>
      <c r="H10" s="10">
        <v>2</v>
      </c>
      <c r="I10" s="10">
        <v>2</v>
      </c>
      <c r="J10" s="10">
        <v>2</v>
      </c>
      <c r="K10" s="10">
        <v>2</v>
      </c>
      <c r="L10" s="10">
        <v>2</v>
      </c>
      <c r="M10" s="10">
        <v>1.5</v>
      </c>
    </row>
    <row r="11" spans="1:15" x14ac:dyDescent="0.3">
      <c r="A11" s="3" t="s">
        <v>99</v>
      </c>
      <c r="B11" s="10">
        <f>(B8*0.0275)</f>
        <v>658.59749999999997</v>
      </c>
      <c r="C11" s="10">
        <f t="shared" ref="C11:M11" si="2">(C8*0.0275)</f>
        <v>664.78499999999997</v>
      </c>
      <c r="D11" s="10">
        <f t="shared" si="2"/>
        <v>677.16</v>
      </c>
      <c r="E11" s="10">
        <f t="shared" si="2"/>
        <v>689.53499999999997</v>
      </c>
      <c r="F11" s="10">
        <f t="shared" si="2"/>
        <v>738.5675</v>
      </c>
      <c r="G11" s="10">
        <f t="shared" si="2"/>
        <v>779.8175</v>
      </c>
      <c r="H11" s="10">
        <f t="shared" si="2"/>
        <v>821.0675</v>
      </c>
      <c r="I11" s="10">
        <f t="shared" si="2"/>
        <v>862.3175</v>
      </c>
      <c r="J11" s="10">
        <f t="shared" si="2"/>
        <v>903.5675</v>
      </c>
      <c r="K11" s="10">
        <f t="shared" si="2"/>
        <v>944.8175</v>
      </c>
      <c r="L11" s="10">
        <f t="shared" si="2"/>
        <v>825</v>
      </c>
      <c r="M11" s="10">
        <f t="shared" si="2"/>
        <v>858</v>
      </c>
    </row>
    <row r="12" spans="1:15" x14ac:dyDescent="0.3">
      <c r="A12" s="3" t="s">
        <v>128</v>
      </c>
      <c r="K12">
        <f>(K5*0.6)*0.85</f>
        <v>2834.0699999999997</v>
      </c>
    </row>
    <row r="13" spans="1:15" x14ac:dyDescent="0.3">
      <c r="A13" s="3" t="s">
        <v>3</v>
      </c>
      <c r="K13" s="11">
        <v>7.25</v>
      </c>
    </row>
    <row r="14" spans="1:15" x14ac:dyDescent="0.3">
      <c r="A14" s="3" t="s">
        <v>96</v>
      </c>
      <c r="G14" s="7">
        <v>70</v>
      </c>
    </row>
    <row r="15" spans="1:15" x14ac:dyDescent="0.3">
      <c r="A15" s="3" t="s">
        <v>93</v>
      </c>
      <c r="B15" s="7"/>
      <c r="G15" s="7">
        <f>SUM(B16:M16)*G14</f>
        <v>10395.24705882353</v>
      </c>
    </row>
    <row r="16" spans="1:15" x14ac:dyDescent="0.3">
      <c r="A16" s="3" t="s">
        <v>4</v>
      </c>
      <c r="B16" s="10">
        <f>(B11*30)/(1100*0.85)</f>
        <v>21.131470588235292</v>
      </c>
      <c r="C16" s="10">
        <f>(C11*30)/(1100*0.85)</f>
        <v>21.33</v>
      </c>
      <c r="D16" s="10">
        <f>(D11*30)/(1100*0.85)</f>
        <v>21.727058823529411</v>
      </c>
      <c r="E16" s="10"/>
      <c r="K16" s="10">
        <f>(K11*30)/(1100*0.85)</f>
        <v>30.315000000000001</v>
      </c>
      <c r="L16" s="10">
        <f>(L11*30)/(1100*0.85)</f>
        <v>26.470588235294116</v>
      </c>
      <c r="M16" s="10">
        <f>(M11*30)/(1100*0.85)</f>
        <v>27.529411764705884</v>
      </c>
    </row>
    <row r="17" spans="1:15" x14ac:dyDescent="0.3">
      <c r="A17" s="3" t="s">
        <v>101</v>
      </c>
      <c r="E17">
        <v>800</v>
      </c>
      <c r="F17">
        <v>800</v>
      </c>
      <c r="G17">
        <v>800</v>
      </c>
      <c r="H17">
        <v>800</v>
      </c>
      <c r="I17">
        <v>800</v>
      </c>
      <c r="J17">
        <v>800</v>
      </c>
    </row>
    <row r="18" spans="1:15" x14ac:dyDescent="0.3">
      <c r="A18" s="3" t="s">
        <v>94</v>
      </c>
      <c r="E18">
        <v>14</v>
      </c>
      <c r="F18">
        <v>18</v>
      </c>
      <c r="G18">
        <v>24</v>
      </c>
      <c r="H18">
        <v>30</v>
      </c>
      <c r="I18">
        <v>36</v>
      </c>
      <c r="J18">
        <v>42</v>
      </c>
    </row>
    <row r="19" spans="1:15" x14ac:dyDescent="0.3">
      <c r="A19" s="3" t="s">
        <v>95</v>
      </c>
      <c r="E19" s="10">
        <f t="shared" ref="E19:J19" si="3">(E11*2)/E17</f>
        <v>1.7238374999999999</v>
      </c>
      <c r="F19" s="10">
        <f t="shared" si="3"/>
        <v>1.84641875</v>
      </c>
      <c r="G19" s="10">
        <f t="shared" si="3"/>
        <v>1.9495437499999999</v>
      </c>
      <c r="H19" s="10">
        <f t="shared" si="3"/>
        <v>2.05266875</v>
      </c>
      <c r="I19" s="10">
        <f t="shared" si="3"/>
        <v>2.15579375</v>
      </c>
      <c r="J19" s="10">
        <f t="shared" si="3"/>
        <v>2.2589187499999999</v>
      </c>
    </row>
    <row r="20" spans="1:15" x14ac:dyDescent="0.3">
      <c r="A20" s="3" t="s">
        <v>100</v>
      </c>
      <c r="E20" s="10">
        <f t="shared" ref="E20:J20" si="4">((E18/2)+1)*E19</f>
        <v>13.790699999999999</v>
      </c>
      <c r="F20" s="10">
        <f t="shared" si="4"/>
        <v>18.464187500000001</v>
      </c>
      <c r="G20" s="10">
        <f t="shared" si="4"/>
        <v>25.344068749999998</v>
      </c>
      <c r="H20" s="10">
        <f t="shared" si="4"/>
        <v>32.842700000000001</v>
      </c>
      <c r="I20" s="10">
        <f t="shared" si="4"/>
        <v>40.960081250000002</v>
      </c>
      <c r="J20" s="10">
        <f t="shared" si="4"/>
        <v>49.696212499999994</v>
      </c>
    </row>
    <row r="21" spans="1:15" x14ac:dyDescent="0.3">
      <c r="A21" s="18" t="s">
        <v>5</v>
      </c>
      <c r="B21" s="19"/>
      <c r="C21" s="19"/>
      <c r="D21" s="19"/>
      <c r="E21" s="19"/>
      <c r="F21" s="19"/>
      <c r="G21" s="19"/>
      <c r="H21" s="19"/>
      <c r="I21" s="19"/>
      <c r="J21" s="19"/>
      <c r="K21" s="20">
        <f>K12*K13</f>
        <v>20547.0075</v>
      </c>
      <c r="L21" s="19"/>
      <c r="M21" s="19"/>
      <c r="N21" s="32">
        <f>SUM(B21:M21)</f>
        <v>20547.0075</v>
      </c>
      <c r="O21" s="30">
        <f>N21/$N$21</f>
        <v>1</v>
      </c>
    </row>
    <row r="22" spans="1:15" s="29" customFormat="1" x14ac:dyDescent="0.3">
      <c r="A22" s="25"/>
      <c r="K22" s="34"/>
      <c r="N22" s="27"/>
      <c r="O22" s="28"/>
    </row>
    <row r="23" spans="1:15" x14ac:dyDescent="0.3">
      <c r="A23" s="4" t="s">
        <v>6</v>
      </c>
      <c r="B23" s="12"/>
      <c r="C23" s="12"/>
      <c r="D23" s="12"/>
      <c r="E23" s="12"/>
      <c r="F23" s="12"/>
      <c r="G23" s="12"/>
      <c r="H23" s="12"/>
      <c r="I23" s="12"/>
      <c r="J23" s="12"/>
      <c r="K23" s="12">
        <f>(100*0.00065)*K5</f>
        <v>361.20499999999998</v>
      </c>
      <c r="L23" s="14"/>
      <c r="M23" s="12"/>
      <c r="N23" s="12">
        <f t="shared" ref="N23:N46" si="5">SUM(B23:M23)</f>
        <v>361.20499999999998</v>
      </c>
      <c r="O23" s="15">
        <f>N23/$N$21</f>
        <v>1.7579445571331981E-2</v>
      </c>
    </row>
    <row r="24" spans="1:15" x14ac:dyDescent="0.3">
      <c r="A24" s="4" t="s">
        <v>7</v>
      </c>
      <c r="B24" s="12"/>
      <c r="C24" s="12"/>
      <c r="D24" s="12"/>
      <c r="E24" s="12"/>
      <c r="F24" s="12"/>
      <c r="G24" s="12">
        <f>G15</f>
        <v>10395.24705882353</v>
      </c>
      <c r="H24" s="12"/>
      <c r="I24" s="12"/>
      <c r="J24" s="12"/>
      <c r="K24" s="12"/>
      <c r="L24" s="12"/>
      <c r="M24" s="12"/>
      <c r="N24" s="12">
        <f t="shared" si="5"/>
        <v>10395.24705882353</v>
      </c>
      <c r="O24" s="15">
        <f>N24/$N$21</f>
        <v>0.50592511142187158</v>
      </c>
    </row>
    <row r="25" spans="1:15" x14ac:dyDescent="0.3">
      <c r="A25" s="4" t="s">
        <v>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>
        <f t="shared" si="5"/>
        <v>0</v>
      </c>
      <c r="O25" s="15">
        <f>N25/$N$21</f>
        <v>0</v>
      </c>
    </row>
    <row r="26" spans="1:15" x14ac:dyDescent="0.3">
      <c r="A26" s="4" t="s">
        <v>9</v>
      </c>
      <c r="B26" s="12">
        <f>((B8*0.000182)*0.5684)*30</f>
        <v>74.324859336000003</v>
      </c>
      <c r="C26" s="12">
        <f t="shared" ref="C26:M26" si="6">((C8*0.000182)*0.5684)*30</f>
        <v>75.023138735999993</v>
      </c>
      <c r="D26" s="12">
        <f t="shared" si="6"/>
        <v>76.419697536000015</v>
      </c>
      <c r="E26" s="12">
        <f t="shared" si="6"/>
        <v>77.816256336000009</v>
      </c>
      <c r="F26" s="12">
        <f t="shared" si="6"/>
        <v>83.349732648</v>
      </c>
      <c r="G26" s="12">
        <f t="shared" si="6"/>
        <v>88.004928648000018</v>
      </c>
      <c r="H26" s="12">
        <f t="shared" si="6"/>
        <v>92.660124648000007</v>
      </c>
      <c r="I26" s="12">
        <f t="shared" si="6"/>
        <v>97.315320648000011</v>
      </c>
      <c r="J26" s="12">
        <f t="shared" si="6"/>
        <v>101.97051664800001</v>
      </c>
      <c r="K26" s="12">
        <f t="shared" si="6"/>
        <v>106.625712648</v>
      </c>
      <c r="L26" s="12">
        <f t="shared" si="6"/>
        <v>93.103920000000002</v>
      </c>
      <c r="M26" s="12">
        <f t="shared" si="6"/>
        <v>96.828076800000005</v>
      </c>
      <c r="N26" s="12">
        <f t="shared" si="5"/>
        <v>1063.4422846320001</v>
      </c>
      <c r="O26" s="15">
        <f t="shared" ref="O26:O46" si="7">N26/$N$21</f>
        <v>5.1756553095724529E-2</v>
      </c>
    </row>
    <row r="27" spans="1:15" x14ac:dyDescent="0.3">
      <c r="A27" s="4" t="s">
        <v>10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>
        <f t="shared" si="5"/>
        <v>0</v>
      </c>
      <c r="O27" s="15">
        <f t="shared" si="7"/>
        <v>0</v>
      </c>
    </row>
    <row r="28" spans="1:15" x14ac:dyDescent="0.3">
      <c r="A28" s="4" t="s">
        <v>11</v>
      </c>
      <c r="B28" s="12">
        <v>250</v>
      </c>
      <c r="C28" s="12"/>
      <c r="D28" s="12"/>
      <c r="E28" s="12">
        <v>250</v>
      </c>
      <c r="F28" s="12"/>
      <c r="G28" s="12"/>
      <c r="H28" s="12">
        <v>250</v>
      </c>
      <c r="I28" s="12"/>
      <c r="J28" s="12"/>
      <c r="K28" s="12">
        <v>250</v>
      </c>
      <c r="L28" s="12"/>
      <c r="M28" s="12"/>
      <c r="N28" s="12">
        <f t="shared" si="5"/>
        <v>1000</v>
      </c>
      <c r="O28" s="15">
        <f t="shared" si="7"/>
        <v>4.8668887671355548E-2</v>
      </c>
    </row>
    <row r="29" spans="1:15" x14ac:dyDescent="0.3">
      <c r="A29" s="4" t="s">
        <v>12</v>
      </c>
      <c r="B29" s="12">
        <v>40</v>
      </c>
      <c r="C29" s="12">
        <v>40</v>
      </c>
      <c r="D29" s="12">
        <v>40</v>
      </c>
      <c r="E29" s="12">
        <v>40</v>
      </c>
      <c r="F29" s="12">
        <v>40</v>
      </c>
      <c r="G29" s="12">
        <v>40</v>
      </c>
      <c r="H29" s="12">
        <v>40</v>
      </c>
      <c r="I29" s="12">
        <v>40</v>
      </c>
      <c r="J29" s="12">
        <v>40</v>
      </c>
      <c r="K29" s="12">
        <v>40</v>
      </c>
      <c r="L29" s="12">
        <v>40</v>
      </c>
      <c r="M29" s="12">
        <v>40</v>
      </c>
      <c r="N29" s="12">
        <f t="shared" si="5"/>
        <v>480</v>
      </c>
      <c r="O29" s="15">
        <f t="shared" si="7"/>
        <v>2.3361066082250664E-2</v>
      </c>
    </row>
    <row r="30" spans="1:15" x14ac:dyDescent="0.3">
      <c r="A30" s="4" t="s">
        <v>13</v>
      </c>
      <c r="B30" s="12"/>
      <c r="C30" s="12"/>
      <c r="D30" s="12"/>
      <c r="E30" s="12">
        <f>(SQRT(J19*43560)*4)*0.24</f>
        <v>301.13793897680841</v>
      </c>
      <c r="F30" s="12"/>
      <c r="G30" s="12"/>
      <c r="H30" s="12"/>
      <c r="I30" s="12"/>
      <c r="J30" s="12">
        <f>((SQRT(J20*43560))*0.24)*1.1333</f>
        <v>400.18583435852054</v>
      </c>
      <c r="K30" s="12"/>
      <c r="L30" s="12"/>
      <c r="M30" s="12"/>
      <c r="N30" s="12">
        <f t="shared" si="5"/>
        <v>701.32377333532895</v>
      </c>
      <c r="O30" s="15">
        <f t="shared" si="7"/>
        <v>3.4132647945708347E-2</v>
      </c>
    </row>
    <row r="31" spans="1:15" x14ac:dyDescent="0.3">
      <c r="A31" s="4" t="s">
        <v>14</v>
      </c>
      <c r="B31" s="12"/>
      <c r="C31" s="12"/>
      <c r="D31" s="12"/>
      <c r="E31" s="12"/>
      <c r="F31" s="12"/>
      <c r="G31" s="12"/>
      <c r="H31" s="12"/>
      <c r="I31" s="12"/>
      <c r="J31" s="12"/>
      <c r="K31" s="12">
        <f>K5*0.7</f>
        <v>3889.8999999999996</v>
      </c>
      <c r="L31" s="12"/>
      <c r="M31" s="12"/>
      <c r="N31" s="12">
        <f t="shared" si="5"/>
        <v>3889.8999999999996</v>
      </c>
      <c r="O31" s="15">
        <f t="shared" si="7"/>
        <v>0.18931710615280595</v>
      </c>
    </row>
    <row r="32" spans="1:15" x14ac:dyDescent="0.3">
      <c r="A32" s="4" t="s">
        <v>15</v>
      </c>
      <c r="B32" s="12">
        <f>B8*0.005</f>
        <v>119.745</v>
      </c>
      <c r="C32" s="12">
        <f t="shared" ref="C32:M32" si="8">C8*0.005</f>
        <v>120.87</v>
      </c>
      <c r="D32" s="12">
        <f t="shared" si="8"/>
        <v>123.12</v>
      </c>
      <c r="E32" s="12">
        <f t="shared" si="8"/>
        <v>125.37</v>
      </c>
      <c r="F32" s="12">
        <f t="shared" si="8"/>
        <v>134.285</v>
      </c>
      <c r="G32" s="12">
        <f t="shared" si="8"/>
        <v>141.785</v>
      </c>
      <c r="H32" s="12">
        <f t="shared" si="8"/>
        <v>149.285</v>
      </c>
      <c r="I32" s="12">
        <f t="shared" si="8"/>
        <v>156.785</v>
      </c>
      <c r="J32" s="12">
        <f t="shared" si="8"/>
        <v>164.285</v>
      </c>
      <c r="K32" s="12">
        <f t="shared" si="8"/>
        <v>171.785</v>
      </c>
      <c r="L32" s="12">
        <f t="shared" si="8"/>
        <v>150</v>
      </c>
      <c r="M32" s="12">
        <f t="shared" si="8"/>
        <v>156</v>
      </c>
      <c r="N32" s="12">
        <f t="shared" si="5"/>
        <v>1713.3150000000001</v>
      </c>
      <c r="O32" s="15">
        <f t="shared" si="7"/>
        <v>8.3385135280648531E-2</v>
      </c>
    </row>
    <row r="33" spans="1:15" x14ac:dyDescent="0.3">
      <c r="A33" s="18" t="s">
        <v>16</v>
      </c>
      <c r="B33" s="21">
        <f>SUM(B23:B32)</f>
        <v>484.06985933600004</v>
      </c>
      <c r="C33" s="21">
        <f>SUM(C23:C32)</f>
        <v>235.893138736</v>
      </c>
      <c r="D33" s="21">
        <f t="shared" ref="D33:M33" si="9">SUM(D23:D32)</f>
        <v>239.53969753600001</v>
      </c>
      <c r="E33" s="21">
        <f t="shared" si="9"/>
        <v>794.32419531280846</v>
      </c>
      <c r="F33" s="21">
        <f t="shared" si="9"/>
        <v>257.63473264800001</v>
      </c>
      <c r="G33" s="21">
        <f t="shared" si="9"/>
        <v>10665.036987471531</v>
      </c>
      <c r="H33" s="21">
        <f t="shared" si="9"/>
        <v>531.94512464800005</v>
      </c>
      <c r="I33" s="21">
        <f t="shared" si="9"/>
        <v>294.10032064799998</v>
      </c>
      <c r="J33" s="21">
        <f t="shared" si="9"/>
        <v>706.44135100652045</v>
      </c>
      <c r="K33" s="21">
        <f t="shared" si="9"/>
        <v>4819.515712647999</v>
      </c>
      <c r="L33" s="21">
        <f t="shared" si="9"/>
        <v>283.10392000000002</v>
      </c>
      <c r="M33" s="21">
        <f t="shared" si="9"/>
        <v>292.82807680000002</v>
      </c>
      <c r="N33" s="32">
        <f t="shared" si="5"/>
        <v>19604.43311679086</v>
      </c>
      <c r="O33" s="30">
        <f t="shared" si="7"/>
        <v>0.95412595322169713</v>
      </c>
    </row>
    <row r="34" spans="1:15" s="29" customFormat="1" x14ac:dyDescent="0.3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  <c r="O34" s="28"/>
    </row>
    <row r="35" spans="1:15" x14ac:dyDescent="0.3">
      <c r="A35" s="17" t="s">
        <v>17</v>
      </c>
      <c r="B35" s="22">
        <f>B21-B33</f>
        <v>-484.06985933600004</v>
      </c>
      <c r="C35" s="22">
        <f t="shared" ref="C35:M35" si="10">C21-C33</f>
        <v>-235.893138736</v>
      </c>
      <c r="D35" s="22">
        <f t="shared" si="10"/>
        <v>-239.53969753600001</v>
      </c>
      <c r="E35" s="22">
        <f t="shared" si="10"/>
        <v>-794.32419531280846</v>
      </c>
      <c r="F35" s="22">
        <f t="shared" si="10"/>
        <v>-257.63473264800001</v>
      </c>
      <c r="G35" s="22">
        <f t="shared" si="10"/>
        <v>-10665.036987471531</v>
      </c>
      <c r="H35" s="22">
        <f t="shared" si="10"/>
        <v>-531.94512464800005</v>
      </c>
      <c r="I35" s="22">
        <f t="shared" si="10"/>
        <v>-294.10032064799998</v>
      </c>
      <c r="J35" s="22">
        <f t="shared" si="10"/>
        <v>-706.44135100652045</v>
      </c>
      <c r="K35" s="22">
        <f t="shared" si="10"/>
        <v>15727.491787352001</v>
      </c>
      <c r="L35" s="22">
        <f t="shared" si="10"/>
        <v>-283.10392000000002</v>
      </c>
      <c r="M35" s="22">
        <f t="shared" si="10"/>
        <v>-292.82807680000002</v>
      </c>
      <c r="N35" s="33">
        <f t="shared" si="5"/>
        <v>942.57438320914116</v>
      </c>
      <c r="O35" s="31">
        <f t="shared" si="7"/>
        <v>4.5874046778302931E-2</v>
      </c>
    </row>
    <row r="36" spans="1:15" s="29" customFormat="1" x14ac:dyDescent="0.3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8"/>
    </row>
    <row r="37" spans="1:15" x14ac:dyDescent="0.3">
      <c r="A37" s="2" t="s">
        <v>18</v>
      </c>
      <c r="N37" s="12">
        <f t="shared" si="5"/>
        <v>0</v>
      </c>
      <c r="O37" s="15">
        <f t="shared" si="7"/>
        <v>0</v>
      </c>
    </row>
    <row r="38" spans="1:15" x14ac:dyDescent="0.3">
      <c r="A38" s="5" t="s">
        <v>19</v>
      </c>
      <c r="B38" s="12"/>
      <c r="C38" s="12"/>
      <c r="D38" s="12"/>
      <c r="E38" s="12"/>
      <c r="F38" s="12">
        <f>$E$48*0.005</f>
        <v>75</v>
      </c>
      <c r="G38" s="12">
        <f t="shared" ref="G38:L38" si="11">$E$48*0.005</f>
        <v>75</v>
      </c>
      <c r="H38" s="12">
        <f t="shared" si="11"/>
        <v>75</v>
      </c>
      <c r="I38" s="12">
        <f t="shared" si="11"/>
        <v>75</v>
      </c>
      <c r="J38" s="12">
        <f t="shared" si="11"/>
        <v>75</v>
      </c>
      <c r="K38" s="12">
        <f t="shared" si="11"/>
        <v>75</v>
      </c>
      <c r="L38" s="12">
        <f t="shared" si="11"/>
        <v>75</v>
      </c>
      <c r="M38" s="12"/>
      <c r="N38" s="12">
        <f t="shared" si="5"/>
        <v>525</v>
      </c>
      <c r="O38" s="15">
        <f t="shared" si="7"/>
        <v>2.5551166027461665E-2</v>
      </c>
    </row>
    <row r="39" spans="1:15" x14ac:dyDescent="0.3">
      <c r="A39" s="5" t="s">
        <v>20</v>
      </c>
      <c r="B39" s="12">
        <f>K21*0.0035</f>
        <v>71.914526249999994</v>
      </c>
      <c r="C39" s="12">
        <f>B39</f>
        <v>71.914526249999994</v>
      </c>
      <c r="D39" s="12">
        <f t="shared" ref="D39:M39" si="12">C39</f>
        <v>71.914526249999994</v>
      </c>
      <c r="E39" s="12">
        <f t="shared" si="12"/>
        <v>71.914526249999994</v>
      </c>
      <c r="F39" s="12">
        <f t="shared" si="12"/>
        <v>71.914526249999994</v>
      </c>
      <c r="G39" s="12">
        <f t="shared" si="12"/>
        <v>71.914526249999994</v>
      </c>
      <c r="H39" s="12">
        <f t="shared" si="12"/>
        <v>71.914526249999994</v>
      </c>
      <c r="I39" s="12">
        <f t="shared" si="12"/>
        <v>71.914526249999994</v>
      </c>
      <c r="J39" s="12">
        <f t="shared" si="12"/>
        <v>71.914526249999994</v>
      </c>
      <c r="K39" s="12">
        <f t="shared" si="12"/>
        <v>71.914526249999994</v>
      </c>
      <c r="L39" s="12">
        <f t="shared" si="12"/>
        <v>71.914526249999994</v>
      </c>
      <c r="M39" s="12">
        <f t="shared" si="12"/>
        <v>71.914526249999994</v>
      </c>
      <c r="N39" s="12">
        <f t="shared" si="5"/>
        <v>862.97431499999993</v>
      </c>
      <c r="O39" s="15">
        <f t="shared" si="7"/>
        <v>4.1999999999999996E-2</v>
      </c>
    </row>
    <row r="40" spans="1:15" x14ac:dyDescent="0.3">
      <c r="A40" s="5" t="s">
        <v>21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>
        <f t="shared" si="5"/>
        <v>0</v>
      </c>
      <c r="O40" s="15">
        <f t="shared" si="7"/>
        <v>0</v>
      </c>
    </row>
    <row r="41" spans="1:15" x14ac:dyDescent="0.3">
      <c r="A41" s="5" t="s">
        <v>22</v>
      </c>
      <c r="B41" s="12">
        <v>100</v>
      </c>
      <c r="C41" s="12">
        <v>100</v>
      </c>
      <c r="D41" s="12">
        <v>100</v>
      </c>
      <c r="E41" s="12">
        <v>100</v>
      </c>
      <c r="F41" s="12">
        <v>100</v>
      </c>
      <c r="G41" s="12">
        <v>100</v>
      </c>
      <c r="H41" s="12">
        <v>100</v>
      </c>
      <c r="I41" s="12">
        <v>100</v>
      </c>
      <c r="J41" s="12">
        <v>100</v>
      </c>
      <c r="K41" s="12">
        <v>100</v>
      </c>
      <c r="L41" s="12">
        <v>100</v>
      </c>
      <c r="M41" s="12">
        <v>100</v>
      </c>
      <c r="N41" s="12">
        <f t="shared" si="5"/>
        <v>1200</v>
      </c>
      <c r="O41" s="15">
        <f t="shared" si="7"/>
        <v>5.8402665205626661E-2</v>
      </c>
    </row>
    <row r="42" spans="1:15" x14ac:dyDescent="0.3">
      <c r="A42" s="5" t="s">
        <v>23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>
        <f t="shared" si="5"/>
        <v>0</v>
      </c>
      <c r="O42" s="15">
        <f t="shared" si="7"/>
        <v>0</v>
      </c>
    </row>
    <row r="43" spans="1:15" x14ac:dyDescent="0.3">
      <c r="A43" s="5" t="s">
        <v>97</v>
      </c>
      <c r="B43" s="12">
        <f>85</f>
        <v>85</v>
      </c>
      <c r="C43" s="12">
        <f>85</f>
        <v>85</v>
      </c>
      <c r="D43" s="12">
        <f>85</f>
        <v>85</v>
      </c>
      <c r="E43" s="12">
        <f>85</f>
        <v>85</v>
      </c>
      <c r="F43" s="12">
        <f>85</f>
        <v>85</v>
      </c>
      <c r="G43" s="12">
        <f>85</f>
        <v>85</v>
      </c>
      <c r="H43" s="12">
        <f>85</f>
        <v>85</v>
      </c>
      <c r="I43" s="12">
        <f>85</f>
        <v>85</v>
      </c>
      <c r="J43" s="12">
        <f>85</f>
        <v>85</v>
      </c>
      <c r="K43" s="12">
        <f>85</f>
        <v>85</v>
      </c>
      <c r="L43" s="12">
        <f>85</f>
        <v>85</v>
      </c>
      <c r="M43" s="12">
        <f>85</f>
        <v>85</v>
      </c>
      <c r="N43" s="12">
        <f t="shared" si="5"/>
        <v>1020</v>
      </c>
      <c r="O43" s="15">
        <f t="shared" si="7"/>
        <v>4.9642265424782658E-2</v>
      </c>
    </row>
    <row r="44" spans="1:15" x14ac:dyDescent="0.3">
      <c r="A44" s="18" t="s">
        <v>24</v>
      </c>
      <c r="B44" s="21">
        <f>SUM(B38:B43)</f>
        <v>256.91452624999999</v>
      </c>
      <c r="C44" s="21">
        <f t="shared" ref="C44:M44" si="13">SUM(C38:C43)</f>
        <v>256.91452624999999</v>
      </c>
      <c r="D44" s="21">
        <f t="shared" si="13"/>
        <v>256.91452624999999</v>
      </c>
      <c r="E44" s="21">
        <f t="shared" si="13"/>
        <v>256.91452624999999</v>
      </c>
      <c r="F44" s="21">
        <f t="shared" si="13"/>
        <v>331.91452624999999</v>
      </c>
      <c r="G44" s="21">
        <f t="shared" si="13"/>
        <v>331.91452624999999</v>
      </c>
      <c r="H44" s="21">
        <f t="shared" si="13"/>
        <v>331.91452624999999</v>
      </c>
      <c r="I44" s="21">
        <f t="shared" si="13"/>
        <v>331.91452624999999</v>
      </c>
      <c r="J44" s="21">
        <f t="shared" si="13"/>
        <v>331.91452624999999</v>
      </c>
      <c r="K44" s="21">
        <f t="shared" si="13"/>
        <v>331.91452624999999</v>
      </c>
      <c r="L44" s="21">
        <f t="shared" si="13"/>
        <v>331.91452624999999</v>
      </c>
      <c r="M44" s="21">
        <f t="shared" si="13"/>
        <v>256.91452624999999</v>
      </c>
      <c r="N44" s="32">
        <f t="shared" si="5"/>
        <v>3607.9743150000008</v>
      </c>
      <c r="O44" s="30">
        <f t="shared" si="7"/>
        <v>0.17559609665787101</v>
      </c>
    </row>
    <row r="45" spans="1:15" s="29" customFormat="1" x14ac:dyDescent="0.3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  <c r="O45" s="28"/>
    </row>
    <row r="46" spans="1:15" x14ac:dyDescent="0.3">
      <c r="A46" s="17" t="s">
        <v>25</v>
      </c>
      <c r="B46" s="22">
        <f>B21-(B33+B44)</f>
        <v>-740.98438558600003</v>
      </c>
      <c r="C46" s="22">
        <f t="shared" ref="C46:M46" si="14">C21-(C33+C44)</f>
        <v>-492.80766498599996</v>
      </c>
      <c r="D46" s="22">
        <f t="shared" si="14"/>
        <v>-496.454223786</v>
      </c>
      <c r="E46" s="22">
        <f t="shared" si="14"/>
        <v>-1051.2387215628085</v>
      </c>
      <c r="F46" s="22">
        <f t="shared" si="14"/>
        <v>-589.54925889800006</v>
      </c>
      <c r="G46" s="22">
        <f t="shared" si="14"/>
        <v>-10996.951513721531</v>
      </c>
      <c r="H46" s="22">
        <f t="shared" si="14"/>
        <v>-863.85965089800004</v>
      </c>
      <c r="I46" s="22">
        <f t="shared" si="14"/>
        <v>-626.01484689799997</v>
      </c>
      <c r="J46" s="22">
        <f t="shared" si="14"/>
        <v>-1038.3558772565204</v>
      </c>
      <c r="K46" s="22">
        <f t="shared" si="14"/>
        <v>15395.577261102</v>
      </c>
      <c r="L46" s="22">
        <f t="shared" si="14"/>
        <v>-615.01844625000001</v>
      </c>
      <c r="M46" s="22">
        <f t="shared" si="14"/>
        <v>-549.74260305000007</v>
      </c>
      <c r="N46" s="33">
        <f t="shared" si="5"/>
        <v>-2665.399931790861</v>
      </c>
      <c r="O46" s="31">
        <f t="shared" si="7"/>
        <v>-0.12972204987956815</v>
      </c>
    </row>
    <row r="47" spans="1:15" x14ac:dyDescent="0.3">
      <c r="A47" s="23" t="s">
        <v>26</v>
      </c>
      <c r="B47" s="16">
        <v>5000</v>
      </c>
      <c r="C47" s="16">
        <f>B51</f>
        <v>4259.0156144140001</v>
      </c>
      <c r="D47" s="16">
        <f t="shared" ref="D47:M47" si="15">C51</f>
        <v>3766.2079494280001</v>
      </c>
      <c r="E47" s="16">
        <f t="shared" si="15"/>
        <v>3269.7537256420001</v>
      </c>
      <c r="F47" s="16">
        <f t="shared" si="15"/>
        <v>17218.515004079192</v>
      </c>
      <c r="G47" s="16">
        <f t="shared" si="15"/>
        <v>16628.965745181191</v>
      </c>
      <c r="H47" s="16">
        <f t="shared" si="15"/>
        <v>5632.0142314596596</v>
      </c>
      <c r="I47" s="16">
        <f t="shared" si="15"/>
        <v>4768.1545805616597</v>
      </c>
      <c r="J47" s="16">
        <f t="shared" si="15"/>
        <v>4142.1397336636601</v>
      </c>
      <c r="K47" s="16">
        <f t="shared" si="15"/>
        <v>3103.7838564071399</v>
      </c>
      <c r="L47" s="16">
        <f t="shared" si="15"/>
        <v>3499.3611175091391</v>
      </c>
      <c r="M47" s="16">
        <f t="shared" si="15"/>
        <v>2884.342671259139</v>
      </c>
    </row>
    <row r="48" spans="1:15" x14ac:dyDescent="0.3">
      <c r="A48" s="23" t="s">
        <v>27</v>
      </c>
      <c r="B48" s="16"/>
      <c r="C48" s="16"/>
      <c r="D48" s="16"/>
      <c r="E48" s="16">
        <v>15000</v>
      </c>
      <c r="F48" s="16"/>
      <c r="G48" s="16"/>
      <c r="H48" s="16"/>
      <c r="I48" s="16"/>
      <c r="J48" s="16"/>
      <c r="K48" s="16"/>
      <c r="L48" s="16"/>
      <c r="M48" s="16"/>
    </row>
    <row r="49" spans="1:13" x14ac:dyDescent="0.3">
      <c r="A49" s="23" t="s">
        <v>28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x14ac:dyDescent="0.3">
      <c r="A50" s="23" t="s">
        <v>29</v>
      </c>
      <c r="B50" s="16"/>
      <c r="C50" s="16"/>
      <c r="D50" s="16"/>
      <c r="E50" s="16"/>
      <c r="F50" s="16"/>
      <c r="G50" s="16"/>
      <c r="H50" s="16"/>
      <c r="I50" s="16"/>
      <c r="J50" s="16"/>
      <c r="K50" s="16">
        <v>-15000</v>
      </c>
      <c r="L50" s="16"/>
      <c r="M50" s="16"/>
    </row>
    <row r="51" spans="1:13" x14ac:dyDescent="0.3">
      <c r="A51" s="23" t="s">
        <v>30</v>
      </c>
      <c r="B51" s="16">
        <f>SUM(B46:B50)</f>
        <v>4259.0156144140001</v>
      </c>
      <c r="C51" s="16">
        <f t="shared" ref="C51:M51" si="16">SUM(C46:C50)</f>
        <v>3766.2079494280001</v>
      </c>
      <c r="D51" s="16">
        <f t="shared" si="16"/>
        <v>3269.7537256420001</v>
      </c>
      <c r="E51" s="16">
        <f t="shared" si="16"/>
        <v>17218.515004079192</v>
      </c>
      <c r="F51" s="16">
        <f t="shared" si="16"/>
        <v>16628.965745181191</v>
      </c>
      <c r="G51" s="16">
        <f t="shared" si="16"/>
        <v>5632.0142314596596</v>
      </c>
      <c r="H51" s="16">
        <f t="shared" si="16"/>
        <v>4768.1545805616597</v>
      </c>
      <c r="I51" s="16">
        <f t="shared" si="16"/>
        <v>4142.1397336636601</v>
      </c>
      <c r="J51" s="16">
        <f t="shared" si="16"/>
        <v>3103.7838564071399</v>
      </c>
      <c r="K51" s="16">
        <f t="shared" si="16"/>
        <v>3499.3611175091391</v>
      </c>
      <c r="L51" s="16">
        <f t="shared" si="16"/>
        <v>2884.342671259139</v>
      </c>
      <c r="M51" s="16">
        <f t="shared" si="16"/>
        <v>2334.600068209139</v>
      </c>
    </row>
  </sheetData>
  <printOptions headings="1" gridLines="1"/>
  <pageMargins left="0.7" right="0.7" top="0.75" bottom="0.75" header="0.3" footer="0.3"/>
  <pageSetup scale="6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68"/>
  <sheetViews>
    <sheetView topLeftCell="A22" workbookViewId="0">
      <selection activeCell="A39" sqref="A39"/>
    </sheetView>
  </sheetViews>
  <sheetFormatPr defaultRowHeight="14.4" x14ac:dyDescent="0.3"/>
  <cols>
    <col min="2" max="2" width="10.5546875" bestFit="1" customWidth="1"/>
  </cols>
  <sheetData>
    <row r="2" spans="1:4" x14ac:dyDescent="0.3">
      <c r="A2" t="s">
        <v>72</v>
      </c>
      <c r="B2" s="9">
        <v>43100</v>
      </c>
    </row>
    <row r="3" spans="1:4" x14ac:dyDescent="0.3">
      <c r="B3" t="s">
        <v>49</v>
      </c>
      <c r="C3" t="s">
        <v>50</v>
      </c>
      <c r="D3" t="s">
        <v>51</v>
      </c>
    </row>
    <row r="4" spans="1:4" x14ac:dyDescent="0.3">
      <c r="A4" t="s">
        <v>52</v>
      </c>
      <c r="B4" s="9">
        <v>41030</v>
      </c>
      <c r="C4">
        <v>1168</v>
      </c>
      <c r="D4">
        <f>$B$2-B4</f>
        <v>2070</v>
      </c>
    </row>
    <row r="5" spans="1:4" x14ac:dyDescent="0.3">
      <c r="A5" t="s">
        <v>53</v>
      </c>
      <c r="B5" s="9">
        <v>41044</v>
      </c>
      <c r="C5">
        <v>1190</v>
      </c>
      <c r="D5">
        <f>$B$2-B5</f>
        <v>2056</v>
      </c>
    </row>
    <row r="6" spans="1:4" x14ac:dyDescent="0.3">
      <c r="A6" t="s">
        <v>54</v>
      </c>
      <c r="B6" s="9">
        <v>41027</v>
      </c>
      <c r="C6">
        <v>1168</v>
      </c>
      <c r="D6">
        <f t="shared" ref="D6:D18" si="0">$B$2-B6</f>
        <v>2073</v>
      </c>
    </row>
    <row r="7" spans="1:4" x14ac:dyDescent="0.3">
      <c r="A7" t="s">
        <v>55</v>
      </c>
      <c r="B7" s="9">
        <v>41056</v>
      </c>
      <c r="C7">
        <v>1170</v>
      </c>
      <c r="D7">
        <f t="shared" si="0"/>
        <v>2044</v>
      </c>
    </row>
    <row r="8" spans="1:4" x14ac:dyDescent="0.3">
      <c r="A8" t="s">
        <v>56</v>
      </c>
      <c r="B8" s="9">
        <v>41394</v>
      </c>
      <c r="C8">
        <v>1189</v>
      </c>
      <c r="D8">
        <f t="shared" si="0"/>
        <v>1706</v>
      </c>
    </row>
    <row r="9" spans="1:4" x14ac:dyDescent="0.3">
      <c r="A9" t="s">
        <v>57</v>
      </c>
      <c r="B9" s="9">
        <v>41409</v>
      </c>
      <c r="C9">
        <v>1171</v>
      </c>
      <c r="D9">
        <f t="shared" si="0"/>
        <v>1691</v>
      </c>
    </row>
    <row r="10" spans="1:4" x14ac:dyDescent="0.3">
      <c r="A10" t="s">
        <v>58</v>
      </c>
      <c r="B10" s="9">
        <v>41762</v>
      </c>
      <c r="C10">
        <v>1183</v>
      </c>
      <c r="D10">
        <f t="shared" si="0"/>
        <v>1338</v>
      </c>
    </row>
    <row r="11" spans="1:4" x14ac:dyDescent="0.3">
      <c r="A11" t="s">
        <v>59</v>
      </c>
      <c r="B11" s="9">
        <v>41774</v>
      </c>
      <c r="C11">
        <v>1172</v>
      </c>
      <c r="D11">
        <f t="shared" si="0"/>
        <v>1326</v>
      </c>
    </row>
    <row r="12" spans="1:4" x14ac:dyDescent="0.3">
      <c r="A12" t="s">
        <v>60</v>
      </c>
      <c r="B12" s="9">
        <v>41780</v>
      </c>
      <c r="C12">
        <v>1172</v>
      </c>
      <c r="D12">
        <f t="shared" si="0"/>
        <v>1320</v>
      </c>
    </row>
    <row r="13" spans="1:4" x14ac:dyDescent="0.3">
      <c r="A13" t="s">
        <v>61</v>
      </c>
      <c r="B13" s="9">
        <v>41786</v>
      </c>
      <c r="C13">
        <v>1176</v>
      </c>
      <c r="D13">
        <f t="shared" si="0"/>
        <v>1314</v>
      </c>
    </row>
    <row r="14" spans="1:4" x14ac:dyDescent="0.3">
      <c r="A14" t="s">
        <v>62</v>
      </c>
      <c r="B14" s="9">
        <v>42119</v>
      </c>
      <c r="C14">
        <v>950</v>
      </c>
      <c r="D14">
        <f t="shared" si="0"/>
        <v>981</v>
      </c>
    </row>
    <row r="15" spans="1:4" x14ac:dyDescent="0.3">
      <c r="A15" t="s">
        <v>63</v>
      </c>
      <c r="B15" s="9">
        <v>42126</v>
      </c>
      <c r="C15">
        <v>898</v>
      </c>
      <c r="D15">
        <f t="shared" si="0"/>
        <v>974</v>
      </c>
    </row>
    <row r="16" spans="1:4" x14ac:dyDescent="0.3">
      <c r="A16" t="s">
        <v>64</v>
      </c>
      <c r="B16" s="9">
        <v>42140</v>
      </c>
      <c r="C16">
        <v>874</v>
      </c>
      <c r="D16">
        <f t="shared" si="0"/>
        <v>960</v>
      </c>
    </row>
    <row r="17" spans="1:4" x14ac:dyDescent="0.3">
      <c r="A17" t="s">
        <v>65</v>
      </c>
      <c r="B17" s="9">
        <v>42141</v>
      </c>
      <c r="C17">
        <v>873</v>
      </c>
      <c r="D17">
        <f t="shared" si="0"/>
        <v>959</v>
      </c>
    </row>
    <row r="18" spans="1:4" x14ac:dyDescent="0.3">
      <c r="A18" t="s">
        <v>66</v>
      </c>
      <c r="B18" s="9">
        <v>42148</v>
      </c>
      <c r="C18">
        <v>890</v>
      </c>
      <c r="D18">
        <f t="shared" si="0"/>
        <v>952</v>
      </c>
    </row>
    <row r="19" spans="1:4" x14ac:dyDescent="0.3">
      <c r="A19" t="s">
        <v>67</v>
      </c>
      <c r="B19" s="9">
        <v>42485</v>
      </c>
      <c r="C19">
        <v>1075</v>
      </c>
      <c r="D19">
        <f t="shared" ref="D19:D23" si="1">$B$2-B19</f>
        <v>615</v>
      </c>
    </row>
    <row r="20" spans="1:4" x14ac:dyDescent="0.3">
      <c r="A20" t="s">
        <v>68</v>
      </c>
      <c r="B20" s="9">
        <v>42496</v>
      </c>
      <c r="C20">
        <v>1075</v>
      </c>
      <c r="D20">
        <f t="shared" si="1"/>
        <v>604</v>
      </c>
    </row>
    <row r="21" spans="1:4" x14ac:dyDescent="0.3">
      <c r="A21" t="s">
        <v>69</v>
      </c>
      <c r="B21" s="9">
        <v>42503</v>
      </c>
      <c r="C21">
        <v>1075</v>
      </c>
      <c r="D21">
        <f t="shared" si="1"/>
        <v>597</v>
      </c>
    </row>
    <row r="22" spans="1:4" x14ac:dyDescent="0.3">
      <c r="A22" t="s">
        <v>70</v>
      </c>
      <c r="B22" s="9">
        <v>42508</v>
      </c>
      <c r="C22">
        <v>1075</v>
      </c>
      <c r="D22">
        <f t="shared" si="1"/>
        <v>592</v>
      </c>
    </row>
    <row r="23" spans="1:4" x14ac:dyDescent="0.3">
      <c r="A23" t="s">
        <v>71</v>
      </c>
      <c r="B23" s="9">
        <v>42521</v>
      </c>
      <c r="C23">
        <v>1075</v>
      </c>
      <c r="D23">
        <f t="shared" si="1"/>
        <v>579</v>
      </c>
    </row>
    <row r="24" spans="1:4" x14ac:dyDescent="0.3">
      <c r="A24">
        <f>COUNT(C2:C23)</f>
        <v>20</v>
      </c>
      <c r="B24" s="9"/>
      <c r="C24">
        <f>SUM(C4:C23)</f>
        <v>21619</v>
      </c>
    </row>
    <row r="25" spans="1:4" x14ac:dyDescent="0.3">
      <c r="A25" t="s">
        <v>103</v>
      </c>
    </row>
    <row r="26" spans="1:4" x14ac:dyDescent="0.3">
      <c r="A26" t="s">
        <v>78</v>
      </c>
      <c r="B26" s="13">
        <v>42856</v>
      </c>
      <c r="C26">
        <f t="shared" ref="C26:C32" si="2">73+(D26*1.75)</f>
        <v>500</v>
      </c>
      <c r="D26">
        <v>244</v>
      </c>
    </row>
    <row r="27" spans="1:4" x14ac:dyDescent="0.3">
      <c r="A27" t="s">
        <v>80</v>
      </c>
      <c r="B27" s="13">
        <v>42860</v>
      </c>
      <c r="C27">
        <f t="shared" si="2"/>
        <v>493</v>
      </c>
      <c r="D27">
        <v>240</v>
      </c>
    </row>
    <row r="28" spans="1:4" x14ac:dyDescent="0.3">
      <c r="A28" t="s">
        <v>81</v>
      </c>
      <c r="B28" s="13">
        <v>42864</v>
      </c>
      <c r="C28">
        <f t="shared" si="2"/>
        <v>486</v>
      </c>
      <c r="D28">
        <v>236</v>
      </c>
    </row>
    <row r="29" spans="1:4" x14ac:dyDescent="0.3">
      <c r="A29" t="s">
        <v>83</v>
      </c>
      <c r="B29" s="13">
        <v>42868</v>
      </c>
      <c r="C29">
        <f t="shared" si="2"/>
        <v>479</v>
      </c>
      <c r="D29">
        <v>232</v>
      </c>
    </row>
    <row r="30" spans="1:4" x14ac:dyDescent="0.3">
      <c r="A30" t="s">
        <v>85</v>
      </c>
      <c r="B30" s="13">
        <v>42872</v>
      </c>
      <c r="C30">
        <f t="shared" si="2"/>
        <v>472</v>
      </c>
      <c r="D30">
        <v>228</v>
      </c>
    </row>
    <row r="31" spans="1:4" x14ac:dyDescent="0.3">
      <c r="A31" t="s">
        <v>87</v>
      </c>
      <c r="B31" s="13">
        <v>42878</v>
      </c>
      <c r="C31">
        <f t="shared" si="2"/>
        <v>465</v>
      </c>
      <c r="D31">
        <v>224</v>
      </c>
    </row>
    <row r="32" spans="1:4" x14ac:dyDescent="0.3">
      <c r="A32" t="s">
        <v>89</v>
      </c>
      <c r="B32" s="13">
        <v>42882</v>
      </c>
      <c r="C32">
        <f t="shared" si="2"/>
        <v>458</v>
      </c>
      <c r="D32">
        <v>220</v>
      </c>
    </row>
    <row r="33" spans="1:4" x14ac:dyDescent="0.3">
      <c r="A33">
        <f>COUNT(C26:C32)</f>
        <v>7</v>
      </c>
      <c r="B33" s="13"/>
      <c r="C33">
        <f>SUM(C26:C32)</f>
        <v>3353</v>
      </c>
    </row>
    <row r="34" spans="1:4" x14ac:dyDescent="0.3">
      <c r="A34" t="s">
        <v>104</v>
      </c>
      <c r="B34" s="13"/>
    </row>
    <row r="35" spans="1:4" x14ac:dyDescent="0.3">
      <c r="A35" t="s">
        <v>79</v>
      </c>
      <c r="B35" s="13">
        <v>42858</v>
      </c>
      <c r="C35">
        <f>73+ROUND(D35*1.75, 0)</f>
        <v>497</v>
      </c>
      <c r="D35">
        <f t="shared" ref="D35:D42" si="3">$B$2-B35</f>
        <v>242</v>
      </c>
    </row>
    <row r="36" spans="1:4" x14ac:dyDescent="0.3">
      <c r="A36" t="s">
        <v>92</v>
      </c>
      <c r="B36" s="13">
        <v>42862</v>
      </c>
      <c r="C36">
        <f t="shared" ref="C36:C42" si="4">73+ROUND(D36*1.75, 0)</f>
        <v>490</v>
      </c>
      <c r="D36">
        <f t="shared" si="3"/>
        <v>238</v>
      </c>
    </row>
    <row r="37" spans="1:4" x14ac:dyDescent="0.3">
      <c r="A37" t="s">
        <v>82</v>
      </c>
      <c r="B37" s="13">
        <v>42866</v>
      </c>
      <c r="C37">
        <f t="shared" si="4"/>
        <v>483</v>
      </c>
      <c r="D37">
        <f t="shared" si="3"/>
        <v>234</v>
      </c>
    </row>
    <row r="38" spans="1:4" x14ac:dyDescent="0.3">
      <c r="A38" t="s">
        <v>84</v>
      </c>
      <c r="B38" s="13">
        <v>42870</v>
      </c>
      <c r="C38">
        <f t="shared" si="4"/>
        <v>476</v>
      </c>
      <c r="D38">
        <f t="shared" si="3"/>
        <v>230</v>
      </c>
    </row>
    <row r="39" spans="1:4" x14ac:dyDescent="0.3">
      <c r="A39" t="s">
        <v>102</v>
      </c>
      <c r="B39" s="13">
        <v>42874</v>
      </c>
      <c r="C39">
        <f t="shared" si="4"/>
        <v>469</v>
      </c>
      <c r="D39">
        <f t="shared" si="3"/>
        <v>226</v>
      </c>
    </row>
    <row r="40" spans="1:4" x14ac:dyDescent="0.3">
      <c r="A40" t="s">
        <v>86</v>
      </c>
      <c r="B40" s="13">
        <v>42876</v>
      </c>
      <c r="C40">
        <f t="shared" si="4"/>
        <v>465</v>
      </c>
      <c r="D40">
        <f t="shared" si="3"/>
        <v>224</v>
      </c>
    </row>
    <row r="41" spans="1:4" x14ac:dyDescent="0.3">
      <c r="A41" t="s">
        <v>88</v>
      </c>
      <c r="B41" s="13">
        <v>42880</v>
      </c>
      <c r="C41">
        <f t="shared" si="4"/>
        <v>458</v>
      </c>
      <c r="D41">
        <f t="shared" si="3"/>
        <v>220</v>
      </c>
    </row>
    <row r="42" spans="1:4" x14ac:dyDescent="0.3">
      <c r="A42" t="s">
        <v>90</v>
      </c>
      <c r="B42" s="13">
        <v>42884</v>
      </c>
      <c r="C42">
        <f t="shared" si="4"/>
        <v>451</v>
      </c>
      <c r="D42">
        <f t="shared" si="3"/>
        <v>216</v>
      </c>
    </row>
    <row r="43" spans="1:4" x14ac:dyDescent="0.3">
      <c r="A43">
        <f>COUNT(C35:C42)</f>
        <v>8</v>
      </c>
      <c r="C43">
        <f>SUM(C35:C42)</f>
        <v>3789</v>
      </c>
    </row>
    <row r="44" spans="1:4" x14ac:dyDescent="0.3">
      <c r="A44" t="s">
        <v>105</v>
      </c>
    </row>
    <row r="45" spans="1:4" x14ac:dyDescent="0.3">
      <c r="A45" t="s">
        <v>91</v>
      </c>
      <c r="B45" s="9">
        <v>41857</v>
      </c>
      <c r="C45">
        <v>2100</v>
      </c>
    </row>
    <row r="47" spans="1:4" x14ac:dyDescent="0.3">
      <c r="A47" t="s">
        <v>106</v>
      </c>
    </row>
    <row r="48" spans="1:4" x14ac:dyDescent="0.3">
      <c r="A48" t="s">
        <v>107</v>
      </c>
      <c r="B48" s="9">
        <v>43219</v>
      </c>
      <c r="C48">
        <v>84</v>
      </c>
      <c r="D48">
        <f t="shared" ref="D48:D67" si="5">$B$2-B48</f>
        <v>-119</v>
      </c>
    </row>
    <row r="49" spans="1:4" x14ac:dyDescent="0.3">
      <c r="A49" t="s">
        <v>108</v>
      </c>
      <c r="B49" s="9">
        <f>ROUND(B48+1.666,0)</f>
        <v>43221</v>
      </c>
      <c r="C49">
        <v>85</v>
      </c>
      <c r="D49">
        <f t="shared" si="5"/>
        <v>-121</v>
      </c>
    </row>
    <row r="50" spans="1:4" x14ac:dyDescent="0.3">
      <c r="A50" t="s">
        <v>109</v>
      </c>
      <c r="B50" s="9">
        <f t="shared" ref="B50:B67" si="6">ROUND(B49+1.666,0)</f>
        <v>43223</v>
      </c>
      <c r="C50">
        <v>81</v>
      </c>
      <c r="D50">
        <f t="shared" si="5"/>
        <v>-123</v>
      </c>
    </row>
    <row r="51" spans="1:4" x14ac:dyDescent="0.3">
      <c r="A51" t="s">
        <v>110</v>
      </c>
      <c r="B51" s="9">
        <f t="shared" si="6"/>
        <v>43225</v>
      </c>
      <c r="C51">
        <v>89</v>
      </c>
      <c r="D51">
        <f t="shared" si="5"/>
        <v>-125</v>
      </c>
    </row>
    <row r="52" spans="1:4" x14ac:dyDescent="0.3">
      <c r="A52" t="s">
        <v>111</v>
      </c>
      <c r="B52" s="9">
        <f t="shared" si="6"/>
        <v>43227</v>
      </c>
      <c r="C52">
        <v>90</v>
      </c>
      <c r="D52">
        <f t="shared" si="5"/>
        <v>-127</v>
      </c>
    </row>
    <row r="53" spans="1:4" x14ac:dyDescent="0.3">
      <c r="A53" t="s">
        <v>112</v>
      </c>
      <c r="B53" s="9">
        <f t="shared" si="6"/>
        <v>43229</v>
      </c>
      <c r="C53">
        <v>75</v>
      </c>
      <c r="D53">
        <f t="shared" si="5"/>
        <v>-129</v>
      </c>
    </row>
    <row r="54" spans="1:4" x14ac:dyDescent="0.3">
      <c r="A54" t="s">
        <v>113</v>
      </c>
      <c r="B54" s="9">
        <v>43229</v>
      </c>
      <c r="C54">
        <v>86</v>
      </c>
      <c r="D54">
        <f t="shared" si="5"/>
        <v>-129</v>
      </c>
    </row>
    <row r="55" spans="1:4" x14ac:dyDescent="0.3">
      <c r="A55" t="s">
        <v>126</v>
      </c>
      <c r="B55" s="9">
        <v>43230</v>
      </c>
      <c r="C55">
        <v>82</v>
      </c>
      <c r="D55">
        <f t="shared" si="5"/>
        <v>-130</v>
      </c>
    </row>
    <row r="56" spans="1:4" x14ac:dyDescent="0.3">
      <c r="A56" t="s">
        <v>114</v>
      </c>
      <c r="B56" s="9">
        <f>ROUND(B54+1.666,0)</f>
        <v>43231</v>
      </c>
      <c r="C56">
        <v>87</v>
      </c>
      <c r="D56">
        <f t="shared" si="5"/>
        <v>-131</v>
      </c>
    </row>
    <row r="57" spans="1:4" x14ac:dyDescent="0.3">
      <c r="A57" t="s">
        <v>115</v>
      </c>
      <c r="B57" s="9">
        <f t="shared" si="6"/>
        <v>43233</v>
      </c>
      <c r="C57">
        <v>89</v>
      </c>
      <c r="D57">
        <f t="shared" si="5"/>
        <v>-133</v>
      </c>
    </row>
    <row r="58" spans="1:4" x14ac:dyDescent="0.3">
      <c r="A58" t="s">
        <v>116</v>
      </c>
      <c r="B58" s="9">
        <f t="shared" si="6"/>
        <v>43235</v>
      </c>
      <c r="C58">
        <v>75</v>
      </c>
      <c r="D58">
        <f t="shared" si="5"/>
        <v>-135</v>
      </c>
    </row>
    <row r="59" spans="1:4" x14ac:dyDescent="0.3">
      <c r="A59" t="s">
        <v>117</v>
      </c>
      <c r="B59" s="9">
        <v>43235</v>
      </c>
      <c r="C59">
        <v>77</v>
      </c>
      <c r="D59">
        <f t="shared" si="5"/>
        <v>-135</v>
      </c>
    </row>
    <row r="60" spans="1:4" x14ac:dyDescent="0.3">
      <c r="A60" t="s">
        <v>118</v>
      </c>
      <c r="B60" s="9">
        <f t="shared" si="6"/>
        <v>43237</v>
      </c>
      <c r="C60">
        <v>82</v>
      </c>
      <c r="D60">
        <f t="shared" si="5"/>
        <v>-137</v>
      </c>
    </row>
    <row r="61" spans="1:4" x14ac:dyDescent="0.3">
      <c r="A61" t="s">
        <v>119</v>
      </c>
      <c r="B61" s="9">
        <f t="shared" si="6"/>
        <v>43239</v>
      </c>
      <c r="C61">
        <v>75</v>
      </c>
      <c r="D61">
        <f t="shared" si="5"/>
        <v>-139</v>
      </c>
    </row>
    <row r="62" spans="1:4" x14ac:dyDescent="0.3">
      <c r="A62" t="s">
        <v>120</v>
      </c>
      <c r="B62" s="9">
        <f t="shared" si="6"/>
        <v>43241</v>
      </c>
      <c r="C62">
        <v>85</v>
      </c>
      <c r="D62">
        <f t="shared" si="5"/>
        <v>-141</v>
      </c>
    </row>
    <row r="63" spans="1:4" x14ac:dyDescent="0.3">
      <c r="A63" t="s">
        <v>121</v>
      </c>
      <c r="B63" s="9">
        <f t="shared" si="6"/>
        <v>43243</v>
      </c>
      <c r="C63">
        <v>81</v>
      </c>
      <c r="D63">
        <f t="shared" si="5"/>
        <v>-143</v>
      </c>
    </row>
    <row r="64" spans="1:4" x14ac:dyDescent="0.3">
      <c r="A64" t="s">
        <v>122</v>
      </c>
      <c r="B64" s="9">
        <f t="shared" si="6"/>
        <v>43245</v>
      </c>
      <c r="C64">
        <v>80</v>
      </c>
      <c r="D64">
        <f t="shared" si="5"/>
        <v>-145</v>
      </c>
    </row>
    <row r="65" spans="1:4" x14ac:dyDescent="0.3">
      <c r="A65" t="s">
        <v>123</v>
      </c>
      <c r="B65" s="9">
        <f t="shared" si="6"/>
        <v>43247</v>
      </c>
      <c r="C65">
        <v>88</v>
      </c>
      <c r="D65">
        <f t="shared" si="5"/>
        <v>-147</v>
      </c>
    </row>
    <row r="66" spans="1:4" x14ac:dyDescent="0.3">
      <c r="A66" t="s">
        <v>124</v>
      </c>
      <c r="B66" s="9">
        <f t="shared" si="6"/>
        <v>43249</v>
      </c>
      <c r="C66">
        <v>84</v>
      </c>
      <c r="D66">
        <f t="shared" si="5"/>
        <v>-149</v>
      </c>
    </row>
    <row r="67" spans="1:4" x14ac:dyDescent="0.3">
      <c r="A67" t="s">
        <v>125</v>
      </c>
      <c r="B67" s="9">
        <f t="shared" si="6"/>
        <v>43251</v>
      </c>
      <c r="C67">
        <v>88</v>
      </c>
      <c r="D67">
        <f t="shared" si="5"/>
        <v>-151</v>
      </c>
    </row>
    <row r="68" spans="1:4" x14ac:dyDescent="0.3">
      <c r="A68">
        <f>COUNT(C48:C67)</f>
        <v>20</v>
      </c>
      <c r="C68">
        <f>SUM(C48:C67)</f>
        <v>1663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53"/>
  <sheetViews>
    <sheetView tabSelected="1" workbookViewId="0">
      <pane ySplit="1" topLeftCell="A35" activePane="bottomLeft" state="frozen"/>
      <selection pane="bottomLeft" activeCell="A2" sqref="A2"/>
    </sheetView>
  </sheetViews>
  <sheetFormatPr defaultRowHeight="14.4" x14ac:dyDescent="0.3"/>
  <cols>
    <col min="1" max="1" width="27.88671875" bestFit="1" customWidth="1"/>
    <col min="2" max="15" width="11.44140625" customWidth="1"/>
  </cols>
  <sheetData>
    <row r="1" spans="1:15" x14ac:dyDescent="0.3">
      <c r="B1" s="6" t="s">
        <v>1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</row>
    <row r="2" spans="1:15" x14ac:dyDescent="0.3">
      <c r="A2" s="1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">
      <c r="A3" s="3" t="s">
        <v>44</v>
      </c>
      <c r="B3">
        <f>'Herd 2'!C24</f>
        <v>21619</v>
      </c>
      <c r="C3">
        <f>B3</f>
        <v>21619</v>
      </c>
      <c r="D3">
        <f t="shared" ref="D3:M3" si="0">C3</f>
        <v>21619</v>
      </c>
      <c r="E3">
        <f t="shared" si="0"/>
        <v>21619</v>
      </c>
      <c r="F3">
        <f t="shared" si="0"/>
        <v>21619</v>
      </c>
      <c r="G3">
        <f t="shared" si="0"/>
        <v>21619</v>
      </c>
      <c r="H3">
        <f t="shared" si="0"/>
        <v>21619</v>
      </c>
      <c r="I3">
        <f t="shared" si="0"/>
        <v>21619</v>
      </c>
      <c r="J3">
        <f t="shared" si="0"/>
        <v>21619</v>
      </c>
      <c r="K3">
        <f t="shared" si="0"/>
        <v>21619</v>
      </c>
      <c r="L3">
        <f t="shared" si="0"/>
        <v>21619</v>
      </c>
      <c r="M3">
        <f t="shared" si="0"/>
        <v>21619</v>
      </c>
    </row>
    <row r="4" spans="1:15" x14ac:dyDescent="0.3">
      <c r="A4" s="3" t="s">
        <v>45</v>
      </c>
      <c r="B4">
        <f>'Herd 2'!C33</f>
        <v>3353</v>
      </c>
      <c r="C4">
        <f>('Herd 2'!$A$33*'Cash Flow 2'!B10*30)+B4</f>
        <v>3668</v>
      </c>
      <c r="D4">
        <f>('Herd 2'!$A$33*'Cash Flow 2'!C10*30)+C4</f>
        <v>3983</v>
      </c>
      <c r="E4">
        <f>('Herd 2'!$A$33*'Cash Flow 2'!D10*30)+D4</f>
        <v>4298</v>
      </c>
      <c r="F4">
        <f>('Herd 2'!$A$33*'Cash Flow 2'!E10*30)+E4</f>
        <v>4718</v>
      </c>
      <c r="G4">
        <f>('Herd 2'!$A$33*'Cash Flow 2'!F10*30)+F4</f>
        <v>5138</v>
      </c>
      <c r="H4">
        <f>('Herd 2'!$A$33*'Cash Flow 2'!G10*30)+G4</f>
        <v>5558</v>
      </c>
      <c r="I4">
        <f>('Herd 2'!$A$33*'Cash Flow 2'!H10*30)+H4</f>
        <v>5978</v>
      </c>
      <c r="J4">
        <f>('Herd 2'!$A$33*'Cash Flow 2'!I10*30)+I4</f>
        <v>6398</v>
      </c>
      <c r="K4">
        <f>('Herd 2'!$A$33*'Cash Flow 2'!J10*30)+J4</f>
        <v>6818</v>
      </c>
      <c r="L4">
        <v>0</v>
      </c>
      <c r="M4">
        <v>0</v>
      </c>
    </row>
    <row r="5" spans="1:15" x14ac:dyDescent="0.3">
      <c r="A5" s="3" t="s">
        <v>127</v>
      </c>
      <c r="B5">
        <f>'Herd 2'!C43</f>
        <v>3789</v>
      </c>
      <c r="C5">
        <f>('Herd 2'!$A$43*'Cash Flow 2'!B10*30)+B5</f>
        <v>4149</v>
      </c>
      <c r="D5">
        <f>('Herd 2'!$A$43*'Cash Flow 2'!C10*30)+C5</f>
        <v>4509</v>
      </c>
      <c r="E5">
        <f>('Herd 2'!$A$43*'Cash Flow 2'!D10*30)+D5</f>
        <v>4869</v>
      </c>
      <c r="F5">
        <f>('Herd 2'!$A$43*'Cash Flow 2'!E10*30)+E5</f>
        <v>5349</v>
      </c>
      <c r="G5">
        <f>('Herd 2'!$A$43*'Cash Flow 2'!F10*30)+F5</f>
        <v>5829</v>
      </c>
      <c r="H5">
        <f>('Herd 2'!$A$43*'Cash Flow 2'!G10*30)+G5</f>
        <v>6309</v>
      </c>
      <c r="I5">
        <f>('Herd 2'!$A$43*'Cash Flow 2'!H10*30)+H5</f>
        <v>6789</v>
      </c>
      <c r="J5">
        <f>('Herd 2'!$A$43*'Cash Flow 2'!I10*30)+I5</f>
        <v>7269</v>
      </c>
      <c r="K5">
        <f>('Herd 2'!$A$43*'Cash Flow 2'!J10*30)+J5</f>
        <v>7749</v>
      </c>
      <c r="L5">
        <f>'Herd 1'!J33*'Cash Flow 2'!K10*30</f>
        <v>0</v>
      </c>
      <c r="M5">
        <f>'Herd 1'!K33*'Cash Flow 2'!L10*30</f>
        <v>0</v>
      </c>
    </row>
    <row r="6" spans="1:15" x14ac:dyDescent="0.3">
      <c r="A6" s="3" t="s">
        <v>46</v>
      </c>
      <c r="B6">
        <v>2100</v>
      </c>
      <c r="C6">
        <v>2100</v>
      </c>
      <c r="D6">
        <v>2100</v>
      </c>
      <c r="E6">
        <v>2100</v>
      </c>
      <c r="F6">
        <v>2100</v>
      </c>
      <c r="G6">
        <v>2100</v>
      </c>
      <c r="H6">
        <v>2100</v>
      </c>
      <c r="I6">
        <v>2100</v>
      </c>
      <c r="J6">
        <v>2100</v>
      </c>
      <c r="K6">
        <v>2100</v>
      </c>
      <c r="L6">
        <v>2100</v>
      </c>
      <c r="M6">
        <v>2100</v>
      </c>
    </row>
    <row r="7" spans="1:15" x14ac:dyDescent="0.3">
      <c r="A7" s="3" t="s">
        <v>47</v>
      </c>
      <c r="F7">
        <f>'Herd 2'!C68</f>
        <v>1663</v>
      </c>
      <c r="G7">
        <f>('Herd 2'!$A$68*'Cash Flow 2'!F10*30)+F7</f>
        <v>2863</v>
      </c>
      <c r="H7">
        <f>('Herd 2'!$A$68*'Cash Flow 2'!G10*30)+G7</f>
        <v>4063</v>
      </c>
      <c r="I7">
        <f>('Herd 2'!$A$68*'Cash Flow 2'!H10*30)+H7</f>
        <v>5263</v>
      </c>
      <c r="J7">
        <f>('Herd 2'!$A$68*'Cash Flow 2'!I10*30)+I7</f>
        <v>6463</v>
      </c>
      <c r="K7">
        <f>('Herd 2'!$A$68*'Cash Flow 2'!J10*30)+J7</f>
        <v>7663</v>
      </c>
      <c r="L7">
        <f>('Herd 2'!$A$68*'Cash Flow 2'!K10*30)+K7</f>
        <v>8863</v>
      </c>
      <c r="M7">
        <f>('Herd 2'!$A$68*'Cash Flow 2'!L10*30)+L7</f>
        <v>10063</v>
      </c>
    </row>
    <row r="8" spans="1:15" x14ac:dyDescent="0.3">
      <c r="A8" s="8" t="s">
        <v>48</v>
      </c>
      <c r="B8">
        <f>SUM(B3:B7)</f>
        <v>30861</v>
      </c>
      <c r="C8">
        <f t="shared" ref="C8:M8" si="1">SUM(C3:C7)</f>
        <v>31536</v>
      </c>
      <c r="D8">
        <f t="shared" si="1"/>
        <v>32211</v>
      </c>
      <c r="E8">
        <f t="shared" si="1"/>
        <v>32886</v>
      </c>
      <c r="F8">
        <f>SUM(F3:F7)</f>
        <v>35449</v>
      </c>
      <c r="G8">
        <f t="shared" si="1"/>
        <v>37549</v>
      </c>
      <c r="H8">
        <f t="shared" si="1"/>
        <v>39649</v>
      </c>
      <c r="I8">
        <f t="shared" si="1"/>
        <v>41749</v>
      </c>
      <c r="J8">
        <f t="shared" si="1"/>
        <v>43849</v>
      </c>
      <c r="K8">
        <f t="shared" si="1"/>
        <v>45949</v>
      </c>
      <c r="L8">
        <f t="shared" si="1"/>
        <v>32582</v>
      </c>
      <c r="M8">
        <f t="shared" si="1"/>
        <v>33782</v>
      </c>
    </row>
    <row r="9" spans="1:15" x14ac:dyDescent="0.3">
      <c r="A9" s="3"/>
    </row>
    <row r="10" spans="1:15" x14ac:dyDescent="0.3">
      <c r="A10" s="3" t="s">
        <v>2</v>
      </c>
      <c r="B10" s="10">
        <v>1.5</v>
      </c>
      <c r="C10" s="10">
        <v>1.5</v>
      </c>
      <c r="D10" s="10">
        <v>1.5</v>
      </c>
      <c r="E10" s="10">
        <v>2</v>
      </c>
      <c r="F10" s="10">
        <v>2</v>
      </c>
      <c r="G10" s="10">
        <v>2</v>
      </c>
      <c r="H10" s="10">
        <v>2</v>
      </c>
      <c r="I10" s="10">
        <v>2</v>
      </c>
      <c r="J10" s="10">
        <v>2</v>
      </c>
      <c r="K10" s="10">
        <v>2</v>
      </c>
      <c r="L10" s="10">
        <v>2</v>
      </c>
      <c r="M10" s="10">
        <v>1.5</v>
      </c>
    </row>
    <row r="11" spans="1:15" x14ac:dyDescent="0.3">
      <c r="A11" s="3" t="s">
        <v>99</v>
      </c>
      <c r="B11" s="10">
        <f>(B8*0.0275)</f>
        <v>848.67750000000001</v>
      </c>
      <c r="C11" s="10">
        <f t="shared" ref="C11:M11" si="2">(C8*0.0275)</f>
        <v>867.24</v>
      </c>
      <c r="D11" s="10">
        <f t="shared" si="2"/>
        <v>885.80250000000001</v>
      </c>
      <c r="E11" s="10">
        <f t="shared" si="2"/>
        <v>904.36500000000001</v>
      </c>
      <c r="F11" s="10">
        <f t="shared" si="2"/>
        <v>974.84749999999997</v>
      </c>
      <c r="G11" s="10">
        <f t="shared" si="2"/>
        <v>1032.5975000000001</v>
      </c>
      <c r="H11" s="10">
        <f t="shared" si="2"/>
        <v>1090.3475000000001</v>
      </c>
      <c r="I11" s="10">
        <f t="shared" si="2"/>
        <v>1148.0975000000001</v>
      </c>
      <c r="J11" s="10">
        <f t="shared" si="2"/>
        <v>1205.8475000000001</v>
      </c>
      <c r="K11" s="10">
        <f t="shared" si="2"/>
        <v>1263.5975000000001</v>
      </c>
      <c r="L11" s="10">
        <f t="shared" si="2"/>
        <v>896.005</v>
      </c>
      <c r="M11" s="10">
        <f t="shared" si="2"/>
        <v>929.005</v>
      </c>
    </row>
    <row r="12" spans="1:15" x14ac:dyDescent="0.3">
      <c r="A12" s="3" t="s">
        <v>98</v>
      </c>
      <c r="K12">
        <f>(K5+K4)*0.6</f>
        <v>8740.1999999999989</v>
      </c>
    </row>
    <row r="13" spans="1:15" x14ac:dyDescent="0.3">
      <c r="A13" s="3" t="s">
        <v>3</v>
      </c>
      <c r="K13" s="11">
        <v>7.25</v>
      </c>
    </row>
    <row r="14" spans="1:15" x14ac:dyDescent="0.3">
      <c r="A14" s="3" t="s">
        <v>96</v>
      </c>
      <c r="G14" s="7">
        <v>70</v>
      </c>
    </row>
    <row r="15" spans="1:15" x14ac:dyDescent="0.3">
      <c r="A15" s="3" t="s">
        <v>93</v>
      </c>
      <c r="B15" s="7"/>
      <c r="G15" s="7">
        <f>SUM(B16:M16)*G14</f>
        <v>12780.414705882355</v>
      </c>
      <c r="H15" s="11"/>
    </row>
    <row r="16" spans="1:15" x14ac:dyDescent="0.3">
      <c r="A16" s="3" t="s">
        <v>4</v>
      </c>
      <c r="B16" s="10">
        <f>(B11*30)/(1100*0.85)</f>
        <v>27.230294117647059</v>
      </c>
      <c r="C16" s="10">
        <f>(C11*30)/(1100*0.85)</f>
        <v>27.825882352941179</v>
      </c>
      <c r="D16" s="10">
        <f>(D11*30)/(1100*0.85)</f>
        <v>28.421470588235294</v>
      </c>
      <c r="E16" s="10"/>
      <c r="K16" s="10">
        <f>(K11*30)/(1100*0.85)</f>
        <v>40.54323529411765</v>
      </c>
      <c r="L16" s="10">
        <f>(L11*30)/(1100*0.85)</f>
        <v>28.748823529411766</v>
      </c>
      <c r="M16" s="10">
        <f>(M11*30)/(1100*0.85)</f>
        <v>29.80764705882353</v>
      </c>
    </row>
    <row r="17" spans="1:15" x14ac:dyDescent="0.3">
      <c r="A17" s="3" t="s">
        <v>101</v>
      </c>
      <c r="E17">
        <v>800</v>
      </c>
      <c r="F17">
        <v>800</v>
      </c>
      <c r="G17">
        <v>800</v>
      </c>
      <c r="H17">
        <v>800</v>
      </c>
      <c r="I17">
        <v>800</v>
      </c>
      <c r="J17">
        <v>800</v>
      </c>
    </row>
    <row r="18" spans="1:15" x14ac:dyDescent="0.3">
      <c r="A18" s="3" t="s">
        <v>94</v>
      </c>
      <c r="E18">
        <v>14</v>
      </c>
      <c r="F18">
        <v>18</v>
      </c>
      <c r="G18">
        <v>24</v>
      </c>
      <c r="H18">
        <v>30</v>
      </c>
      <c r="I18">
        <v>36</v>
      </c>
      <c r="J18">
        <v>42</v>
      </c>
    </row>
    <row r="19" spans="1:15" x14ac:dyDescent="0.3">
      <c r="A19" s="3" t="s">
        <v>95</v>
      </c>
      <c r="E19" s="10">
        <f t="shared" ref="E19:J19" si="3">(E11*2)/E17</f>
        <v>2.2609124999999999</v>
      </c>
      <c r="F19" s="10">
        <f t="shared" si="3"/>
        <v>2.4371187499999998</v>
      </c>
      <c r="G19" s="10">
        <f t="shared" si="3"/>
        <v>2.5814937500000004</v>
      </c>
      <c r="H19" s="10">
        <f t="shared" si="3"/>
        <v>2.7258687500000001</v>
      </c>
      <c r="I19" s="10">
        <f t="shared" si="3"/>
        <v>2.8702437500000002</v>
      </c>
      <c r="J19" s="10">
        <f t="shared" si="3"/>
        <v>3.0146187500000003</v>
      </c>
    </row>
    <row r="20" spans="1:15" x14ac:dyDescent="0.3">
      <c r="A20" s="3" t="s">
        <v>100</v>
      </c>
      <c r="E20" s="10">
        <f t="shared" ref="E20:J20" si="4">((E18/2)+1)*E19</f>
        <v>18.087299999999999</v>
      </c>
      <c r="F20" s="10">
        <f t="shared" si="4"/>
        <v>24.371187499999998</v>
      </c>
      <c r="G20" s="10">
        <f t="shared" si="4"/>
        <v>33.559418750000006</v>
      </c>
      <c r="H20" s="10">
        <f t="shared" si="4"/>
        <v>43.613900000000001</v>
      </c>
      <c r="I20" s="10">
        <f t="shared" si="4"/>
        <v>54.534631250000004</v>
      </c>
      <c r="J20" s="10">
        <f t="shared" si="4"/>
        <v>66.321612500000015</v>
      </c>
    </row>
    <row r="21" spans="1:15" x14ac:dyDescent="0.3">
      <c r="A21" s="18" t="s">
        <v>5</v>
      </c>
      <c r="B21" s="19"/>
      <c r="C21" s="19"/>
      <c r="D21" s="19"/>
      <c r="E21" s="19"/>
      <c r="F21" s="19"/>
      <c r="G21" s="19"/>
      <c r="H21" s="19"/>
      <c r="I21" s="19"/>
      <c r="J21" s="19"/>
      <c r="K21" s="20">
        <f>K12*K13</f>
        <v>63366.44999999999</v>
      </c>
      <c r="L21" s="19"/>
      <c r="M21" s="19"/>
      <c r="N21" s="32">
        <f>SUM(B21:M21)</f>
        <v>63366.44999999999</v>
      </c>
      <c r="O21" s="30">
        <f>N21/$N$21</f>
        <v>1</v>
      </c>
    </row>
    <row r="22" spans="1:15" s="29" customFormat="1" x14ac:dyDescent="0.3">
      <c r="A22" s="25"/>
      <c r="K22" s="34"/>
      <c r="N22" s="35"/>
      <c r="O22" s="36"/>
    </row>
    <row r="23" spans="1:15" x14ac:dyDescent="0.3">
      <c r="A23" s="4" t="s">
        <v>6</v>
      </c>
      <c r="B23" s="12"/>
      <c r="C23" s="12"/>
      <c r="D23" s="12"/>
      <c r="E23" s="12"/>
      <c r="F23" s="12"/>
      <c r="G23" s="12"/>
      <c r="H23" s="12"/>
      <c r="I23" s="12"/>
      <c r="J23" s="12"/>
      <c r="K23" s="12">
        <f>(100*0.00065)*K5</f>
        <v>503.685</v>
      </c>
      <c r="L23" s="12"/>
      <c r="M23" s="12"/>
      <c r="N23" s="12">
        <f t="shared" ref="N23:N47" si="5">SUM(B23:M23)</f>
        <v>503.685</v>
      </c>
      <c r="O23" s="15">
        <f>N23/$N$21</f>
        <v>7.9487646854131816E-3</v>
      </c>
    </row>
    <row r="24" spans="1:15" x14ac:dyDescent="0.3">
      <c r="A24" s="4" t="s">
        <v>7</v>
      </c>
      <c r="B24" s="12"/>
      <c r="C24" s="12"/>
      <c r="D24" s="12"/>
      <c r="E24" s="12"/>
      <c r="F24" s="12"/>
      <c r="G24" s="12">
        <f>G15</f>
        <v>12780.414705882355</v>
      </c>
      <c r="H24" s="12"/>
      <c r="I24" s="12"/>
      <c r="J24" s="12"/>
      <c r="K24" s="12"/>
      <c r="L24" s="12"/>
      <c r="M24" s="12"/>
      <c r="N24" s="12">
        <f t="shared" si="5"/>
        <v>12780.414705882355</v>
      </c>
      <c r="O24" s="15">
        <f>N24/$N$21</f>
        <v>0.20169055874019071</v>
      </c>
    </row>
    <row r="25" spans="1:15" x14ac:dyDescent="0.3">
      <c r="A25" s="4" t="s">
        <v>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>
        <f t="shared" si="5"/>
        <v>0</v>
      </c>
      <c r="O25" s="15">
        <f>N25/$N$21</f>
        <v>0</v>
      </c>
    </row>
    <row r="26" spans="1:15" x14ac:dyDescent="0.3">
      <c r="A26" s="4" t="s">
        <v>9</v>
      </c>
      <c r="B26" s="12">
        <f t="shared" ref="B26:M26" si="6">((B8*0.000182)*0.5684)*30</f>
        <v>95.776002504000004</v>
      </c>
      <c r="C26" s="12">
        <f t="shared" si="6"/>
        <v>97.870840704000003</v>
      </c>
      <c r="D26" s="12">
        <f t="shared" si="6"/>
        <v>99.965678904000001</v>
      </c>
      <c r="E26" s="12">
        <f t="shared" si="6"/>
        <v>102.060517104</v>
      </c>
      <c r="F26" s="12">
        <f t="shared" si="6"/>
        <v>110.01469533600002</v>
      </c>
      <c r="G26" s="12">
        <f t="shared" si="6"/>
        <v>116.53196973600001</v>
      </c>
      <c r="H26" s="12">
        <f t="shared" si="6"/>
        <v>123.049244136</v>
      </c>
      <c r="I26" s="12">
        <f t="shared" si="6"/>
        <v>129.56651853599999</v>
      </c>
      <c r="J26" s="12">
        <f t="shared" si="6"/>
        <v>136.08379293600001</v>
      </c>
      <c r="K26" s="12">
        <f t="shared" si="6"/>
        <v>142.60106733600003</v>
      </c>
      <c r="L26" s="12">
        <f t="shared" si="6"/>
        <v>101.117064048</v>
      </c>
      <c r="M26" s="12">
        <f t="shared" si="6"/>
        <v>104.84122084800002</v>
      </c>
      <c r="N26" s="12">
        <f t="shared" si="5"/>
        <v>1359.4786121279999</v>
      </c>
      <c r="O26" s="15">
        <f t="shared" ref="O26:O47" si="7">N26/$N$21</f>
        <v>2.1454233464680443E-2</v>
      </c>
    </row>
    <row r="27" spans="1:15" x14ac:dyDescent="0.3">
      <c r="A27" s="4" t="s">
        <v>10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>
        <f t="shared" si="5"/>
        <v>0</v>
      </c>
      <c r="O27" s="15">
        <f t="shared" si="7"/>
        <v>0</v>
      </c>
    </row>
    <row r="28" spans="1:15" x14ac:dyDescent="0.3">
      <c r="A28" s="4" t="s">
        <v>11</v>
      </c>
      <c r="B28" s="12">
        <v>250</v>
      </c>
      <c r="C28" s="12"/>
      <c r="D28" s="12"/>
      <c r="E28" s="12">
        <v>250</v>
      </c>
      <c r="F28" s="12"/>
      <c r="G28" s="12"/>
      <c r="H28" s="12">
        <v>250</v>
      </c>
      <c r="I28" s="12"/>
      <c r="J28" s="12"/>
      <c r="K28" s="12">
        <v>250</v>
      </c>
      <c r="L28" s="12"/>
      <c r="M28" s="12"/>
      <c r="N28" s="12">
        <f t="shared" si="5"/>
        <v>1000</v>
      </c>
      <c r="O28" s="15">
        <f t="shared" si="7"/>
        <v>1.5781221766407935E-2</v>
      </c>
    </row>
    <row r="29" spans="1:15" x14ac:dyDescent="0.3">
      <c r="A29" s="4" t="s">
        <v>12</v>
      </c>
      <c r="B29" s="12">
        <v>40</v>
      </c>
      <c r="C29" s="12">
        <v>40</v>
      </c>
      <c r="D29" s="12">
        <v>40</v>
      </c>
      <c r="E29" s="12">
        <v>40</v>
      </c>
      <c r="F29" s="12">
        <v>40</v>
      </c>
      <c r="G29" s="12">
        <v>40</v>
      </c>
      <c r="H29" s="12">
        <v>40</v>
      </c>
      <c r="I29" s="12">
        <v>40</v>
      </c>
      <c r="J29" s="12">
        <v>40</v>
      </c>
      <c r="K29" s="12">
        <v>40</v>
      </c>
      <c r="L29" s="12">
        <v>40</v>
      </c>
      <c r="M29" s="12">
        <v>40</v>
      </c>
      <c r="N29" s="12">
        <f t="shared" si="5"/>
        <v>480</v>
      </c>
      <c r="O29" s="15">
        <f t="shared" si="7"/>
        <v>7.5749864478758091E-3</v>
      </c>
    </row>
    <row r="30" spans="1:15" x14ac:dyDescent="0.3">
      <c r="A30" s="4" t="s">
        <v>13</v>
      </c>
      <c r="B30" s="12"/>
      <c r="C30" s="12"/>
      <c r="D30" s="12"/>
      <c r="E30" s="12">
        <f>(SQRT(J19*43560)*4)*0.24</f>
        <v>347.88152609530732</v>
      </c>
      <c r="F30" s="12"/>
      <c r="G30" s="12"/>
      <c r="H30" s="12"/>
      <c r="I30" s="12"/>
      <c r="J30" s="12">
        <f>(SQRT(J20*43560))*0.24</f>
        <v>407.92724813721384</v>
      </c>
      <c r="K30" s="12"/>
      <c r="L30" s="12"/>
      <c r="M30" s="12"/>
      <c r="N30" s="12">
        <f t="shared" si="5"/>
        <v>755.80877423252116</v>
      </c>
      <c r="O30" s="15">
        <f t="shared" si="7"/>
        <v>1.1927585879160365E-2</v>
      </c>
    </row>
    <row r="31" spans="1:15" x14ac:dyDescent="0.3">
      <c r="A31" s="4" t="s">
        <v>14</v>
      </c>
      <c r="B31" s="12"/>
      <c r="C31" s="12"/>
      <c r="D31" s="12"/>
      <c r="E31" s="12"/>
      <c r="F31" s="12"/>
      <c r="G31" s="12"/>
      <c r="H31" s="12"/>
      <c r="I31" s="12"/>
      <c r="J31" s="12"/>
      <c r="K31" s="12">
        <f>K5*0.7</f>
        <v>5424.2999999999993</v>
      </c>
      <c r="L31" s="12"/>
      <c r="M31" s="12"/>
      <c r="N31" s="12">
        <f t="shared" si="5"/>
        <v>5424.2999999999993</v>
      </c>
      <c r="O31" s="15">
        <f t="shared" si="7"/>
        <v>8.560208122752655E-2</v>
      </c>
    </row>
    <row r="32" spans="1:15" x14ac:dyDescent="0.3">
      <c r="A32" s="4" t="s">
        <v>15</v>
      </c>
      <c r="B32" s="12">
        <f t="shared" ref="B32:M32" si="8">B8*0.005</f>
        <v>154.30500000000001</v>
      </c>
      <c r="C32" s="12">
        <f t="shared" si="8"/>
        <v>157.68</v>
      </c>
      <c r="D32" s="12">
        <f t="shared" si="8"/>
        <v>161.05500000000001</v>
      </c>
      <c r="E32" s="12">
        <f t="shared" si="8"/>
        <v>164.43</v>
      </c>
      <c r="F32" s="12">
        <f t="shared" si="8"/>
        <v>177.245</v>
      </c>
      <c r="G32" s="12">
        <f t="shared" si="8"/>
        <v>187.745</v>
      </c>
      <c r="H32" s="12">
        <f t="shared" si="8"/>
        <v>198.245</v>
      </c>
      <c r="I32" s="12">
        <f t="shared" si="8"/>
        <v>208.745</v>
      </c>
      <c r="J32" s="12">
        <f t="shared" si="8"/>
        <v>219.245</v>
      </c>
      <c r="K32" s="12">
        <f t="shared" si="8"/>
        <v>229.745</v>
      </c>
      <c r="L32" s="12">
        <f t="shared" si="8"/>
        <v>162.91</v>
      </c>
      <c r="M32" s="12">
        <f t="shared" si="8"/>
        <v>168.91</v>
      </c>
      <c r="N32" s="12">
        <f t="shared" si="5"/>
        <v>2190.2599999999998</v>
      </c>
      <c r="O32" s="15">
        <f t="shared" si="7"/>
        <v>3.4564978786092646E-2</v>
      </c>
    </row>
    <row r="33" spans="1:15" x14ac:dyDescent="0.3">
      <c r="A33" s="18" t="s">
        <v>16</v>
      </c>
      <c r="B33" s="21">
        <f t="shared" ref="B33:M33" si="9">SUM(B23:B32)</f>
        <v>540.08100250400003</v>
      </c>
      <c r="C33" s="21">
        <f t="shared" si="9"/>
        <v>295.550840704</v>
      </c>
      <c r="D33" s="21">
        <f t="shared" si="9"/>
        <v>301.02067890400002</v>
      </c>
      <c r="E33" s="21">
        <f t="shared" si="9"/>
        <v>904.37204319930743</v>
      </c>
      <c r="F33" s="21">
        <f t="shared" si="9"/>
        <v>327.25969533600005</v>
      </c>
      <c r="G33" s="21">
        <f t="shared" si="9"/>
        <v>13124.691675618355</v>
      </c>
      <c r="H33" s="21">
        <f t="shared" si="9"/>
        <v>611.29424413599997</v>
      </c>
      <c r="I33" s="21">
        <f t="shared" si="9"/>
        <v>378.31151853599999</v>
      </c>
      <c r="J33" s="21">
        <f t="shared" si="9"/>
        <v>803.25604107321385</v>
      </c>
      <c r="K33" s="21">
        <f t="shared" si="9"/>
        <v>6590.3310673359993</v>
      </c>
      <c r="L33" s="21">
        <f t="shared" si="9"/>
        <v>304.027064048</v>
      </c>
      <c r="M33" s="21">
        <f t="shared" si="9"/>
        <v>313.751220848</v>
      </c>
      <c r="N33" s="32">
        <f t="shared" si="5"/>
        <v>24493.947092242877</v>
      </c>
      <c r="O33" s="30">
        <f t="shared" si="7"/>
        <v>0.38654441099734765</v>
      </c>
    </row>
    <row r="34" spans="1:15" s="29" customFormat="1" x14ac:dyDescent="0.3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  <c r="O34" s="28"/>
    </row>
    <row r="35" spans="1:15" x14ac:dyDescent="0.3">
      <c r="A35" s="17" t="s">
        <v>17</v>
      </c>
      <c r="B35" s="22">
        <f t="shared" ref="B35:M35" si="10">B21-B33</f>
        <v>-540.08100250400003</v>
      </c>
      <c r="C35" s="22">
        <f t="shared" si="10"/>
        <v>-295.550840704</v>
      </c>
      <c r="D35" s="22">
        <f t="shared" si="10"/>
        <v>-301.02067890400002</v>
      </c>
      <c r="E35" s="22">
        <f t="shared" si="10"/>
        <v>-904.37204319930743</v>
      </c>
      <c r="F35" s="22">
        <f t="shared" si="10"/>
        <v>-327.25969533600005</v>
      </c>
      <c r="G35" s="22">
        <f t="shared" si="10"/>
        <v>-13124.691675618355</v>
      </c>
      <c r="H35" s="22">
        <f t="shared" si="10"/>
        <v>-611.29424413599997</v>
      </c>
      <c r="I35" s="22">
        <f t="shared" si="10"/>
        <v>-378.31151853599999</v>
      </c>
      <c r="J35" s="22">
        <f t="shared" si="10"/>
        <v>-803.25604107321385</v>
      </c>
      <c r="K35" s="22">
        <f t="shared" si="10"/>
        <v>56776.118932663987</v>
      </c>
      <c r="L35" s="22">
        <f t="shared" si="10"/>
        <v>-304.027064048</v>
      </c>
      <c r="M35" s="22">
        <f t="shared" si="10"/>
        <v>-313.751220848</v>
      </c>
      <c r="N35" s="33">
        <f t="shared" si="5"/>
        <v>38872.502907757116</v>
      </c>
      <c r="O35" s="31">
        <f t="shared" si="7"/>
        <v>0.6134555890026524</v>
      </c>
    </row>
    <row r="36" spans="1:15" s="29" customFormat="1" x14ac:dyDescent="0.3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8"/>
    </row>
    <row r="37" spans="1:15" x14ac:dyDescent="0.3">
      <c r="A37" s="2" t="s">
        <v>18</v>
      </c>
      <c r="N37" s="12">
        <f t="shared" si="5"/>
        <v>0</v>
      </c>
      <c r="O37" s="15">
        <f t="shared" si="7"/>
        <v>0</v>
      </c>
    </row>
    <row r="38" spans="1:15" x14ac:dyDescent="0.3">
      <c r="A38" s="5" t="s">
        <v>19</v>
      </c>
      <c r="B38" s="12"/>
      <c r="C38" s="12"/>
      <c r="D38" s="12">
        <f>$C$50*0.005</f>
        <v>25</v>
      </c>
      <c r="E38" s="12">
        <f>$C$50*0.005</f>
        <v>25</v>
      </c>
      <c r="F38" s="12">
        <f>$C$50*0.005</f>
        <v>25</v>
      </c>
      <c r="G38" s="12">
        <f>$C$50*0.005</f>
        <v>25</v>
      </c>
      <c r="H38" s="12">
        <f>($C$50+$G$50)*0.005</f>
        <v>100</v>
      </c>
      <c r="I38" s="12">
        <f t="shared" ref="I38:L38" si="11">($C$50+$G$50)*0.005</f>
        <v>100</v>
      </c>
      <c r="J38" s="12">
        <f t="shared" si="11"/>
        <v>100</v>
      </c>
      <c r="K38" s="12">
        <f t="shared" si="11"/>
        <v>100</v>
      </c>
      <c r="L38" s="12">
        <f t="shared" si="11"/>
        <v>100</v>
      </c>
      <c r="M38" s="12"/>
      <c r="N38" s="12">
        <f t="shared" si="5"/>
        <v>600</v>
      </c>
      <c r="O38" s="15">
        <f t="shared" si="7"/>
        <v>9.4687330598447611E-3</v>
      </c>
    </row>
    <row r="39" spans="1:15" x14ac:dyDescent="0.3">
      <c r="A39" s="5" t="s">
        <v>20</v>
      </c>
      <c r="B39" s="12">
        <f>$K$21*0.0035</f>
        <v>221.78257499999998</v>
      </c>
      <c r="C39" s="12">
        <f t="shared" ref="C39:M39" si="12">$K$21*0.0035</f>
        <v>221.78257499999998</v>
      </c>
      <c r="D39" s="12">
        <f t="shared" si="12"/>
        <v>221.78257499999998</v>
      </c>
      <c r="E39" s="12">
        <f t="shared" si="12"/>
        <v>221.78257499999998</v>
      </c>
      <c r="F39" s="12">
        <f t="shared" si="12"/>
        <v>221.78257499999998</v>
      </c>
      <c r="G39" s="12">
        <f t="shared" si="12"/>
        <v>221.78257499999998</v>
      </c>
      <c r="H39" s="12">
        <f t="shared" si="12"/>
        <v>221.78257499999998</v>
      </c>
      <c r="I39" s="12">
        <f t="shared" si="12"/>
        <v>221.78257499999998</v>
      </c>
      <c r="J39" s="12">
        <f t="shared" si="12"/>
        <v>221.78257499999998</v>
      </c>
      <c r="K39" s="12">
        <f t="shared" si="12"/>
        <v>221.78257499999998</v>
      </c>
      <c r="L39" s="12">
        <f t="shared" si="12"/>
        <v>221.78257499999998</v>
      </c>
      <c r="M39" s="12">
        <f t="shared" si="12"/>
        <v>221.78257499999998</v>
      </c>
      <c r="N39" s="12">
        <f t="shared" si="5"/>
        <v>2661.3909000000003</v>
      </c>
      <c r="O39" s="15">
        <f t="shared" si="7"/>
        <v>4.200000000000001E-2</v>
      </c>
    </row>
    <row r="40" spans="1:15" x14ac:dyDescent="0.3">
      <c r="A40" s="5" t="s">
        <v>21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>
        <f t="shared" si="5"/>
        <v>0</v>
      </c>
      <c r="O40" s="15">
        <f t="shared" si="7"/>
        <v>0</v>
      </c>
    </row>
    <row r="41" spans="1:15" x14ac:dyDescent="0.3">
      <c r="A41" s="5" t="s">
        <v>22</v>
      </c>
      <c r="B41" s="12">
        <v>100</v>
      </c>
      <c r="C41" s="12">
        <v>100</v>
      </c>
      <c r="D41" s="12">
        <v>100</v>
      </c>
      <c r="E41" s="12">
        <v>100</v>
      </c>
      <c r="F41" s="12">
        <v>100</v>
      </c>
      <c r="G41" s="12">
        <v>100</v>
      </c>
      <c r="H41" s="12">
        <v>100</v>
      </c>
      <c r="I41" s="12">
        <v>100</v>
      </c>
      <c r="J41" s="12">
        <v>100</v>
      </c>
      <c r="K41" s="12">
        <v>100</v>
      </c>
      <c r="L41" s="12">
        <v>100</v>
      </c>
      <c r="M41" s="12">
        <v>100</v>
      </c>
      <c r="N41" s="12">
        <f t="shared" si="5"/>
        <v>1200</v>
      </c>
      <c r="O41" s="15">
        <f t="shared" si="7"/>
        <v>1.8937466119689522E-2</v>
      </c>
    </row>
    <row r="42" spans="1:15" x14ac:dyDescent="0.3">
      <c r="A42" s="5" t="s">
        <v>23</v>
      </c>
      <c r="B42" s="12"/>
      <c r="C42" s="12"/>
      <c r="D42" s="12"/>
      <c r="E42" s="12"/>
      <c r="F42" s="12"/>
      <c r="G42" s="12"/>
      <c r="H42" s="12"/>
      <c r="I42" s="12"/>
      <c r="J42" s="12"/>
      <c r="K42" s="12">
        <v>26000</v>
      </c>
      <c r="L42" s="12"/>
      <c r="M42" s="12"/>
      <c r="N42" s="12">
        <f t="shared" si="5"/>
        <v>26000</v>
      </c>
      <c r="O42" s="15">
        <f t="shared" si="7"/>
        <v>0.41031176592660634</v>
      </c>
    </row>
    <row r="43" spans="1:15" x14ac:dyDescent="0.3">
      <c r="A43" s="5" t="s">
        <v>97</v>
      </c>
      <c r="B43" s="12">
        <f>($K$21*(0.035/12))</f>
        <v>184.81881249999998</v>
      </c>
      <c r="C43" s="12">
        <f t="shared" ref="C43:M43" si="13">($K$21*(0.035/12))</f>
        <v>184.81881249999998</v>
      </c>
      <c r="D43" s="12">
        <f t="shared" si="13"/>
        <v>184.81881249999998</v>
      </c>
      <c r="E43" s="12">
        <f t="shared" si="13"/>
        <v>184.81881249999998</v>
      </c>
      <c r="F43" s="12">
        <f t="shared" si="13"/>
        <v>184.81881249999998</v>
      </c>
      <c r="G43" s="12">
        <f t="shared" si="13"/>
        <v>184.81881249999998</v>
      </c>
      <c r="H43" s="12">
        <f t="shared" si="13"/>
        <v>184.81881249999998</v>
      </c>
      <c r="I43" s="12">
        <f t="shared" si="13"/>
        <v>184.81881249999998</v>
      </c>
      <c r="J43" s="12">
        <f t="shared" si="13"/>
        <v>184.81881249999998</v>
      </c>
      <c r="K43" s="12">
        <f t="shared" si="13"/>
        <v>184.81881249999998</v>
      </c>
      <c r="L43" s="12">
        <f t="shared" si="13"/>
        <v>184.81881249999998</v>
      </c>
      <c r="M43" s="12">
        <f t="shared" si="13"/>
        <v>184.81881249999998</v>
      </c>
      <c r="N43" s="12">
        <f t="shared" si="5"/>
        <v>2217.8257499999995</v>
      </c>
      <c r="O43" s="15">
        <f t="shared" si="7"/>
        <v>3.4999999999999996E-2</v>
      </c>
    </row>
    <row r="44" spans="1:15" x14ac:dyDescent="0.3">
      <c r="A44" s="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5"/>
    </row>
    <row r="45" spans="1:15" x14ac:dyDescent="0.3">
      <c r="A45" s="18" t="s">
        <v>24</v>
      </c>
      <c r="B45" s="21">
        <f t="shared" ref="B45:M45" si="14">SUM(B38:B43)</f>
        <v>506.60138749999993</v>
      </c>
      <c r="C45" s="21">
        <f t="shared" si="14"/>
        <v>506.60138749999993</v>
      </c>
      <c r="D45" s="21">
        <f t="shared" si="14"/>
        <v>531.60138749999987</v>
      </c>
      <c r="E45" s="21">
        <f t="shared" si="14"/>
        <v>531.60138749999987</v>
      </c>
      <c r="F45" s="21">
        <f t="shared" si="14"/>
        <v>531.60138749999987</v>
      </c>
      <c r="G45" s="21">
        <f t="shared" si="14"/>
        <v>531.60138749999987</v>
      </c>
      <c r="H45" s="21">
        <f t="shared" si="14"/>
        <v>606.60138749999987</v>
      </c>
      <c r="I45" s="21">
        <f t="shared" si="14"/>
        <v>606.60138749999987</v>
      </c>
      <c r="J45" s="21">
        <f t="shared" si="14"/>
        <v>606.60138749999987</v>
      </c>
      <c r="K45" s="21">
        <f t="shared" si="14"/>
        <v>26606.601387500003</v>
      </c>
      <c r="L45" s="21">
        <f t="shared" si="14"/>
        <v>606.60138749999987</v>
      </c>
      <c r="M45" s="21">
        <f t="shared" si="14"/>
        <v>506.60138749999993</v>
      </c>
      <c r="N45" s="32">
        <f t="shared" si="5"/>
        <v>32679.216649999998</v>
      </c>
      <c r="O45" s="30">
        <f t="shared" si="7"/>
        <v>0.51571796510614065</v>
      </c>
    </row>
    <row r="46" spans="1:15" s="29" customFormat="1" x14ac:dyDescent="0.3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7"/>
      <c r="O46" s="28"/>
    </row>
    <row r="47" spans="1:15" x14ac:dyDescent="0.3">
      <c r="A47" s="17" t="s">
        <v>25</v>
      </c>
      <c r="B47" s="22">
        <f t="shared" ref="B47:M47" si="15">B21-(B33+B45)</f>
        <v>-1046.6823900039999</v>
      </c>
      <c r="C47" s="22">
        <f t="shared" si="15"/>
        <v>-802.15222820399993</v>
      </c>
      <c r="D47" s="22">
        <f t="shared" si="15"/>
        <v>-832.62206640399995</v>
      </c>
      <c r="E47" s="22">
        <f t="shared" si="15"/>
        <v>-1435.9734306993073</v>
      </c>
      <c r="F47" s="22">
        <f t="shared" si="15"/>
        <v>-858.86108283599992</v>
      </c>
      <c r="G47" s="22">
        <f t="shared" si="15"/>
        <v>-13656.293063118355</v>
      </c>
      <c r="H47" s="22">
        <f t="shared" si="15"/>
        <v>-1217.895631636</v>
      </c>
      <c r="I47" s="22">
        <f t="shared" si="15"/>
        <v>-984.91290603599987</v>
      </c>
      <c r="J47" s="22">
        <f t="shared" si="15"/>
        <v>-1409.8574285732138</v>
      </c>
      <c r="K47" s="22">
        <f t="shared" si="15"/>
        <v>30169.517545163988</v>
      </c>
      <c r="L47" s="22">
        <f t="shared" si="15"/>
        <v>-910.62845154799993</v>
      </c>
      <c r="M47" s="22">
        <f t="shared" si="15"/>
        <v>-820.35260834799988</v>
      </c>
      <c r="N47" s="33">
        <f t="shared" si="5"/>
        <v>6193.2862577571132</v>
      </c>
      <c r="O47" s="31">
        <f t="shared" si="7"/>
        <v>9.7737623896511708E-2</v>
      </c>
    </row>
    <row r="48" spans="1:15" s="29" customFormat="1" x14ac:dyDescent="0.3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7"/>
      <c r="O48" s="28"/>
    </row>
    <row r="49" spans="1:13" x14ac:dyDescent="0.3">
      <c r="A49" s="23" t="s">
        <v>26</v>
      </c>
      <c r="B49" s="16">
        <f>'Cash Flow 1'!M51</f>
        <v>2334.600068209139</v>
      </c>
      <c r="C49" s="16">
        <f>B53</f>
        <v>1287.9176782051391</v>
      </c>
      <c r="D49" s="16">
        <f t="shared" ref="D49:M49" si="16">C53</f>
        <v>5485.7654500011395</v>
      </c>
      <c r="E49" s="16">
        <f t="shared" si="16"/>
        <v>4653.1433835971393</v>
      </c>
      <c r="F49" s="16">
        <f t="shared" si="16"/>
        <v>3217.169952897832</v>
      </c>
      <c r="G49" s="16">
        <f t="shared" si="16"/>
        <v>2358.3088700618318</v>
      </c>
      <c r="H49" s="16">
        <f t="shared" si="16"/>
        <v>3702.0158069434765</v>
      </c>
      <c r="I49" s="16">
        <f t="shared" si="16"/>
        <v>2484.1201753074765</v>
      </c>
      <c r="J49" s="16">
        <f t="shared" si="16"/>
        <v>1499.2072692714767</v>
      </c>
      <c r="K49" s="16">
        <f t="shared" si="16"/>
        <v>89.349840698262824</v>
      </c>
      <c r="L49" s="16">
        <f t="shared" si="16"/>
        <v>10258.86738586225</v>
      </c>
      <c r="M49" s="16">
        <f t="shared" si="16"/>
        <v>9348.2389343142495</v>
      </c>
    </row>
    <row r="50" spans="1:13" x14ac:dyDescent="0.3">
      <c r="A50" s="23" t="s">
        <v>27</v>
      </c>
      <c r="B50" s="16"/>
      <c r="C50" s="16">
        <v>5000</v>
      </c>
      <c r="D50" s="24"/>
      <c r="E50" s="24"/>
      <c r="F50" s="16"/>
      <c r="G50" s="16">
        <v>15000</v>
      </c>
      <c r="H50" s="16"/>
      <c r="I50" s="16"/>
      <c r="J50" s="16"/>
      <c r="K50" s="16"/>
      <c r="L50" s="16"/>
      <c r="M50" s="16"/>
    </row>
    <row r="51" spans="1:13" x14ac:dyDescent="0.3">
      <c r="A51" s="23" t="s">
        <v>28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3">
      <c r="A52" s="23" t="s">
        <v>29</v>
      </c>
      <c r="B52" s="16"/>
      <c r="C52" s="16"/>
      <c r="D52" s="16"/>
      <c r="E52" s="16"/>
      <c r="F52" s="16"/>
      <c r="G52" s="16"/>
      <c r="H52" s="16"/>
      <c r="I52" s="16"/>
      <c r="J52" s="16"/>
      <c r="K52" s="16">
        <v>-20000</v>
      </c>
      <c r="L52" s="16"/>
      <c r="M52" s="16"/>
    </row>
    <row r="53" spans="1:13" x14ac:dyDescent="0.3">
      <c r="A53" s="23" t="s">
        <v>30</v>
      </c>
      <c r="B53" s="16">
        <f>SUM(B47:B52)</f>
        <v>1287.9176782051391</v>
      </c>
      <c r="C53" s="16">
        <f t="shared" ref="C53:M53" si="17">SUM(C47:C52)</f>
        <v>5485.7654500011395</v>
      </c>
      <c r="D53" s="16">
        <f t="shared" si="17"/>
        <v>4653.1433835971393</v>
      </c>
      <c r="E53" s="16">
        <f t="shared" si="17"/>
        <v>3217.169952897832</v>
      </c>
      <c r="F53" s="16">
        <f t="shared" si="17"/>
        <v>2358.3088700618318</v>
      </c>
      <c r="G53" s="16">
        <f t="shared" si="17"/>
        <v>3702.0158069434765</v>
      </c>
      <c r="H53" s="16">
        <f t="shared" si="17"/>
        <v>2484.1201753074765</v>
      </c>
      <c r="I53" s="16">
        <f t="shared" si="17"/>
        <v>1499.2072692714767</v>
      </c>
      <c r="J53" s="16">
        <f t="shared" si="17"/>
        <v>89.349840698262824</v>
      </c>
      <c r="K53" s="16">
        <f t="shared" si="17"/>
        <v>10258.86738586225</v>
      </c>
      <c r="L53" s="16">
        <f t="shared" si="17"/>
        <v>9348.2389343142495</v>
      </c>
      <c r="M53" s="16">
        <f t="shared" si="17"/>
        <v>8527.8863259662503</v>
      </c>
    </row>
  </sheetData>
  <printOptions gridLines="1"/>
  <pageMargins left="0.7" right="0.7" top="0.75" bottom="0.75" header="0.3" footer="0.3"/>
  <pageSetup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Herd 1</vt:lpstr>
      <vt:lpstr>Cash Flow 1</vt:lpstr>
      <vt:lpstr>Herd 2</vt:lpstr>
      <vt:lpstr>Cash Flow 2</vt:lpstr>
      <vt:lpstr>'Cash Flow 1'!Print_Area</vt:lpstr>
      <vt:lpstr>'Cash Flow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Matteson</dc:creator>
  <cp:lastModifiedBy>Tyler Matteson</cp:lastModifiedBy>
  <cp:lastPrinted>2017-09-25T13:08:16Z</cp:lastPrinted>
  <dcterms:created xsi:type="dcterms:W3CDTF">2016-12-15T18:35:27Z</dcterms:created>
  <dcterms:modified xsi:type="dcterms:W3CDTF">2017-09-25T20:00:12Z</dcterms:modified>
</cp:coreProperties>
</file>