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R\RX_Fire_Monitoring\RX_Fire_Monitoring\HolyGrail\data\raw\"/>
    </mc:Choice>
  </mc:AlternateContent>
  <xr:revisionPtr revIDLastSave="0" documentId="13_ncr:1_{6268A400-9EDD-4033-ADB8-687143819D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5" i="1" l="1"/>
  <c r="H106" i="1"/>
  <c r="H107" i="1"/>
  <c r="H108" i="1"/>
  <c r="H109" i="1"/>
  <c r="H110" i="1"/>
  <c r="H111" i="1"/>
  <c r="H105" i="1"/>
  <c r="F111" i="1"/>
  <c r="R57" i="1"/>
  <c r="B57" i="1"/>
  <c r="B51" i="1"/>
  <c r="C176" i="1" l="1"/>
  <c r="C184" i="1" s="1"/>
  <c r="C180" i="1"/>
  <c r="B183" i="1"/>
  <c r="B182" i="1"/>
  <c r="C185" i="1" l="1"/>
  <c r="B180" i="1"/>
  <c r="C178" i="1" l="1"/>
  <c r="C179" i="1" s="1"/>
  <c r="B178" i="1"/>
  <c r="B179" i="1" s="1"/>
  <c r="B181" i="1" s="1"/>
  <c r="C154" i="1" l="1"/>
  <c r="C153" i="1"/>
  <c r="C151" i="1"/>
  <c r="B157" i="1"/>
  <c r="B154" i="1" l="1"/>
  <c r="B153" i="1"/>
  <c r="B152" i="1"/>
  <c r="B151" i="1"/>
  <c r="L84" i="1" l="1"/>
  <c r="M78" i="1"/>
  <c r="M79" i="1"/>
  <c r="M84" i="1" s="1"/>
  <c r="O61" i="1"/>
  <c r="R59" i="1"/>
  <c r="K58" i="1"/>
  <c r="K61" i="1" s="1"/>
  <c r="R58" i="1" l="1"/>
  <c r="C97" i="1"/>
  <c r="J92" i="1"/>
  <c r="J91" i="1"/>
  <c r="J90" i="1"/>
  <c r="J89" i="1"/>
  <c r="G98" i="1"/>
  <c r="F98" i="1"/>
  <c r="J101" i="1" l="1"/>
  <c r="K101" i="1"/>
  <c r="B82" i="1"/>
  <c r="C80" i="1" l="1"/>
  <c r="B83" i="1"/>
  <c r="B81" i="1"/>
  <c r="B80" i="1"/>
  <c r="B78" i="1"/>
  <c r="B77" i="1"/>
  <c r="H61" i="1"/>
  <c r="R61" i="1" s="1"/>
  <c r="B128" i="1" l="1"/>
  <c r="C14" i="1"/>
  <c r="C50" i="1"/>
  <c r="C39" i="1"/>
  <c r="C38" i="1"/>
  <c r="B50" i="1"/>
  <c r="B49" i="1"/>
  <c r="B48" i="1"/>
  <c r="B45" i="1"/>
  <c r="B44" i="1"/>
  <c r="B39" i="1"/>
  <c r="B20" i="1"/>
  <c r="B30" i="1"/>
  <c r="B24" i="1"/>
  <c r="B19" i="1"/>
  <c r="E105" i="1" l="1"/>
  <c r="E111" i="1" s="1"/>
  <c r="D110" i="1"/>
  <c r="D109" i="1"/>
  <c r="D108" i="1"/>
  <c r="D107" i="1"/>
  <c r="D106" i="1"/>
  <c r="D105" i="1"/>
  <c r="C110" i="1"/>
  <c r="C109" i="1"/>
  <c r="C108" i="1"/>
  <c r="C107" i="1"/>
  <c r="C106" i="1"/>
  <c r="C105" i="1"/>
  <c r="B110" i="1"/>
  <c r="B109" i="1"/>
  <c r="B108" i="1"/>
  <c r="B107" i="1"/>
  <c r="B106" i="1"/>
  <c r="B105" i="1"/>
  <c r="D111" i="1" l="1"/>
  <c r="B97" i="1"/>
  <c r="C70" i="1"/>
  <c r="C67" i="1"/>
  <c r="C66" i="1"/>
  <c r="B27" i="1"/>
  <c r="C15" i="1"/>
  <c r="B14" i="1"/>
  <c r="C98" i="1"/>
  <c r="B132" i="1"/>
  <c r="D60" i="1"/>
  <c r="R60" i="1" s="1"/>
  <c r="B70" i="1"/>
  <c r="B67" i="1"/>
  <c r="B66" i="1"/>
  <c r="B73" i="1" s="1"/>
  <c r="D57" i="1"/>
  <c r="B34" i="1" l="1"/>
  <c r="C34" i="1"/>
  <c r="B72" i="1"/>
  <c r="B32" i="1"/>
  <c r="B145" i="1"/>
  <c r="B144" i="1"/>
  <c r="B143" i="1"/>
  <c r="B142" i="1"/>
  <c r="C127" i="1"/>
  <c r="B120" i="1"/>
  <c r="B119" i="1"/>
  <c r="B117" i="1"/>
  <c r="C85" i="1"/>
  <c r="C61" i="1"/>
  <c r="C59" i="1"/>
  <c r="C58" i="1"/>
  <c r="C57" i="1"/>
  <c r="C24" i="1"/>
  <c r="C20" i="1"/>
  <c r="C122" i="1" l="1"/>
  <c r="B147" i="1"/>
  <c r="C131" i="1" s="1"/>
  <c r="C155" i="1" s="1"/>
  <c r="C160" i="1" s="1"/>
  <c r="B146" i="1"/>
  <c r="B131" i="1" s="1"/>
  <c r="C33" i="1"/>
  <c r="C32" i="1"/>
  <c r="C51" i="1"/>
  <c r="C52" i="1"/>
  <c r="C84" i="1"/>
  <c r="B84" i="1"/>
  <c r="B122" i="1"/>
  <c r="C111" i="1"/>
  <c r="B111" i="1"/>
  <c r="C60" i="1"/>
  <c r="B155" i="1" l="1"/>
  <c r="B135" i="1"/>
  <c r="C135" i="1"/>
  <c r="C136" i="1"/>
  <c r="B161" i="1" l="1"/>
  <c r="C161" i="1"/>
  <c r="B159" i="1"/>
  <c r="C159" i="1"/>
</calcChain>
</file>

<file path=xl/sharedStrings.xml><?xml version="1.0" encoding="utf-8"?>
<sst xmlns="http://schemas.openxmlformats.org/spreadsheetml/2006/main" count="405" uniqueCount="187">
  <si>
    <t>Canopy cover (%):</t>
  </si>
  <si>
    <t>Location</t>
  </si>
  <si>
    <t>Mean</t>
  </si>
  <si>
    <t>SD</t>
  </si>
  <si>
    <t>Reference</t>
  </si>
  <si>
    <t>Tahoe Basin - east shore</t>
  </si>
  <si>
    <t>Taylor (2004)</t>
  </si>
  <si>
    <t>Lassen NF - ponderosa pine</t>
  </si>
  <si>
    <t>Taylor (2010)</t>
  </si>
  <si>
    <t>Sierra San Pedro Martir</t>
  </si>
  <si>
    <t>Stephens and Gill (2005)</t>
  </si>
  <si>
    <t>Sierra Juarez</t>
  </si>
  <si>
    <t>Safford (in prep)</t>
  </si>
  <si>
    <t>Sierra NF - ponderosa pine</t>
  </si>
  <si>
    <t>Meyer et al. (2013)</t>
  </si>
  <si>
    <t>Grand mean:</t>
  </si>
  <si>
    <t>Avg St Dev</t>
  </si>
  <si>
    <t>SD:</t>
  </si>
  <si>
    <t>Tahoe Basin</t>
  </si>
  <si>
    <t>Taylor (2004) &gt;10 cm dbh</t>
  </si>
  <si>
    <t>Stephens and Gill (2005) all sizes</t>
  </si>
  <si>
    <t>Lyderson and North (2012)</t>
  </si>
  <si>
    <t>Meyer et al. (2013) &gt;10 cm dbh</t>
  </si>
  <si>
    <t>Lassen NF</t>
  </si>
  <si>
    <t>Sierra Nevada</t>
  </si>
  <si>
    <t>Lyderson and North (2012) -Yellow pine only (N = 86)</t>
  </si>
  <si>
    <t>Beaver Creek Pinery</t>
  </si>
  <si>
    <t>Sierra NF</t>
  </si>
  <si>
    <t>Barbour et al. (2002)</t>
  </si>
  <si>
    <t>Grand Mean:</t>
  </si>
  <si>
    <t>Variable</t>
  </si>
  <si>
    <t>SE</t>
  </si>
  <si>
    <t>total</t>
  </si>
  <si>
    <t>1 to 100 hour</t>
  </si>
  <si>
    <t>1000 hour</t>
  </si>
  <si>
    <t>Notes</t>
  </si>
  <si>
    <t>Snags &gt;50 cm dbh</t>
  </si>
  <si>
    <t>Agee (2002)</t>
  </si>
  <si>
    <t>Based on modeled estimate for Fire Regime I forests</t>
  </si>
  <si>
    <t>Dunbar-Irwin &amp; Safford</t>
  </si>
  <si>
    <t>Replaced Harrod reference from Oregon with this one</t>
  </si>
  <si>
    <t>Stephens (2004)</t>
  </si>
  <si>
    <t>Snags &gt;2.5 cm dbh</t>
  </si>
  <si>
    <t>Northern &amp; Central Sierra</t>
  </si>
  <si>
    <t>Stephens (2000)</t>
  </si>
  <si>
    <t>Only snags &gt;30.5 cm dbh (mixed conifer)</t>
  </si>
  <si>
    <t>Northern Sierra &amp; S. Oregon</t>
  </si>
  <si>
    <t>Youngblood et al. (2004)</t>
  </si>
  <si>
    <t>Only snags &gt;15 cm dbh; Ponderosa pine stands</t>
  </si>
  <si>
    <t>Grand Mean</t>
  </si>
  <si>
    <t>Shrub Cover (%):</t>
  </si>
  <si>
    <t>Northern Sierra</t>
  </si>
  <si>
    <t>Smith (1994) - yellow pine forests</t>
  </si>
  <si>
    <t>Minnich et al. (2000)</t>
  </si>
  <si>
    <t>Size Class (cm)</t>
  </si>
  <si>
    <t>Tahoe Basin - East</t>
  </si>
  <si>
    <t>20-40</t>
  </si>
  <si>
    <t>40-60</t>
  </si>
  <si>
    <t>60-80</t>
  </si>
  <si>
    <t>80-100</t>
  </si>
  <si>
    <t>&gt;100</t>
  </si>
  <si>
    <t>sum:</t>
  </si>
  <si>
    <t>Grass and forb cover (%)</t>
  </si>
  <si>
    <t>Northern Sierra &amp; S. Cascades</t>
  </si>
  <si>
    <t>Fites (1993)</t>
  </si>
  <si>
    <t>Dunbar-Irwin &amp; Safford 2016</t>
  </si>
  <si>
    <t>Average SD:</t>
  </si>
  <si>
    <t>Plot</t>
  </si>
  <si>
    <t>Regen Density (no/ha)</t>
  </si>
  <si>
    <t>mean:</t>
  </si>
  <si>
    <t>Minnich et al. (2000):</t>
  </si>
  <si>
    <t>Mean (tons/ha)</t>
  </si>
  <si>
    <t>Dunbar-Irwin &amp; Safford (2016)</t>
  </si>
  <si>
    <t>Dunbar-Irwin and Safford (2016)</t>
  </si>
  <si>
    <t>Mean DBH (cm):</t>
  </si>
  <si>
    <t>Notes:</t>
  </si>
  <si>
    <t>1. Meyer et al. (2013) based on unpublished USFS report using a single 4 ha stem mapped historic plot (early 20th century) of Duncan Dunning on Sierra NF</t>
  </si>
  <si>
    <t>2.  Safford (in prep) - based on cited reference in earlier Safford (2013) unpublished USFS report that eventually became Safford &amp; Stevens (2017)</t>
  </si>
  <si>
    <t>Western U.S.</t>
  </si>
  <si>
    <t>SSPM (D-I &amp; S 2016)</t>
  </si>
  <si>
    <t>SSPM (Stephens &amp; Gill)</t>
  </si>
  <si>
    <t>Value incorporates rough estimate of additional density between 7.5 and 10 cm dbh</t>
  </si>
  <si>
    <t>5 to 20 (or 7.5-20)</t>
  </si>
  <si>
    <t>3. Estimates from published figures based on approximate estimate</t>
  </si>
  <si>
    <t>Tree Regeneration (no./ha):</t>
  </si>
  <si>
    <t>North et al. (2007)</t>
  </si>
  <si>
    <t>Tree Densities (no/ha):</t>
  </si>
  <si>
    <t>Sierra NF - mixed conifer</t>
  </si>
  <si>
    <t>Yosemite NP</t>
  </si>
  <si>
    <t>Scholl &amp; Taylor (2010)</t>
  </si>
  <si>
    <t>Yosemite NP - mixed conifer</t>
  </si>
  <si>
    <t>Taylor et al. (2014)</t>
  </si>
  <si>
    <t>Tahoe Basin - YPMC</t>
  </si>
  <si>
    <t>Collins et al. (2015)</t>
  </si>
  <si>
    <t xml:space="preserve">Yosemite NP  </t>
  </si>
  <si>
    <t>4. This spreadsheet does not include all values from Safford and Stevens (2017)</t>
  </si>
  <si>
    <t>Sequoia NF - ponderosa pine</t>
  </si>
  <si>
    <t>Sequoia NF - mixed conifer</t>
  </si>
  <si>
    <t>Stephens et al. (2015)</t>
  </si>
  <si>
    <t>Stephenet al. (2015)</t>
  </si>
  <si>
    <t>Sequoia NF</t>
  </si>
  <si>
    <t>Yosemite NP - Illilouette</t>
  </si>
  <si>
    <t>Collins et al. (2016)</t>
  </si>
  <si>
    <t>Sierra San Pedro Martir (Stephens 2004)</t>
  </si>
  <si>
    <t>Meyer et al. (2015)</t>
  </si>
  <si>
    <t>Lassen NF (Taylor)</t>
  </si>
  <si>
    <t>Yosemite NP &amp; Stanislaus NF</t>
  </si>
  <si>
    <t>Meyer et al. (2018)</t>
  </si>
  <si>
    <t>Indiana Summit RNA (Rx burn)</t>
  </si>
  <si>
    <t>Value is an order of magnitude higher than all others (could be an error?)</t>
  </si>
  <si>
    <t>Grand Mean (excluding outlier)</t>
  </si>
  <si>
    <t>Lyderson &amp; North (2012)</t>
  </si>
  <si>
    <t>Surface Fuels (tons/ha):</t>
  </si>
  <si>
    <t>litter (and duff) tons/ha</t>
  </si>
  <si>
    <t>litter (and duff) depth (cm)</t>
  </si>
  <si>
    <t>Includes ponderosa pine and black oak regeneration</t>
  </si>
  <si>
    <r>
      <t xml:space="preserve">Tree Size Class Distribution (no/ha): </t>
    </r>
    <r>
      <rPr>
        <sz val="11"/>
        <color indexed="8"/>
        <rFont val="Calibri"/>
        <family val="2"/>
      </rPr>
      <t>Does not include other sources such as Lyderson and North (2012), Dolanc et al. (2014), Becker and Lutz (2016), and others</t>
    </r>
  </si>
  <si>
    <t>Snag Density (no/ha):</t>
  </si>
  <si>
    <t>CHFO cvr</t>
  </si>
  <si>
    <t>Veg type</t>
  </si>
  <si>
    <t>MC Avg BA Shrubs</t>
  </si>
  <si>
    <t>Low BA shrubs</t>
  </si>
  <si>
    <t>Low BA small trees</t>
  </si>
  <si>
    <t>Pipo, High BA, Mod Chfo</t>
  </si>
  <si>
    <t>Pipo, Cade, Low Chfo</t>
  </si>
  <si>
    <t>MC, Large trees</t>
  </si>
  <si>
    <t>PSME, mod shrubs</t>
  </si>
  <si>
    <t>Pipo, Low BA, High Chfo</t>
  </si>
  <si>
    <t>Shurb cvr</t>
  </si>
  <si>
    <t>Avg and St Dev</t>
  </si>
  <si>
    <t>MC, High BA</t>
  </si>
  <si>
    <t>MC, Avg BA</t>
  </si>
  <si>
    <t>MC, Avg BA shrubs</t>
  </si>
  <si>
    <t>Pond pine</t>
  </si>
  <si>
    <t>Avg &amp; SD</t>
  </si>
  <si>
    <t>Kaufmann and Martin (1989)</t>
  </si>
  <si>
    <t>Safford &amp; Stevens (2017) avg (for comparison)</t>
  </si>
  <si>
    <t>Other studies (post-Rx fire)</t>
  </si>
  <si>
    <t>Snag Basal Area (m2/ha):</t>
  </si>
  <si>
    <t>Avg</t>
  </si>
  <si>
    <t>Tree Saplings (no./ha):</t>
  </si>
  <si>
    <t>Canopy gap size (ha)</t>
  </si>
  <si>
    <t>Central Oregon</t>
  </si>
  <si>
    <t>Eastern Oregon</t>
  </si>
  <si>
    <t>Lake Tahoe Basin</t>
  </si>
  <si>
    <t>Kings Canyon NP</t>
  </si>
  <si>
    <t>Sequoia NP</t>
  </si>
  <si>
    <t>Northern Arizona</t>
  </si>
  <si>
    <t>Eastern Arizona</t>
  </si>
  <si>
    <t>Max</t>
  </si>
  <si>
    <t>Forest type</t>
  </si>
  <si>
    <t>Source</t>
  </si>
  <si>
    <t>Ponderosa pine</t>
  </si>
  <si>
    <t>Ponderosa pine &amp; black oak</t>
  </si>
  <si>
    <t>Jeffrey pine &amp; white fir</t>
  </si>
  <si>
    <t>Mixed conifer</t>
  </si>
  <si>
    <t>Sequoia mixed conifer</t>
  </si>
  <si>
    <t>Jeffrey pine and mixed conifer</t>
  </si>
  <si>
    <t>Morrow (1985)</t>
  </si>
  <si>
    <t>Bonnicksen and Stone (1980)</t>
  </si>
  <si>
    <t>Demetry (1995)</t>
  </si>
  <si>
    <t>White (1985)</t>
  </si>
  <si>
    <t>Cooper (1960)</t>
  </si>
  <si>
    <t>Stanislaus NF (STEF)</t>
  </si>
  <si>
    <t>Knapp (2012) and Lydersen et al. (2013)</t>
  </si>
  <si>
    <t>Mean (ac):</t>
  </si>
  <si>
    <t>Mean (ha):</t>
  </si>
  <si>
    <t>Fry et al. (2014) - replaced earlier Stephens and Fry (2005) reference</t>
  </si>
  <si>
    <t>Median (ac):</t>
  </si>
  <si>
    <t>Max (ac):</t>
  </si>
  <si>
    <t>SD (ac):</t>
  </si>
  <si>
    <t>Mean + 2SD (ac):</t>
  </si>
  <si>
    <t>Max (ac) w/o outliers:</t>
  </si>
  <si>
    <t>Mean Max (ac) w/o outliers:</t>
  </si>
  <si>
    <t>Yellow pine and mixed conifer</t>
  </si>
  <si>
    <t>Larson and Churchill (2012)</t>
  </si>
  <si>
    <t>Western US (tree clumps &amp; regen patches)</t>
  </si>
  <si>
    <t>Basal Area (m2/ha):</t>
  </si>
  <si>
    <t>Mean (Yellow pine):</t>
  </si>
  <si>
    <t>Collins et al. (2016) - all plots combined</t>
  </si>
  <si>
    <t>Collins et al. (2015) - YNP/STF</t>
  </si>
  <si>
    <t>Mean (select studies):</t>
  </si>
  <si>
    <t>Excludes Lyderson &amp; North (2012) and ISRNA</t>
  </si>
  <si>
    <t>PUBLISHED NRV VALUES FOR YELLOW PINE FORESTS (with some mixed conifer studies included):</t>
  </si>
  <si>
    <t>average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</si>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</sst>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4" fillId="0" borderId="0" xfId="0" applyNumberFormat="1" applyFont="1"/>
    <xf numFmtId="164" fontId="6" fillId="0" borderId="1" xfId="1" applyNumberFormat="1" applyFont="1" applyFill="1" applyBorder="1" applyAlignment="1">
      <alignment horizontal="right" wrapText="1"/>
    </xf>
    <xf numFmtId="0" fontId="7" fillId="0" borderId="0" xfId="0" applyFont="1"/>
    <xf numFmtId="164" fontId="7" fillId="0" borderId="0" xfId="0" applyNumberFormat="1" applyFont="1"/>
    <xf numFmtId="2" fontId="0" fillId="0" borderId="0" xfId="0" applyNumberFormat="1"/>
    <xf numFmtId="0" fontId="8" fillId="0" borderId="0" xfId="0" applyFont="1"/>
    <xf numFmtId="0" fontId="6" fillId="0" borderId="0" xfId="0" applyFont="1"/>
    <xf numFmtId="0" fontId="4" fillId="0" borderId="0" xfId="0" applyFont="1"/>
    <xf numFmtId="1" fontId="0" fillId="0" borderId="0" xfId="0" applyNumberFormat="1"/>
    <xf numFmtId="0" fontId="9" fillId="0" borderId="0" xfId="0" applyFont="1"/>
    <xf numFmtId="164" fontId="9" fillId="0" borderId="0" xfId="0" applyNumberFormat="1" applyFont="1"/>
    <xf numFmtId="16" fontId="0" fillId="0" borderId="0" xfId="0" applyNumberFormat="1"/>
    <xf numFmtId="164" fontId="6" fillId="0" borderId="0" xfId="1" applyNumberFormat="1" applyFont="1" applyFill="1" applyBorder="1" applyAlignment="1">
      <alignment horizontal="right" wrapText="1"/>
    </xf>
    <xf numFmtId="0" fontId="10" fillId="0" borderId="0" xfId="0" applyFont="1"/>
    <xf numFmtId="2" fontId="9" fillId="0" borderId="0" xfId="0" applyNumberFormat="1" applyFont="1"/>
    <xf numFmtId="0" fontId="3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_Trees GE4 LF_EC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5"/>
  <sheetViews>
    <sheetView tabSelected="1" topLeftCell="A92" workbookViewId="0">
      <selection activeCell="G110" sqref="G110"/>
    </sheetView>
  </sheetViews>
  <sheetFormatPr defaultRowHeight="15" x14ac:dyDescent="0.25"/>
  <cols>
    <col min="1" max="1" width="25.28515625" customWidth="1"/>
    <col min="4" max="4" width="27.7109375" customWidth="1"/>
    <col min="5" max="5" width="9.5703125" bestFit="1" customWidth="1"/>
    <col min="7" max="7" width="15.42578125" customWidth="1"/>
    <col min="8" max="8" width="11" customWidth="1"/>
    <col min="9" max="9" width="10.28515625" customWidth="1"/>
  </cols>
  <sheetData>
    <row r="1" spans="1:9" x14ac:dyDescent="0.25">
      <c r="A1" s="1" t="s">
        <v>183</v>
      </c>
      <c r="G1" s="10" t="s">
        <v>75</v>
      </c>
    </row>
    <row r="2" spans="1:9" x14ac:dyDescent="0.25">
      <c r="A2" s="2" t="s">
        <v>0</v>
      </c>
      <c r="G2" t="s">
        <v>76</v>
      </c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G3" s="11" t="s">
        <v>77</v>
      </c>
      <c r="H3" s="3"/>
      <c r="I3" s="3"/>
    </row>
    <row r="4" spans="1:9" x14ac:dyDescent="0.25">
      <c r="A4" t="s">
        <v>5</v>
      </c>
      <c r="B4">
        <v>16.600000000000001</v>
      </c>
      <c r="D4" t="s">
        <v>6</v>
      </c>
      <c r="G4" t="s">
        <v>83</v>
      </c>
      <c r="H4" s="4"/>
      <c r="I4" s="4"/>
    </row>
    <row r="5" spans="1:9" x14ac:dyDescent="0.25">
      <c r="A5" t="s">
        <v>7</v>
      </c>
      <c r="B5">
        <v>43.7</v>
      </c>
      <c r="C5">
        <v>1.5</v>
      </c>
      <c r="D5" t="s">
        <v>8</v>
      </c>
      <c r="G5" t="s">
        <v>95</v>
      </c>
      <c r="H5" s="5"/>
      <c r="I5" s="4"/>
    </row>
    <row r="6" spans="1:9" x14ac:dyDescent="0.25">
      <c r="A6" t="s">
        <v>9</v>
      </c>
      <c r="B6">
        <v>25.3</v>
      </c>
      <c r="C6">
        <v>3.8</v>
      </c>
      <c r="D6" t="s">
        <v>10</v>
      </c>
      <c r="H6" s="6"/>
      <c r="I6" s="4"/>
    </row>
    <row r="7" spans="1:9" x14ac:dyDescent="0.25">
      <c r="A7" t="s">
        <v>24</v>
      </c>
      <c r="B7">
        <v>43.1</v>
      </c>
      <c r="C7">
        <v>17.899999999999999</v>
      </c>
      <c r="D7" t="s">
        <v>21</v>
      </c>
      <c r="H7" s="17"/>
      <c r="I7" s="4"/>
    </row>
    <row r="8" spans="1:9" x14ac:dyDescent="0.25">
      <c r="A8" t="s">
        <v>101</v>
      </c>
      <c r="B8">
        <v>25</v>
      </c>
      <c r="D8" t="s">
        <v>93</v>
      </c>
      <c r="H8" s="17"/>
      <c r="I8" s="4"/>
    </row>
    <row r="9" spans="1:9" x14ac:dyDescent="0.25">
      <c r="A9" t="s">
        <v>97</v>
      </c>
      <c r="B9">
        <v>25.2</v>
      </c>
      <c r="C9">
        <v>7.1</v>
      </c>
      <c r="D9" t="s">
        <v>98</v>
      </c>
      <c r="H9" s="17"/>
      <c r="I9" s="4"/>
    </row>
    <row r="10" spans="1:9" x14ac:dyDescent="0.25">
      <c r="A10" t="s">
        <v>96</v>
      </c>
      <c r="B10">
        <v>12.1</v>
      </c>
      <c r="C10">
        <v>5.0999999999999996</v>
      </c>
      <c r="D10" t="s">
        <v>98</v>
      </c>
      <c r="H10" s="17"/>
      <c r="I10" s="4"/>
    </row>
    <row r="11" spans="1:9" x14ac:dyDescent="0.25">
      <c r="A11" t="s">
        <v>11</v>
      </c>
      <c r="B11">
        <v>35.799999999999997</v>
      </c>
      <c r="C11">
        <v>7.6</v>
      </c>
      <c r="D11" t="s">
        <v>12</v>
      </c>
    </row>
    <row r="12" spans="1:9" x14ac:dyDescent="0.25">
      <c r="A12" t="s">
        <v>13</v>
      </c>
      <c r="B12">
        <v>22.1</v>
      </c>
      <c r="D12" t="s">
        <v>14</v>
      </c>
      <c r="G12" s="3"/>
      <c r="H12" s="3"/>
      <c r="I12" s="4"/>
    </row>
    <row r="13" spans="1:9" x14ac:dyDescent="0.25">
      <c r="A13" t="s">
        <v>9</v>
      </c>
      <c r="B13">
        <v>25</v>
      </c>
      <c r="C13">
        <v>2.5</v>
      </c>
      <c r="D13" t="s">
        <v>72</v>
      </c>
      <c r="G13" s="3"/>
      <c r="H13" s="3"/>
      <c r="I13" s="4"/>
    </row>
    <row r="14" spans="1:9" x14ac:dyDescent="0.25">
      <c r="A14" s="7" t="s">
        <v>15</v>
      </c>
      <c r="B14" s="8">
        <f>AVERAGE(B4:B13)</f>
        <v>27.389999999999997</v>
      </c>
      <c r="C14" s="8">
        <f>STDEV(B4:B13)</f>
        <v>10.44737606610707</v>
      </c>
      <c r="D14" t="s">
        <v>99</v>
      </c>
      <c r="I14" s="4"/>
    </row>
    <row r="15" spans="1:9" x14ac:dyDescent="0.25">
      <c r="C15" s="8">
        <f>AVERAGE(C4:C13)</f>
        <v>6.5</v>
      </c>
      <c r="D15" s="7" t="s">
        <v>16</v>
      </c>
    </row>
    <row r="16" spans="1:9" x14ac:dyDescent="0.25">
      <c r="C16" s="7"/>
      <c r="D16" s="7"/>
      <c r="H16" s="4"/>
    </row>
    <row r="17" spans="1:11" x14ac:dyDescent="0.25">
      <c r="A17" s="2" t="s">
        <v>86</v>
      </c>
    </row>
    <row r="18" spans="1:11" x14ac:dyDescent="0.25">
      <c r="A18" s="3" t="s">
        <v>1</v>
      </c>
      <c r="B18" s="3" t="s">
        <v>2</v>
      </c>
      <c r="C18" s="3" t="s">
        <v>3</v>
      </c>
      <c r="D18" s="3" t="s">
        <v>4</v>
      </c>
      <c r="G18" s="3"/>
      <c r="H18" s="3"/>
      <c r="I18" s="3"/>
    </row>
    <row r="19" spans="1:11" x14ac:dyDescent="0.25">
      <c r="A19" t="s">
        <v>18</v>
      </c>
      <c r="B19" s="4">
        <f>68</f>
        <v>68</v>
      </c>
      <c r="C19">
        <v>22.2</v>
      </c>
      <c r="D19" t="s">
        <v>19</v>
      </c>
      <c r="H19" s="4"/>
      <c r="I19" s="4"/>
      <c r="J19" s="4"/>
      <c r="K19" s="4"/>
    </row>
    <row r="20" spans="1:11" x14ac:dyDescent="0.25">
      <c r="A20" t="s">
        <v>9</v>
      </c>
      <c r="B20" s="4">
        <f>145.3</f>
        <v>145.30000000000001</v>
      </c>
      <c r="C20">
        <f>11.4*7</f>
        <v>79.8</v>
      </c>
      <c r="D20" t="s">
        <v>20</v>
      </c>
      <c r="H20" s="6"/>
      <c r="I20" s="4"/>
    </row>
    <row r="21" spans="1:11" x14ac:dyDescent="0.25">
      <c r="A21" t="s">
        <v>97</v>
      </c>
      <c r="B21">
        <v>75</v>
      </c>
      <c r="C21">
        <v>26.9</v>
      </c>
      <c r="D21" t="s">
        <v>98</v>
      </c>
      <c r="H21" s="17"/>
      <c r="I21" s="4"/>
    </row>
    <row r="22" spans="1:11" x14ac:dyDescent="0.25">
      <c r="A22" t="s">
        <v>96</v>
      </c>
      <c r="B22">
        <v>25.2</v>
      </c>
      <c r="C22">
        <v>12.1</v>
      </c>
      <c r="D22" t="s">
        <v>98</v>
      </c>
      <c r="H22" s="17"/>
      <c r="I22" s="4"/>
    </row>
    <row r="23" spans="1:11" x14ac:dyDescent="0.25">
      <c r="A23" t="s">
        <v>101</v>
      </c>
      <c r="B23">
        <v>215</v>
      </c>
      <c r="D23" t="s">
        <v>179</v>
      </c>
      <c r="H23" s="17"/>
      <c r="I23" s="4"/>
    </row>
    <row r="24" spans="1:11" x14ac:dyDescent="0.25">
      <c r="A24" t="s">
        <v>24</v>
      </c>
      <c r="B24" s="4">
        <f>219.9</f>
        <v>219.9</v>
      </c>
      <c r="C24" s="4">
        <f>146.3*0.404686</f>
        <v>59.205561800000005</v>
      </c>
      <c r="D24" t="s">
        <v>21</v>
      </c>
    </row>
    <row r="25" spans="1:11" x14ac:dyDescent="0.25">
      <c r="A25" t="s">
        <v>94</v>
      </c>
      <c r="B25" s="4">
        <v>48.1</v>
      </c>
      <c r="C25" s="4"/>
      <c r="D25" t="s">
        <v>180</v>
      </c>
    </row>
    <row r="26" spans="1:11" x14ac:dyDescent="0.25">
      <c r="A26" t="s">
        <v>87</v>
      </c>
      <c r="B26" s="4">
        <v>67</v>
      </c>
      <c r="C26" s="4"/>
      <c r="D26" t="s">
        <v>85</v>
      </c>
    </row>
    <row r="27" spans="1:11" x14ac:dyDescent="0.25">
      <c r="A27" t="s">
        <v>13</v>
      </c>
      <c r="B27" s="4">
        <f>32.8/0.404686</f>
        <v>81.050493469010533</v>
      </c>
      <c r="D27" t="s">
        <v>22</v>
      </c>
    </row>
    <row r="28" spans="1:11" x14ac:dyDescent="0.25">
      <c r="A28" t="s">
        <v>90</v>
      </c>
      <c r="B28" s="4">
        <v>159.5</v>
      </c>
      <c r="C28">
        <v>117.3</v>
      </c>
      <c r="D28" t="s">
        <v>89</v>
      </c>
    </row>
    <row r="29" spans="1:11" x14ac:dyDescent="0.25">
      <c r="A29" t="s">
        <v>23</v>
      </c>
      <c r="B29" s="4">
        <v>135</v>
      </c>
      <c r="D29" t="s">
        <v>8</v>
      </c>
    </row>
    <row r="30" spans="1:11" x14ac:dyDescent="0.25">
      <c r="A30" t="s">
        <v>9</v>
      </c>
      <c r="B30" s="4">
        <f>188</f>
        <v>188</v>
      </c>
      <c r="C30">
        <v>15.1</v>
      </c>
      <c r="D30" t="s">
        <v>72</v>
      </c>
    </row>
    <row r="31" spans="1:11" x14ac:dyDescent="0.25">
      <c r="B31" s="4"/>
    </row>
    <row r="32" spans="1:11" x14ac:dyDescent="0.25">
      <c r="A32" s="7" t="s">
        <v>15</v>
      </c>
      <c r="B32" s="8">
        <f>AVERAGE(B19:B30)</f>
        <v>118.92087445575089</v>
      </c>
      <c r="C32" s="8">
        <f>STDEV(C19:C30)</f>
        <v>39.622633652065005</v>
      </c>
    </row>
    <row r="33" spans="1:9" x14ac:dyDescent="0.25">
      <c r="C33" s="8">
        <f>AVERAGE(C19:C30)</f>
        <v>47.515080257142863</v>
      </c>
      <c r="D33" s="7" t="s">
        <v>16</v>
      </c>
    </row>
    <row r="34" spans="1:9" x14ac:dyDescent="0.25">
      <c r="A34" t="s">
        <v>178</v>
      </c>
      <c r="B34" s="4">
        <f>AVERAGE(B19:B20,B22:B23,B27,B29:B30)</f>
        <v>122.50721335271579</v>
      </c>
      <c r="C34" s="4">
        <f>STDEV(B19:B20,B22,B27,B29:B30)</f>
        <v>59.493623829827889</v>
      </c>
    </row>
    <row r="36" spans="1:9" x14ac:dyDescent="0.25">
      <c r="A36" s="2" t="s">
        <v>177</v>
      </c>
    </row>
    <row r="37" spans="1:9" x14ac:dyDescent="0.25">
      <c r="A37" s="3" t="s">
        <v>1</v>
      </c>
      <c r="B37" s="3" t="s">
        <v>2</v>
      </c>
      <c r="C37" s="3" t="s">
        <v>3</v>
      </c>
      <c r="D37" s="3" t="s">
        <v>4</v>
      </c>
      <c r="G37" s="3"/>
      <c r="H37" s="3"/>
      <c r="I37" s="3"/>
    </row>
    <row r="38" spans="1:9" x14ac:dyDescent="0.25">
      <c r="A38" t="s">
        <v>92</v>
      </c>
      <c r="B38" s="4">
        <v>27</v>
      </c>
      <c r="C38" s="4">
        <f>5.3</f>
        <v>5.3</v>
      </c>
      <c r="D38" t="s">
        <v>91</v>
      </c>
      <c r="H38" s="4"/>
      <c r="I38" s="4"/>
    </row>
    <row r="39" spans="1:9" x14ac:dyDescent="0.25">
      <c r="A39" t="s">
        <v>9</v>
      </c>
      <c r="B39" s="4">
        <f>19.9</f>
        <v>19.899999999999999</v>
      </c>
      <c r="C39" s="4">
        <f>6</f>
        <v>6</v>
      </c>
      <c r="D39" t="s">
        <v>10</v>
      </c>
      <c r="H39" s="4"/>
      <c r="I39" s="4"/>
    </row>
    <row r="40" spans="1:9" x14ac:dyDescent="0.25">
      <c r="A40" t="s">
        <v>88</v>
      </c>
      <c r="B40" s="4">
        <v>16.100000000000001</v>
      </c>
      <c r="C40" s="4">
        <v>12.6</v>
      </c>
      <c r="D40" t="s">
        <v>93</v>
      </c>
      <c r="H40" s="4"/>
      <c r="I40" s="4"/>
    </row>
    <row r="41" spans="1:9" x14ac:dyDescent="0.25">
      <c r="A41" t="s">
        <v>97</v>
      </c>
      <c r="B41">
        <v>29.5</v>
      </c>
      <c r="C41">
        <v>9.9</v>
      </c>
      <c r="D41" t="s">
        <v>98</v>
      </c>
      <c r="H41" s="4"/>
      <c r="I41" s="4"/>
    </row>
    <row r="42" spans="1:9" x14ac:dyDescent="0.25">
      <c r="A42" t="s">
        <v>96</v>
      </c>
      <c r="B42" s="4">
        <v>11.2</v>
      </c>
      <c r="C42">
        <v>5.0999999999999996</v>
      </c>
      <c r="D42" t="s">
        <v>98</v>
      </c>
      <c r="H42" s="4"/>
      <c r="I42" s="4"/>
    </row>
    <row r="43" spans="1:9" x14ac:dyDescent="0.25">
      <c r="A43" t="s">
        <v>24</v>
      </c>
      <c r="B43" s="4">
        <v>54</v>
      </c>
      <c r="C43" s="4">
        <v>29</v>
      </c>
      <c r="D43" t="s">
        <v>25</v>
      </c>
      <c r="H43" s="4"/>
    </row>
    <row r="44" spans="1:9" x14ac:dyDescent="0.25">
      <c r="A44" t="s">
        <v>9</v>
      </c>
      <c r="B44" s="4">
        <f>((17.9+22.8)/2)</f>
        <v>20.350000000000001</v>
      </c>
      <c r="D44" t="s">
        <v>12</v>
      </c>
      <c r="H44" s="6"/>
      <c r="I44" s="4"/>
    </row>
    <row r="45" spans="1:9" x14ac:dyDescent="0.25">
      <c r="A45" t="s">
        <v>26</v>
      </c>
      <c r="B45" s="4">
        <f>27.1</f>
        <v>27.1</v>
      </c>
      <c r="D45" t="s">
        <v>8</v>
      </c>
    </row>
    <row r="46" spans="1:9" x14ac:dyDescent="0.25">
      <c r="A46" t="s">
        <v>90</v>
      </c>
      <c r="B46" s="4">
        <v>29.9</v>
      </c>
      <c r="C46">
        <v>19.600000000000001</v>
      </c>
      <c r="D46" t="s">
        <v>89</v>
      </c>
      <c r="H46" s="4"/>
    </row>
    <row r="47" spans="1:9" x14ac:dyDescent="0.25">
      <c r="A47" t="s">
        <v>87</v>
      </c>
      <c r="B47" s="4">
        <v>51.5</v>
      </c>
      <c r="D47" t="s">
        <v>85</v>
      </c>
      <c r="H47" s="4"/>
    </row>
    <row r="48" spans="1:9" x14ac:dyDescent="0.25">
      <c r="A48" t="s">
        <v>27</v>
      </c>
      <c r="B48" s="4">
        <f>129.1*0.22957</f>
        <v>29.637486999999997</v>
      </c>
      <c r="D48" t="s">
        <v>14</v>
      </c>
    </row>
    <row r="49" spans="1:20" x14ac:dyDescent="0.25">
      <c r="A49" t="s">
        <v>18</v>
      </c>
      <c r="B49" s="4">
        <f>27</f>
        <v>27</v>
      </c>
      <c r="D49" t="s">
        <v>28</v>
      </c>
    </row>
    <row r="50" spans="1:20" x14ac:dyDescent="0.25">
      <c r="A50" t="s">
        <v>9</v>
      </c>
      <c r="B50" s="4">
        <f>22.5</f>
        <v>22.5</v>
      </c>
      <c r="C50">
        <f>1.5</f>
        <v>1.5</v>
      </c>
      <c r="D50" t="s">
        <v>72</v>
      </c>
    </row>
    <row r="51" spans="1:20" x14ac:dyDescent="0.25">
      <c r="A51" s="7" t="s">
        <v>29</v>
      </c>
      <c r="B51" s="8">
        <f>AVERAGE(B38:B50)</f>
        <v>28.129806692307689</v>
      </c>
      <c r="C51" s="8">
        <f>STDEV(C38:C50)</f>
        <v>9.1351362488861803</v>
      </c>
    </row>
    <row r="52" spans="1:20" x14ac:dyDescent="0.25">
      <c r="C52" s="8">
        <f>AVERAGE(C38:C50)</f>
        <v>11.125</v>
      </c>
      <c r="D52" s="7" t="s">
        <v>16</v>
      </c>
    </row>
    <row r="54" spans="1:20" x14ac:dyDescent="0.25">
      <c r="A54" s="2" t="s">
        <v>112</v>
      </c>
    </row>
    <row r="55" spans="1:20" x14ac:dyDescent="0.25">
      <c r="A55" s="10" t="s">
        <v>103</v>
      </c>
      <c r="D55" s="10" t="s">
        <v>73</v>
      </c>
      <c r="E55" s="3"/>
      <c r="F55" s="10" t="s">
        <v>102</v>
      </c>
      <c r="H55" s="10" t="s">
        <v>111</v>
      </c>
      <c r="K55" s="10" t="s">
        <v>135</v>
      </c>
      <c r="L55" s="3"/>
      <c r="O55" s="10" t="s">
        <v>137</v>
      </c>
      <c r="R55" s="18" t="s">
        <v>49</v>
      </c>
      <c r="T55" s="10" t="s">
        <v>136</v>
      </c>
    </row>
    <row r="56" spans="1:20" x14ac:dyDescent="0.25">
      <c r="A56" s="3" t="s">
        <v>30</v>
      </c>
      <c r="B56" s="3" t="s">
        <v>71</v>
      </c>
      <c r="C56" s="3" t="s">
        <v>31</v>
      </c>
      <c r="D56" s="3" t="s">
        <v>71</v>
      </c>
      <c r="E56" s="3" t="s">
        <v>31</v>
      </c>
      <c r="F56" s="3" t="s">
        <v>71</v>
      </c>
      <c r="G56" s="3" t="s">
        <v>3</v>
      </c>
      <c r="H56" s="3" t="s">
        <v>71</v>
      </c>
      <c r="I56" s="3" t="s">
        <v>3</v>
      </c>
      <c r="K56" s="3"/>
      <c r="L56" s="3"/>
      <c r="M56" s="3"/>
      <c r="N56" s="3"/>
      <c r="T56" s="3"/>
    </row>
    <row r="57" spans="1:20" x14ac:dyDescent="0.25">
      <c r="A57" t="s">
        <v>33</v>
      </c>
      <c r="B57">
        <f>0.11+0.85+1.2</f>
        <v>2.16</v>
      </c>
      <c r="C57" s="9">
        <f>((AVERAGE(0.03,0.16,0.27)))*7</f>
        <v>1.0733333333333335</v>
      </c>
      <c r="D57">
        <f>0.56+1.24+2.9</f>
        <v>4.7</v>
      </c>
      <c r="E57" s="9"/>
      <c r="F57" s="9"/>
      <c r="G57" s="9"/>
      <c r="H57">
        <v>8.6999999999999993</v>
      </c>
      <c r="K57" s="9">
        <v>1.5</v>
      </c>
      <c r="L57" s="9"/>
      <c r="M57" s="9"/>
      <c r="N57" s="9"/>
      <c r="O57">
        <v>1.4</v>
      </c>
      <c r="R57" s="19">
        <f>AVERAGE(B57,D57,F57,H57,K57,O57)</f>
        <v>3.6919999999999993</v>
      </c>
      <c r="T57" s="9">
        <v>3.6</v>
      </c>
    </row>
    <row r="58" spans="1:20" x14ac:dyDescent="0.25">
      <c r="A58" t="s">
        <v>34</v>
      </c>
      <c r="B58">
        <v>13.64</v>
      </c>
      <c r="C58">
        <f>3.84</f>
        <v>3.84</v>
      </c>
      <c r="D58">
        <v>28.9</v>
      </c>
      <c r="E58" s="4">
        <v>6.8</v>
      </c>
      <c r="F58" s="4"/>
      <c r="H58">
        <v>35.6</v>
      </c>
      <c r="I58">
        <v>41.4</v>
      </c>
      <c r="K58" s="9">
        <f>12.8-K57</f>
        <v>11.3</v>
      </c>
      <c r="L58" s="9"/>
      <c r="O58">
        <v>10.7</v>
      </c>
      <c r="R58" s="19">
        <f>AVERAGE(B58,D58,F58,H58,K58,O58)</f>
        <v>20.027999999999999</v>
      </c>
      <c r="T58">
        <v>17.7</v>
      </c>
    </row>
    <row r="59" spans="1:20" x14ac:dyDescent="0.25">
      <c r="A59" t="s">
        <v>113</v>
      </c>
      <c r="B59">
        <v>8.69</v>
      </c>
      <c r="C59">
        <f>0.83</f>
        <v>0.83</v>
      </c>
      <c r="E59" s="6"/>
      <c r="F59" s="4"/>
      <c r="G59" s="9"/>
      <c r="K59" s="9">
        <v>11.6</v>
      </c>
      <c r="L59" s="9"/>
      <c r="M59" s="9"/>
      <c r="N59" s="9"/>
      <c r="O59" s="9">
        <v>12.5</v>
      </c>
      <c r="R59" s="19">
        <f>AVERAGE(B59,D59,F59,H59,K59,O59)</f>
        <v>10.93</v>
      </c>
    </row>
    <row r="60" spans="1:20" x14ac:dyDescent="0.25">
      <c r="A60" t="s">
        <v>114</v>
      </c>
      <c r="B60">
        <v>1.6</v>
      </c>
      <c r="C60" s="9">
        <f>B60*(C59/B59)*7</f>
        <v>1.0697353279631763</v>
      </c>
      <c r="D60" s="4">
        <f>2.96+1.18</f>
        <v>4.1399999999999997</v>
      </c>
      <c r="E60" s="9"/>
      <c r="F60" s="9"/>
      <c r="G60" s="9"/>
      <c r="H60">
        <v>6.2</v>
      </c>
      <c r="I60">
        <v>7.1</v>
      </c>
      <c r="L60" s="9"/>
      <c r="M60" s="9"/>
      <c r="N60" s="9"/>
      <c r="O60" s="9"/>
      <c r="R60" s="19">
        <f>AVERAGE(B60,D60,F60,H60)</f>
        <v>3.9800000000000004</v>
      </c>
    </row>
    <row r="61" spans="1:20" x14ac:dyDescent="0.25">
      <c r="A61" t="s">
        <v>32</v>
      </c>
      <c r="B61">
        <v>15.8</v>
      </c>
      <c r="C61">
        <f>3.91</f>
        <v>3.91</v>
      </c>
      <c r="D61">
        <v>33.6</v>
      </c>
      <c r="E61" s="9">
        <v>6.9</v>
      </c>
      <c r="F61" s="4">
        <v>17.7</v>
      </c>
      <c r="G61" s="4">
        <v>12.6</v>
      </c>
      <c r="H61" s="4">
        <f>SUM(H57:H59)</f>
        <v>44.3</v>
      </c>
      <c r="I61" s="4"/>
      <c r="K61" s="9">
        <f>SUM(K57:K59)</f>
        <v>24.4</v>
      </c>
      <c r="O61">
        <f>SUM(O57:O59)</f>
        <v>24.6</v>
      </c>
      <c r="R61" s="19">
        <f>AVERAGE(B61,D61,F61,H61,K61,O61)</f>
        <v>26.733333333333334</v>
      </c>
      <c r="T61" s="9"/>
    </row>
    <row r="62" spans="1:20" x14ac:dyDescent="0.25">
      <c r="H62" s="9"/>
      <c r="I62" s="9"/>
      <c r="J62" s="9"/>
      <c r="K62" s="9"/>
    </row>
    <row r="64" spans="1:20" x14ac:dyDescent="0.25">
      <c r="A64" s="2" t="s">
        <v>74</v>
      </c>
    </row>
    <row r="65" spans="1:16" x14ac:dyDescent="0.25">
      <c r="A65" s="3" t="s">
        <v>1</v>
      </c>
      <c r="B65" s="3" t="s">
        <v>2</v>
      </c>
      <c r="C65" s="3" t="s">
        <v>3</v>
      </c>
      <c r="D65" s="3" t="s">
        <v>4</v>
      </c>
      <c r="G65" s="3"/>
      <c r="H65" s="3"/>
      <c r="I65" s="3"/>
    </row>
    <row r="66" spans="1:16" x14ac:dyDescent="0.25">
      <c r="A66" t="s">
        <v>24</v>
      </c>
      <c r="B66">
        <f>66.1</f>
        <v>66.099999999999994</v>
      </c>
      <c r="C66" s="4">
        <f>16.7</f>
        <v>16.7</v>
      </c>
      <c r="D66" t="s">
        <v>21</v>
      </c>
      <c r="H66" s="4"/>
      <c r="I66" s="4"/>
    </row>
    <row r="67" spans="1:16" x14ac:dyDescent="0.25">
      <c r="A67" t="s">
        <v>18</v>
      </c>
      <c r="B67">
        <f>68</f>
        <v>68</v>
      </c>
      <c r="C67" s="4">
        <f>7.8</f>
        <v>7.8</v>
      </c>
      <c r="D67" t="s">
        <v>6</v>
      </c>
      <c r="H67" s="4"/>
      <c r="I67" s="4"/>
    </row>
    <row r="68" spans="1:16" x14ac:dyDescent="0.25">
      <c r="A68" t="s">
        <v>90</v>
      </c>
      <c r="B68">
        <v>52.7</v>
      </c>
      <c r="C68" s="4">
        <v>22</v>
      </c>
      <c r="D68" t="s">
        <v>89</v>
      </c>
      <c r="H68" s="4"/>
      <c r="I68" s="4"/>
    </row>
    <row r="69" spans="1:16" x14ac:dyDescent="0.25">
      <c r="A69" t="s">
        <v>27</v>
      </c>
      <c r="B69">
        <v>65.8</v>
      </c>
      <c r="C69" s="4"/>
      <c r="D69" t="s">
        <v>104</v>
      </c>
      <c r="H69" s="4"/>
      <c r="I69" s="4"/>
    </row>
    <row r="70" spans="1:16" x14ac:dyDescent="0.25">
      <c r="A70" t="s">
        <v>9</v>
      </c>
      <c r="B70">
        <f>32.6</f>
        <v>32.6</v>
      </c>
      <c r="C70" s="4">
        <f>(0.9*7)</f>
        <v>6.3</v>
      </c>
      <c r="D70" t="s">
        <v>10</v>
      </c>
    </row>
    <row r="71" spans="1:16" x14ac:dyDescent="0.25">
      <c r="A71" t="s">
        <v>9</v>
      </c>
      <c r="B71">
        <v>34.1</v>
      </c>
      <c r="C71">
        <v>0.72</v>
      </c>
      <c r="D71" t="s">
        <v>72</v>
      </c>
    </row>
    <row r="72" spans="1:16" x14ac:dyDescent="0.25">
      <c r="A72" s="14" t="s">
        <v>29</v>
      </c>
      <c r="B72" s="15">
        <f>AVERAGE(B66:B71)</f>
        <v>53.216666666666676</v>
      </c>
    </row>
    <row r="73" spans="1:16" x14ac:dyDescent="0.25">
      <c r="A73" s="14" t="s">
        <v>17</v>
      </c>
      <c r="B73" s="15">
        <f>STDEV(B66:B71)</f>
        <v>16.331738017328853</v>
      </c>
    </row>
    <row r="74" spans="1:16" x14ac:dyDescent="0.25">
      <c r="K74" s="2" t="s">
        <v>138</v>
      </c>
    </row>
    <row r="75" spans="1:16" x14ac:dyDescent="0.25">
      <c r="A75" s="2" t="s">
        <v>117</v>
      </c>
      <c r="K75" s="3" t="s">
        <v>1</v>
      </c>
      <c r="L75" s="3" t="s">
        <v>2</v>
      </c>
      <c r="M75" s="3" t="s">
        <v>3</v>
      </c>
      <c r="N75" s="3" t="s">
        <v>4</v>
      </c>
      <c r="P75" s="3" t="s">
        <v>35</v>
      </c>
    </row>
    <row r="76" spans="1:16" x14ac:dyDescent="0.25">
      <c r="A76" s="3" t="s">
        <v>1</v>
      </c>
      <c r="B76" s="3" t="s">
        <v>2</v>
      </c>
      <c r="C76" s="3" t="s">
        <v>3</v>
      </c>
      <c r="D76" s="3" t="s">
        <v>4</v>
      </c>
      <c r="E76" s="3" t="s">
        <v>35</v>
      </c>
      <c r="J76" s="3"/>
      <c r="K76" t="s">
        <v>24</v>
      </c>
      <c r="L76" s="4"/>
      <c r="N76" t="s">
        <v>21</v>
      </c>
      <c r="P76" t="s">
        <v>36</v>
      </c>
    </row>
    <row r="77" spans="1:16" x14ac:dyDescent="0.25">
      <c r="A77" t="s">
        <v>24</v>
      </c>
      <c r="B77" s="4">
        <f>9.1</f>
        <v>9.1</v>
      </c>
      <c r="D77" t="s">
        <v>21</v>
      </c>
      <c r="E77" t="s">
        <v>36</v>
      </c>
      <c r="K77" t="s">
        <v>78</v>
      </c>
      <c r="L77" s="4"/>
      <c r="N77" t="s">
        <v>37</v>
      </c>
      <c r="P77" t="s">
        <v>38</v>
      </c>
    </row>
    <row r="78" spans="1:16" x14ac:dyDescent="0.25">
      <c r="A78" t="s">
        <v>78</v>
      </c>
      <c r="B78" s="4">
        <f>5</f>
        <v>5</v>
      </c>
      <c r="D78" t="s">
        <v>37</v>
      </c>
      <c r="E78" t="s">
        <v>38</v>
      </c>
      <c r="K78" t="s">
        <v>9</v>
      </c>
      <c r="L78" s="4">
        <v>2.6</v>
      </c>
      <c r="M78">
        <f>0.5*10</f>
        <v>5</v>
      </c>
      <c r="N78" t="s">
        <v>39</v>
      </c>
      <c r="P78" t="s">
        <v>40</v>
      </c>
    </row>
    <row r="79" spans="1:16" x14ac:dyDescent="0.25">
      <c r="A79" t="s">
        <v>9</v>
      </c>
      <c r="B79" s="4">
        <v>4.9000000000000004</v>
      </c>
      <c r="D79" t="s">
        <v>39</v>
      </c>
      <c r="E79" t="s">
        <v>40</v>
      </c>
      <c r="K79" t="s">
        <v>9</v>
      </c>
      <c r="L79" s="4">
        <v>1.67</v>
      </c>
      <c r="M79" s="4">
        <f>0.25*7</f>
        <v>1.75</v>
      </c>
      <c r="N79" t="s">
        <v>41</v>
      </c>
      <c r="P79" t="s">
        <v>42</v>
      </c>
    </row>
    <row r="80" spans="1:16" x14ac:dyDescent="0.25">
      <c r="A80" t="s">
        <v>9</v>
      </c>
      <c r="B80" s="4">
        <f>5.1</f>
        <v>5.0999999999999996</v>
      </c>
      <c r="C80" s="4">
        <f>(0.8*7)</f>
        <v>5.6000000000000005</v>
      </c>
      <c r="D80" t="s">
        <v>41</v>
      </c>
      <c r="E80" t="s">
        <v>42</v>
      </c>
      <c r="K80" t="s">
        <v>43</v>
      </c>
      <c r="L80" s="4">
        <v>4.5</v>
      </c>
      <c r="N80" t="s">
        <v>44</v>
      </c>
      <c r="P80" t="s">
        <v>45</v>
      </c>
    </row>
    <row r="81" spans="1:16" x14ac:dyDescent="0.25">
      <c r="A81" t="s">
        <v>43</v>
      </c>
      <c r="B81" s="4">
        <f>5</f>
        <v>5</v>
      </c>
      <c r="D81" t="s">
        <v>44</v>
      </c>
      <c r="E81" t="s">
        <v>45</v>
      </c>
      <c r="K81" t="s">
        <v>27</v>
      </c>
      <c r="L81" s="4"/>
      <c r="M81" s="4"/>
      <c r="N81" t="s">
        <v>14</v>
      </c>
      <c r="P81" t="s">
        <v>45</v>
      </c>
    </row>
    <row r="82" spans="1:16" x14ac:dyDescent="0.25">
      <c r="A82" t="s">
        <v>27</v>
      </c>
      <c r="B82" s="4">
        <f>2.7/0.404686</f>
        <v>6.6718394014124538</v>
      </c>
      <c r="C82" s="4">
        <v>0.56999999999999995</v>
      </c>
      <c r="D82" t="s">
        <v>14</v>
      </c>
      <c r="E82" t="s">
        <v>45</v>
      </c>
      <c r="K82" t="s">
        <v>46</v>
      </c>
      <c r="L82" s="4"/>
      <c r="N82" t="s">
        <v>47</v>
      </c>
      <c r="P82" t="s">
        <v>48</v>
      </c>
    </row>
    <row r="83" spans="1:16" x14ac:dyDescent="0.25">
      <c r="A83" t="s">
        <v>46</v>
      </c>
      <c r="B83" s="4">
        <f>10</f>
        <v>10</v>
      </c>
      <c r="D83" t="s">
        <v>47</v>
      </c>
      <c r="E83" t="s">
        <v>48</v>
      </c>
      <c r="K83" s="4"/>
    </row>
    <row r="84" spans="1:16" x14ac:dyDescent="0.25">
      <c r="A84" s="7" t="s">
        <v>49</v>
      </c>
      <c r="B84" s="8">
        <f>AVERAGE(B77:B83)</f>
        <v>6.5388342002017792</v>
      </c>
      <c r="C84" s="8">
        <f>STDEV(B77:B83)</f>
        <v>2.1621352144789863</v>
      </c>
      <c r="K84" s="14" t="s">
        <v>139</v>
      </c>
      <c r="L84" s="4">
        <f>AVERAGE(L77:L82)</f>
        <v>2.9233333333333333</v>
      </c>
      <c r="M84" s="4">
        <f>AVERAGE(M77:M82)</f>
        <v>3.375</v>
      </c>
    </row>
    <row r="85" spans="1:16" x14ac:dyDescent="0.25">
      <c r="C85" s="8">
        <f>AVERAGE(C77:C83)</f>
        <v>3.0850000000000004</v>
      </c>
      <c r="D85" s="7" t="s">
        <v>16</v>
      </c>
    </row>
    <row r="87" spans="1:16" x14ac:dyDescent="0.25">
      <c r="A87" s="2" t="s">
        <v>50</v>
      </c>
    </row>
    <row r="88" spans="1:16" x14ac:dyDescent="0.25">
      <c r="A88" s="3" t="s">
        <v>1</v>
      </c>
      <c r="B88" s="3" t="s">
        <v>2</v>
      </c>
      <c r="C88" s="3" t="s">
        <v>3</v>
      </c>
      <c r="D88" s="3" t="s">
        <v>4</v>
      </c>
      <c r="F88" s="21" t="s">
        <v>118</v>
      </c>
      <c r="G88" s="3" t="s">
        <v>4</v>
      </c>
      <c r="H88" s="3" t="s">
        <v>119</v>
      </c>
      <c r="J88" s="21" t="s">
        <v>128</v>
      </c>
      <c r="K88" s="3" t="s">
        <v>4</v>
      </c>
      <c r="L88" s="3" t="s">
        <v>119</v>
      </c>
    </row>
    <row r="89" spans="1:16" x14ac:dyDescent="0.25">
      <c r="A89" t="s">
        <v>24</v>
      </c>
      <c r="B89" s="4">
        <v>16.899999999999999</v>
      </c>
      <c r="C89">
        <v>23</v>
      </c>
      <c r="D89" t="s">
        <v>21</v>
      </c>
      <c r="F89">
        <v>61.8</v>
      </c>
      <c r="G89" s="4" t="s">
        <v>98</v>
      </c>
      <c r="H89" s="4" t="s">
        <v>120</v>
      </c>
      <c r="J89">
        <f>20-0</f>
        <v>20</v>
      </c>
      <c r="K89" s="4" t="s">
        <v>98</v>
      </c>
      <c r="L89" s="4" t="s">
        <v>130</v>
      </c>
    </row>
    <row r="90" spans="1:16" x14ac:dyDescent="0.25">
      <c r="A90" t="s">
        <v>100</v>
      </c>
      <c r="B90" s="4">
        <v>25</v>
      </c>
      <c r="C90">
        <v>36.700000000000003</v>
      </c>
      <c r="D90" t="s">
        <v>98</v>
      </c>
      <c r="F90">
        <v>25</v>
      </c>
      <c r="G90" s="4" t="s">
        <v>93</v>
      </c>
      <c r="H90" s="4" t="s">
        <v>121</v>
      </c>
      <c r="J90">
        <f>25.7-5.4</f>
        <v>20.299999999999997</v>
      </c>
      <c r="K90" s="4" t="s">
        <v>98</v>
      </c>
      <c r="L90" s="4" t="s">
        <v>131</v>
      </c>
    </row>
    <row r="91" spans="1:16" x14ac:dyDescent="0.25">
      <c r="A91" t="s">
        <v>9</v>
      </c>
      <c r="B91" s="4">
        <v>17.8</v>
      </c>
      <c r="C91" s="4">
        <v>25.8</v>
      </c>
      <c r="D91" t="s">
        <v>12</v>
      </c>
      <c r="F91">
        <v>32.5</v>
      </c>
      <c r="G91" s="4" t="s">
        <v>93</v>
      </c>
      <c r="H91" s="4" t="s">
        <v>122</v>
      </c>
      <c r="J91">
        <f>75.6-61.8</f>
        <v>13.799999999999997</v>
      </c>
      <c r="K91" s="4" t="s">
        <v>98</v>
      </c>
      <c r="L91" s="4" t="s">
        <v>132</v>
      </c>
    </row>
    <row r="92" spans="1:16" x14ac:dyDescent="0.25">
      <c r="A92" t="s">
        <v>106</v>
      </c>
      <c r="B92" s="4">
        <v>25.8</v>
      </c>
      <c r="C92" s="4"/>
      <c r="D92" t="s">
        <v>93</v>
      </c>
      <c r="F92">
        <v>79.5</v>
      </c>
      <c r="G92" s="4" t="s">
        <v>93</v>
      </c>
      <c r="H92" s="4" t="s">
        <v>127</v>
      </c>
      <c r="J92">
        <f>13.8-1.4</f>
        <v>12.4</v>
      </c>
      <c r="K92" s="4" t="s">
        <v>98</v>
      </c>
      <c r="L92" s="4" t="s">
        <v>133</v>
      </c>
    </row>
    <row r="93" spans="1:16" x14ac:dyDescent="0.25">
      <c r="A93" t="s">
        <v>27</v>
      </c>
      <c r="B93">
        <v>16.3</v>
      </c>
      <c r="C93" s="4">
        <v>2.72</v>
      </c>
      <c r="D93" t="s">
        <v>14</v>
      </c>
      <c r="F93">
        <v>54.9</v>
      </c>
      <c r="G93" s="4" t="s">
        <v>93</v>
      </c>
      <c r="H93" s="4" t="s">
        <v>123</v>
      </c>
      <c r="J93">
        <v>54.3</v>
      </c>
      <c r="K93" s="4" t="s">
        <v>93</v>
      </c>
      <c r="L93" s="4" t="s">
        <v>121</v>
      </c>
    </row>
    <row r="94" spans="1:16" x14ac:dyDescent="0.25">
      <c r="A94" t="s">
        <v>51</v>
      </c>
      <c r="B94">
        <v>21.4</v>
      </c>
      <c r="C94" s="4">
        <v>6.6</v>
      </c>
      <c r="D94" t="s">
        <v>52</v>
      </c>
      <c r="F94">
        <v>17.5</v>
      </c>
      <c r="G94" s="4" t="s">
        <v>93</v>
      </c>
      <c r="H94" s="4" t="s">
        <v>124</v>
      </c>
      <c r="J94">
        <v>21.6</v>
      </c>
      <c r="K94" s="4" t="s">
        <v>93</v>
      </c>
      <c r="L94" s="4" t="s">
        <v>122</v>
      </c>
    </row>
    <row r="95" spans="1:16" x14ac:dyDescent="0.25">
      <c r="A95" t="s">
        <v>11</v>
      </c>
      <c r="B95" s="4">
        <v>16.3</v>
      </c>
      <c r="C95" s="4">
        <v>13.9</v>
      </c>
      <c r="D95" t="s">
        <v>12</v>
      </c>
      <c r="F95">
        <v>42.6</v>
      </c>
      <c r="G95" s="4" t="s">
        <v>93</v>
      </c>
      <c r="H95" s="4" t="s">
        <v>125</v>
      </c>
      <c r="J95">
        <v>10.6</v>
      </c>
      <c r="K95" s="4" t="s">
        <v>93</v>
      </c>
      <c r="L95" s="4" t="s">
        <v>127</v>
      </c>
    </row>
    <row r="96" spans="1:16" x14ac:dyDescent="0.25">
      <c r="A96" t="s">
        <v>9</v>
      </c>
      <c r="B96" s="4">
        <v>17.399999999999999</v>
      </c>
      <c r="C96" s="4">
        <v>2.6</v>
      </c>
      <c r="D96" t="s">
        <v>73</v>
      </c>
      <c r="F96">
        <v>25.5</v>
      </c>
      <c r="G96" s="4" t="s">
        <v>93</v>
      </c>
      <c r="H96" s="4" t="s">
        <v>126</v>
      </c>
      <c r="J96">
        <v>20.9</v>
      </c>
      <c r="K96" s="4" t="s">
        <v>93</v>
      </c>
      <c r="L96" s="4" t="s">
        <v>123</v>
      </c>
    </row>
    <row r="97" spans="1:13" x14ac:dyDescent="0.25">
      <c r="A97" s="7" t="s">
        <v>49</v>
      </c>
      <c r="B97" s="8">
        <f>AVERAGE(B89:B96)</f>
        <v>19.612500000000001</v>
      </c>
      <c r="C97" s="8">
        <f>STDEV(B89:B96)</f>
        <v>3.9277174396478953</v>
      </c>
      <c r="G97" s="4"/>
      <c r="J97">
        <v>17.399999999999999</v>
      </c>
      <c r="K97" s="4" t="s">
        <v>93</v>
      </c>
      <c r="L97" s="4" t="s">
        <v>124</v>
      </c>
    </row>
    <row r="98" spans="1:13" x14ac:dyDescent="0.25">
      <c r="C98" s="8">
        <f>AVERAGE(C89:C96)</f>
        <v>15.902857142857142</v>
      </c>
      <c r="D98" s="7" t="s">
        <v>129</v>
      </c>
      <c r="F98" s="4">
        <f>AVERAGE(F89:F97)</f>
        <v>42.412500000000009</v>
      </c>
      <c r="G98" s="4">
        <f>STDEV(F89:F97)</f>
        <v>21.432447863661558</v>
      </c>
      <c r="J98">
        <v>25.4</v>
      </c>
      <c r="K98" s="4" t="s">
        <v>93</v>
      </c>
      <c r="L98" s="4" t="s">
        <v>125</v>
      </c>
    </row>
    <row r="99" spans="1:13" x14ac:dyDescent="0.25">
      <c r="J99">
        <v>35.700000000000003</v>
      </c>
      <c r="K99" s="4" t="s">
        <v>93</v>
      </c>
      <c r="L99" s="4" t="s">
        <v>126</v>
      </c>
    </row>
    <row r="101" spans="1:13" x14ac:dyDescent="0.25">
      <c r="I101" s="14" t="s">
        <v>134</v>
      </c>
      <c r="J101" s="4">
        <f>AVERAGE(J89:J100)</f>
        <v>22.945454545454549</v>
      </c>
      <c r="K101" s="4">
        <f>STDEV(J89:J100)</f>
        <v>12.455871196858418</v>
      </c>
    </row>
    <row r="103" spans="1:13" x14ac:dyDescent="0.25">
      <c r="A103" s="2" t="s">
        <v>116</v>
      </c>
      <c r="J103" s="3"/>
      <c r="K103" s="3"/>
    </row>
    <row r="104" spans="1:13" x14ac:dyDescent="0.25">
      <c r="A104" s="3" t="s">
        <v>54</v>
      </c>
      <c r="B104" s="3" t="s">
        <v>55</v>
      </c>
      <c r="C104" s="3" t="s">
        <v>80</v>
      </c>
      <c r="D104" s="20" t="s">
        <v>105</v>
      </c>
      <c r="E104" s="3" t="s">
        <v>79</v>
      </c>
      <c r="F104" s="3" t="s">
        <v>85</v>
      </c>
      <c r="G104" s="3"/>
      <c r="H104" s="3" t="s">
        <v>184</v>
      </c>
      <c r="I104" s="3" t="s">
        <v>185</v>
      </c>
      <c r="J104" s="3" t="s">
        <v>186</v>
      </c>
      <c r="K104" s="3"/>
      <c r="L104" s="3" t="s">
        <v>35</v>
      </c>
      <c r="M104" s="3"/>
    </row>
    <row r="105" spans="1:13" x14ac:dyDescent="0.25">
      <c r="A105" s="16" t="s">
        <v>82</v>
      </c>
      <c r="B105" s="4">
        <f>4</f>
        <v>4</v>
      </c>
      <c r="C105" s="4">
        <f>47</f>
        <v>47</v>
      </c>
      <c r="D105" s="4">
        <f>18</f>
        <v>18</v>
      </c>
      <c r="E105" s="4">
        <f>38.5+(38.5*0.25)</f>
        <v>48.125</v>
      </c>
      <c r="F105">
        <v>7</v>
      </c>
      <c r="H105" s="4">
        <f>AVERAGE(B105:F105)</f>
        <v>24.824999999999999</v>
      </c>
      <c r="I105" s="4">
        <f>_xlfn.STDEV.S(B105:F105)</f>
        <v>21.40451179074169</v>
      </c>
      <c r="J105" s="4"/>
      <c r="L105" s="4" t="s">
        <v>81</v>
      </c>
    </row>
    <row r="106" spans="1:13" x14ac:dyDescent="0.25">
      <c r="A106" t="s">
        <v>56</v>
      </c>
      <c r="B106" s="4">
        <f>18</f>
        <v>18</v>
      </c>
      <c r="C106" s="4">
        <f>48</f>
        <v>48</v>
      </c>
      <c r="D106" s="4">
        <f>51</f>
        <v>51</v>
      </c>
      <c r="E106">
        <v>40</v>
      </c>
      <c r="F106" s="13">
        <v>9</v>
      </c>
      <c r="G106" s="13"/>
      <c r="H106" s="4">
        <f t="shared" ref="H106:H111" si="0">AVERAGE(B106:F106)</f>
        <v>33.200000000000003</v>
      </c>
      <c r="I106" s="4"/>
      <c r="J106" s="4"/>
      <c r="L106" s="9"/>
    </row>
    <row r="107" spans="1:13" x14ac:dyDescent="0.25">
      <c r="A107" t="s">
        <v>57</v>
      </c>
      <c r="B107" s="4">
        <f>36</f>
        <v>36</v>
      </c>
      <c r="C107" s="4">
        <f>27</f>
        <v>27</v>
      </c>
      <c r="D107" s="4">
        <f>35</f>
        <v>35</v>
      </c>
      <c r="E107">
        <v>34</v>
      </c>
      <c r="F107" s="13">
        <v>8</v>
      </c>
      <c r="G107" s="13"/>
      <c r="H107" s="4">
        <f t="shared" si="0"/>
        <v>28</v>
      </c>
      <c r="I107" s="4"/>
      <c r="J107" s="4"/>
      <c r="L107" s="9"/>
    </row>
    <row r="108" spans="1:13" x14ac:dyDescent="0.25">
      <c r="A108" t="s">
        <v>58</v>
      </c>
      <c r="B108" s="4">
        <f>23</f>
        <v>23</v>
      </c>
      <c r="C108" s="4">
        <f>18</f>
        <v>18</v>
      </c>
      <c r="D108" s="4">
        <f>21</f>
        <v>21</v>
      </c>
      <c r="E108">
        <v>20</v>
      </c>
      <c r="F108" s="13">
        <v>9</v>
      </c>
      <c r="G108" s="13"/>
      <c r="H108" s="4">
        <f t="shared" si="0"/>
        <v>18.2</v>
      </c>
      <c r="I108" s="4"/>
      <c r="J108" s="4"/>
      <c r="L108" s="9"/>
    </row>
    <row r="109" spans="1:13" x14ac:dyDescent="0.25">
      <c r="A109" t="s">
        <v>59</v>
      </c>
      <c r="B109" s="4">
        <f>12.5</f>
        <v>12.5</v>
      </c>
      <c r="C109" s="4">
        <f>9.8</f>
        <v>9.8000000000000007</v>
      </c>
      <c r="D109" s="4">
        <f>10</f>
        <v>10</v>
      </c>
      <c r="E109">
        <v>9</v>
      </c>
      <c r="F109" s="13">
        <v>12</v>
      </c>
      <c r="G109" s="13"/>
      <c r="H109" s="4">
        <f t="shared" si="0"/>
        <v>10.66</v>
      </c>
      <c r="I109" s="4"/>
      <c r="J109" s="4"/>
      <c r="K109" s="12"/>
      <c r="L109" s="9"/>
    </row>
    <row r="110" spans="1:13" x14ac:dyDescent="0.25">
      <c r="A110" t="s">
        <v>60</v>
      </c>
      <c r="B110" s="4">
        <f>5.5</f>
        <v>5.5</v>
      </c>
      <c r="C110" s="4">
        <f>2.6</f>
        <v>2.6</v>
      </c>
      <c r="D110" s="4">
        <f>2.3</f>
        <v>2.2999999999999998</v>
      </c>
      <c r="E110">
        <v>5</v>
      </c>
      <c r="F110" s="13">
        <v>22</v>
      </c>
      <c r="G110" s="13"/>
      <c r="H110" s="4">
        <f t="shared" si="0"/>
        <v>7.4799999999999995</v>
      </c>
      <c r="I110" s="4"/>
      <c r="J110" s="4"/>
      <c r="K110" s="12"/>
      <c r="L110" s="9"/>
    </row>
    <row r="111" spans="1:13" x14ac:dyDescent="0.25">
      <c r="A111" t="s">
        <v>61</v>
      </c>
      <c r="B111" s="4">
        <f>SUM(B105:B110)</f>
        <v>99</v>
      </c>
      <c r="C111" s="4">
        <f>SUM(C105:C110)</f>
        <v>152.4</v>
      </c>
      <c r="D111" s="4">
        <f>SUM(D105:D110)</f>
        <v>137.30000000000001</v>
      </c>
      <c r="E111" s="4">
        <f>SUM(E105:E110)</f>
        <v>156.125</v>
      </c>
      <c r="F111" s="13">
        <f>SUM(F105:F110)</f>
        <v>67</v>
      </c>
      <c r="G111" s="13"/>
      <c r="H111" s="4">
        <f t="shared" si="0"/>
        <v>122.36500000000001</v>
      </c>
      <c r="I111" s="4"/>
      <c r="L111" s="4"/>
    </row>
    <row r="112" spans="1:13" x14ac:dyDescent="0.25">
      <c r="G112" s="4"/>
    </row>
    <row r="114" spans="1:9" x14ac:dyDescent="0.25">
      <c r="A114" s="2" t="s">
        <v>62</v>
      </c>
    </row>
    <row r="115" spans="1:9" x14ac:dyDescent="0.25">
      <c r="A115" s="3" t="s">
        <v>1</v>
      </c>
      <c r="B115" s="3" t="s">
        <v>2</v>
      </c>
      <c r="C115" s="3" t="s">
        <v>3</v>
      </c>
      <c r="D115" s="3" t="s">
        <v>4</v>
      </c>
      <c r="G115" s="3"/>
      <c r="H115" s="3"/>
      <c r="I115" s="3"/>
    </row>
    <row r="116" spans="1:9" x14ac:dyDescent="0.25">
      <c r="A116" t="s">
        <v>18</v>
      </c>
      <c r="B116" s="4">
        <v>0.5</v>
      </c>
      <c r="D116" t="s">
        <v>28</v>
      </c>
      <c r="H116" s="4"/>
      <c r="I116" s="4"/>
    </row>
    <row r="117" spans="1:9" x14ac:dyDescent="0.25">
      <c r="A117" t="s">
        <v>63</v>
      </c>
      <c r="B117" s="4">
        <f>11.8+3.2</f>
        <v>15</v>
      </c>
      <c r="C117" s="4"/>
      <c r="D117" t="s">
        <v>64</v>
      </c>
      <c r="H117" s="4"/>
      <c r="I117" s="4"/>
    </row>
    <row r="118" spans="1:9" x14ac:dyDescent="0.25">
      <c r="A118" t="s">
        <v>9</v>
      </c>
      <c r="B118">
        <v>11</v>
      </c>
      <c r="C118" s="4"/>
      <c r="D118" t="s">
        <v>12</v>
      </c>
    </row>
    <row r="119" spans="1:9" x14ac:dyDescent="0.25">
      <c r="A119" t="s">
        <v>51</v>
      </c>
      <c r="B119">
        <f>8.9+6.4</f>
        <v>15.3</v>
      </c>
      <c r="C119" s="4"/>
      <c r="D119" t="s">
        <v>52</v>
      </c>
      <c r="H119" s="4"/>
      <c r="I119" s="4"/>
    </row>
    <row r="120" spans="1:9" x14ac:dyDescent="0.25">
      <c r="A120" t="s">
        <v>11</v>
      </c>
      <c r="B120" s="4">
        <f>11.8+6.6</f>
        <v>18.399999999999999</v>
      </c>
      <c r="C120" s="4"/>
      <c r="D120" t="s">
        <v>12</v>
      </c>
    </row>
    <row r="121" spans="1:9" x14ac:dyDescent="0.25">
      <c r="A121" t="s">
        <v>9</v>
      </c>
      <c r="B121" s="4">
        <v>3</v>
      </c>
      <c r="C121" s="4"/>
      <c r="D121" t="s">
        <v>65</v>
      </c>
    </row>
    <row r="122" spans="1:9" x14ac:dyDescent="0.25">
      <c r="A122" s="7" t="s">
        <v>49</v>
      </c>
      <c r="B122" s="8">
        <f>AVERAGE(B116:B121)</f>
        <v>10.533333333333333</v>
      </c>
      <c r="C122" s="8">
        <f>STDEV(B116:B121)</f>
        <v>7.2414547341446989</v>
      </c>
    </row>
    <row r="123" spans="1:9" x14ac:dyDescent="0.25">
      <c r="C123" s="8"/>
      <c r="D123" s="7" t="s">
        <v>16</v>
      </c>
    </row>
    <row r="125" spans="1:9" x14ac:dyDescent="0.25">
      <c r="A125" s="2" t="s">
        <v>84</v>
      </c>
    </row>
    <row r="126" spans="1:9" x14ac:dyDescent="0.25">
      <c r="A126" s="3" t="s">
        <v>1</v>
      </c>
      <c r="B126" s="3" t="s">
        <v>2</v>
      </c>
      <c r="C126" s="3" t="s">
        <v>3</v>
      </c>
      <c r="D126" s="3" t="s">
        <v>4</v>
      </c>
      <c r="E126" s="3" t="s">
        <v>35</v>
      </c>
      <c r="F126" s="3"/>
      <c r="G126" s="3"/>
      <c r="H126" s="3"/>
    </row>
    <row r="127" spans="1:9" x14ac:dyDescent="0.25">
      <c r="A127" t="s">
        <v>9</v>
      </c>
      <c r="B127" s="13">
        <v>124.7</v>
      </c>
      <c r="C127" s="13">
        <f>15.7*7</f>
        <v>109.89999999999999</v>
      </c>
      <c r="D127" t="s">
        <v>10</v>
      </c>
      <c r="G127" s="4"/>
      <c r="H127" s="4"/>
    </row>
    <row r="128" spans="1:9" x14ac:dyDescent="0.25">
      <c r="A128" t="s">
        <v>26</v>
      </c>
      <c r="B128" s="13">
        <f>535+133</f>
        <v>668</v>
      </c>
      <c r="C128" s="13"/>
      <c r="D128" t="s">
        <v>8</v>
      </c>
      <c r="E128" t="s">
        <v>115</v>
      </c>
      <c r="G128" s="4"/>
    </row>
    <row r="129" spans="1:8" x14ac:dyDescent="0.25">
      <c r="A129" t="s">
        <v>24</v>
      </c>
      <c r="B129" s="13">
        <v>6000</v>
      </c>
      <c r="C129" s="13">
        <v>15000</v>
      </c>
      <c r="D129" t="s">
        <v>21</v>
      </c>
      <c r="E129" t="s">
        <v>109</v>
      </c>
      <c r="G129" s="4"/>
    </row>
    <row r="130" spans="1:8" x14ac:dyDescent="0.25">
      <c r="A130" t="s">
        <v>27</v>
      </c>
      <c r="B130" s="13">
        <v>293</v>
      </c>
      <c r="C130" s="13">
        <v>349</v>
      </c>
      <c r="D130" t="s">
        <v>14</v>
      </c>
      <c r="G130" s="4"/>
    </row>
    <row r="131" spans="1:8" x14ac:dyDescent="0.25">
      <c r="A131" t="s">
        <v>9</v>
      </c>
      <c r="B131" s="13">
        <f>B146</f>
        <v>307.08599999999996</v>
      </c>
      <c r="C131" s="13">
        <f>B147</f>
        <v>185.99599237618003</v>
      </c>
      <c r="D131" t="s">
        <v>53</v>
      </c>
      <c r="G131" s="4"/>
      <c r="H131" s="4"/>
    </row>
    <row r="132" spans="1:8" x14ac:dyDescent="0.25">
      <c r="A132" t="s">
        <v>9</v>
      </c>
      <c r="B132" s="13">
        <f>420+131</f>
        <v>551</v>
      </c>
      <c r="C132" s="4"/>
      <c r="D132" t="s">
        <v>65</v>
      </c>
      <c r="G132" s="4"/>
      <c r="H132" s="4"/>
    </row>
    <row r="133" spans="1:8" x14ac:dyDescent="0.25">
      <c r="A133" t="s">
        <v>108</v>
      </c>
      <c r="B133" s="13">
        <v>136</v>
      </c>
      <c r="C133" s="4"/>
      <c r="D133" t="s">
        <v>107</v>
      </c>
      <c r="G133" s="9"/>
      <c r="H133" s="4"/>
    </row>
    <row r="134" spans="1:8" x14ac:dyDescent="0.25">
      <c r="B134" s="4"/>
      <c r="C134" s="4"/>
      <c r="G134" s="4"/>
      <c r="H134" s="4"/>
    </row>
    <row r="135" spans="1:8" x14ac:dyDescent="0.25">
      <c r="A135" s="14" t="s">
        <v>110</v>
      </c>
      <c r="B135" s="15">
        <f>AVERAGE(B127:B128,B130:B133)</f>
        <v>346.63100000000003</v>
      </c>
      <c r="C135" s="15">
        <f>STDEV(B127:B128,B130:B133)</f>
        <v>220.501065952072</v>
      </c>
      <c r="G135" s="4"/>
      <c r="H135" s="4"/>
    </row>
    <row r="136" spans="1:8" x14ac:dyDescent="0.25">
      <c r="A136" s="14" t="s">
        <v>66</v>
      </c>
      <c r="B136" s="15"/>
      <c r="C136" s="15">
        <f>AVERAGE(C127:C128, C130:C133)</f>
        <v>214.96533079205997</v>
      </c>
    </row>
    <row r="137" spans="1:8" x14ac:dyDescent="0.25">
      <c r="G137" s="4"/>
    </row>
    <row r="139" spans="1:8" x14ac:dyDescent="0.25">
      <c r="A139" s="3" t="s">
        <v>70</v>
      </c>
    </row>
    <row r="140" spans="1:8" x14ac:dyDescent="0.25">
      <c r="A140" s="3" t="s">
        <v>67</v>
      </c>
      <c r="B140" s="3" t="s">
        <v>68</v>
      </c>
      <c r="C140" s="3"/>
    </row>
    <row r="141" spans="1:8" x14ac:dyDescent="0.25">
      <c r="A141">
        <v>1</v>
      </c>
      <c r="B141">
        <v>211</v>
      </c>
      <c r="C141" s="4"/>
    </row>
    <row r="142" spans="1:8" x14ac:dyDescent="0.25">
      <c r="A142">
        <v>2</v>
      </c>
      <c r="B142">
        <f>248*0.98</f>
        <v>243.04</v>
      </c>
      <c r="C142" s="4"/>
    </row>
    <row r="143" spans="1:8" x14ac:dyDescent="0.25">
      <c r="A143">
        <v>3</v>
      </c>
      <c r="B143">
        <f>280*0.4</f>
        <v>112</v>
      </c>
      <c r="C143" s="4"/>
    </row>
    <row r="144" spans="1:8" x14ac:dyDescent="0.25">
      <c r="A144">
        <v>4</v>
      </c>
      <c r="B144">
        <f>387*0.97</f>
        <v>375.39</v>
      </c>
      <c r="C144" s="4"/>
    </row>
    <row r="145" spans="1:4" x14ac:dyDescent="0.25">
      <c r="A145">
        <v>5</v>
      </c>
      <c r="B145">
        <f>660*0.9</f>
        <v>594</v>
      </c>
      <c r="C145" s="4"/>
    </row>
    <row r="146" spans="1:4" x14ac:dyDescent="0.25">
      <c r="A146" t="s">
        <v>69</v>
      </c>
      <c r="B146" s="13">
        <f>AVERAGE(B141:B145)</f>
        <v>307.08599999999996</v>
      </c>
      <c r="C146" s="4"/>
    </row>
    <row r="147" spans="1:4" x14ac:dyDescent="0.25">
      <c r="A147" t="s">
        <v>17</v>
      </c>
      <c r="B147" s="13">
        <f>STDEV(B141:B145)</f>
        <v>185.99599237618003</v>
      </c>
      <c r="C147" s="4"/>
    </row>
    <row r="149" spans="1:4" x14ac:dyDescent="0.25">
      <c r="A149" s="2" t="s">
        <v>140</v>
      </c>
    </row>
    <row r="150" spans="1:4" x14ac:dyDescent="0.25">
      <c r="A150" s="3" t="s">
        <v>1</v>
      </c>
      <c r="B150" s="3" t="s">
        <v>2</v>
      </c>
      <c r="C150" s="3" t="s">
        <v>3</v>
      </c>
    </row>
    <row r="151" spans="1:4" x14ac:dyDescent="0.25">
      <c r="A151" t="s">
        <v>9</v>
      </c>
      <c r="B151" s="13">
        <f>124.7*0.238</f>
        <v>29.678599999999999</v>
      </c>
      <c r="C151" s="13">
        <f>15.7*7*0.238</f>
        <v>26.156199999999998</v>
      </c>
      <c r="D151" t="s">
        <v>10</v>
      </c>
    </row>
    <row r="152" spans="1:4" x14ac:dyDescent="0.25">
      <c r="A152" t="s">
        <v>26</v>
      </c>
      <c r="B152" s="13">
        <f>(535+133)*0.238</f>
        <v>158.98399999999998</v>
      </c>
      <c r="C152" s="13"/>
      <c r="D152" t="s">
        <v>8</v>
      </c>
    </row>
    <row r="153" spans="1:4" x14ac:dyDescent="0.25">
      <c r="A153" t="s">
        <v>24</v>
      </c>
      <c r="B153" s="13">
        <f>6000*0.238</f>
        <v>1428</v>
      </c>
      <c r="C153" s="13">
        <f>15000*0.238</f>
        <v>3570</v>
      </c>
      <c r="D153" t="s">
        <v>21</v>
      </c>
    </row>
    <row r="154" spans="1:4" x14ac:dyDescent="0.25">
      <c r="A154" t="s">
        <v>27</v>
      </c>
      <c r="B154" s="13">
        <f>293*0.238</f>
        <v>69.733999999999995</v>
      </c>
      <c r="C154" s="13">
        <f>349*0.238</f>
        <v>83.061999999999998</v>
      </c>
      <c r="D154" t="s">
        <v>14</v>
      </c>
    </row>
    <row r="155" spans="1:4" x14ac:dyDescent="0.25">
      <c r="A155" t="s">
        <v>9</v>
      </c>
      <c r="B155" s="13">
        <f>B131*0.238</f>
        <v>73.086467999999982</v>
      </c>
      <c r="C155" s="13">
        <f>C131*0.238</f>
        <v>44.267046185530845</v>
      </c>
      <c r="D155" t="s">
        <v>53</v>
      </c>
    </row>
    <row r="156" spans="1:4" x14ac:dyDescent="0.25">
      <c r="A156" t="s">
        <v>9</v>
      </c>
      <c r="B156" s="13">
        <v>131</v>
      </c>
      <c r="C156" s="4">
        <v>49.2</v>
      </c>
      <c r="D156" t="s">
        <v>65</v>
      </c>
    </row>
    <row r="157" spans="1:4" x14ac:dyDescent="0.25">
      <c r="A157" t="s">
        <v>108</v>
      </c>
      <c r="B157" s="13">
        <f>136*0.238</f>
        <v>32.367999999999995</v>
      </c>
      <c r="C157" s="4">
        <v>18.7</v>
      </c>
      <c r="D157" t="s">
        <v>107</v>
      </c>
    </row>
    <row r="158" spans="1:4" x14ac:dyDescent="0.25">
      <c r="B158" s="4"/>
      <c r="C158" s="4"/>
    </row>
    <row r="159" spans="1:4" x14ac:dyDescent="0.25">
      <c r="A159" s="14" t="s">
        <v>110</v>
      </c>
      <c r="B159" s="15">
        <f>AVERAGE(B151:B152,B154:B157)</f>
        <v>82.475177999999985</v>
      </c>
      <c r="C159" s="15">
        <f>STDEV(B151:B152,B154:B157)</f>
        <v>52.453696956239241</v>
      </c>
    </row>
    <row r="160" spans="1:4" x14ac:dyDescent="0.25">
      <c r="A160" s="14" t="s">
        <v>66</v>
      </c>
      <c r="B160" s="15"/>
      <c r="C160" s="15">
        <f>AVERAGE(C151:C152, C154:C157)</f>
        <v>44.277049237106169</v>
      </c>
    </row>
    <row r="161" spans="1:5" x14ac:dyDescent="0.25">
      <c r="A161" t="s">
        <v>181</v>
      </c>
      <c r="B161" s="13">
        <f>AVERAGE(B151:B152,B154:B156)</f>
        <v>92.496613599999989</v>
      </c>
      <c r="C161" s="4">
        <f>STDEV(B151:B152,B154:B156)</f>
        <v>51.82681853378736</v>
      </c>
      <c r="D161" t="s">
        <v>182</v>
      </c>
    </row>
    <row r="163" spans="1:5" x14ac:dyDescent="0.25">
      <c r="A163" s="22" t="s">
        <v>141</v>
      </c>
    </row>
    <row r="164" spans="1:5" x14ac:dyDescent="0.25">
      <c r="A164" s="10" t="s">
        <v>1</v>
      </c>
      <c r="B164" s="10" t="s">
        <v>2</v>
      </c>
      <c r="C164" s="10" t="s">
        <v>149</v>
      </c>
      <c r="D164" s="10" t="s">
        <v>150</v>
      </c>
      <c r="E164" s="10" t="s">
        <v>151</v>
      </c>
    </row>
    <row r="165" spans="1:5" x14ac:dyDescent="0.25">
      <c r="A165" t="s">
        <v>142</v>
      </c>
      <c r="C165">
        <v>0.16</v>
      </c>
      <c r="D165" t="s">
        <v>152</v>
      </c>
      <c r="E165" t="s">
        <v>47</v>
      </c>
    </row>
    <row r="166" spans="1:5" x14ac:dyDescent="0.25">
      <c r="A166" t="s">
        <v>143</v>
      </c>
      <c r="B166">
        <v>2.5000000000000001E-2</v>
      </c>
      <c r="C166">
        <v>0.35</v>
      </c>
      <c r="D166" t="s">
        <v>152</v>
      </c>
      <c r="E166" t="s">
        <v>158</v>
      </c>
    </row>
    <row r="167" spans="1:5" x14ac:dyDescent="0.25">
      <c r="A167" t="s">
        <v>23</v>
      </c>
      <c r="B167">
        <v>3.0000000000000001E-3</v>
      </c>
      <c r="C167">
        <v>0.14000000000000001</v>
      </c>
      <c r="D167" t="s">
        <v>153</v>
      </c>
      <c r="E167" t="s">
        <v>8</v>
      </c>
    </row>
    <row r="168" spans="1:5" x14ac:dyDescent="0.25">
      <c r="A168" t="s">
        <v>23</v>
      </c>
      <c r="C168">
        <v>0.18</v>
      </c>
      <c r="D168" t="s">
        <v>152</v>
      </c>
      <c r="E168" t="s">
        <v>47</v>
      </c>
    </row>
    <row r="169" spans="1:5" x14ac:dyDescent="0.25">
      <c r="A169" t="s">
        <v>144</v>
      </c>
      <c r="B169">
        <v>3.0000000000000001E-3</v>
      </c>
      <c r="C169">
        <v>7.0000000000000007E-2</v>
      </c>
      <c r="D169" t="s">
        <v>154</v>
      </c>
      <c r="E169" t="s">
        <v>6</v>
      </c>
    </row>
    <row r="170" spans="1:5" x14ac:dyDescent="0.25">
      <c r="A170" t="s">
        <v>163</v>
      </c>
      <c r="B170">
        <v>0.03</v>
      </c>
      <c r="C170">
        <v>0.4</v>
      </c>
      <c r="D170" t="s">
        <v>155</v>
      </c>
      <c r="E170" t="s">
        <v>164</v>
      </c>
    </row>
    <row r="171" spans="1:5" x14ac:dyDescent="0.25">
      <c r="A171" t="s">
        <v>145</v>
      </c>
      <c r="B171">
        <v>1.4E-2</v>
      </c>
      <c r="C171">
        <v>0.16</v>
      </c>
      <c r="D171" t="s">
        <v>156</v>
      </c>
      <c r="E171" t="s">
        <v>159</v>
      </c>
    </row>
    <row r="172" spans="1:5" x14ac:dyDescent="0.25">
      <c r="A172" t="s">
        <v>146</v>
      </c>
      <c r="B172">
        <v>0.16</v>
      </c>
      <c r="C172">
        <v>1.17</v>
      </c>
      <c r="D172" t="s">
        <v>156</v>
      </c>
      <c r="E172" t="s">
        <v>160</v>
      </c>
    </row>
    <row r="173" spans="1:5" x14ac:dyDescent="0.25">
      <c r="A173" t="s">
        <v>147</v>
      </c>
      <c r="B173">
        <v>0.02</v>
      </c>
      <c r="C173">
        <v>0.28999999999999998</v>
      </c>
      <c r="D173" t="s">
        <v>152</v>
      </c>
      <c r="E173" t="s">
        <v>161</v>
      </c>
    </row>
    <row r="174" spans="1:5" x14ac:dyDescent="0.25">
      <c r="A174" t="s">
        <v>148</v>
      </c>
      <c r="B174">
        <v>0.06</v>
      </c>
      <c r="C174">
        <v>0.26</v>
      </c>
      <c r="D174" t="s">
        <v>152</v>
      </c>
      <c r="E174" t="s">
        <v>162</v>
      </c>
    </row>
    <row r="175" spans="1:5" x14ac:dyDescent="0.25">
      <c r="A175" t="s">
        <v>9</v>
      </c>
      <c r="B175">
        <v>0.04</v>
      </c>
      <c r="C175">
        <v>0.28999999999999998</v>
      </c>
      <c r="D175" t="s">
        <v>157</v>
      </c>
      <c r="E175" t="s">
        <v>167</v>
      </c>
    </row>
    <row r="176" spans="1:5" x14ac:dyDescent="0.25">
      <c r="A176" t="s">
        <v>176</v>
      </c>
      <c r="C176">
        <f>AVERAGE(0.4,0.64)</f>
        <v>0.52</v>
      </c>
      <c r="D176" t="s">
        <v>174</v>
      </c>
      <c r="E176" t="s">
        <v>175</v>
      </c>
    </row>
    <row r="178" spans="1:4" x14ac:dyDescent="0.25">
      <c r="A178" s="23" t="s">
        <v>166</v>
      </c>
      <c r="B178" s="24">
        <f>AVERAGE(B165:B176)</f>
        <v>3.9444444444444442E-2</v>
      </c>
      <c r="C178" s="24">
        <f>AVERAGE(C165:C176)</f>
        <v>0.33249999999999996</v>
      </c>
    </row>
    <row r="179" spans="1:4" x14ac:dyDescent="0.25">
      <c r="A179" s="23" t="s">
        <v>165</v>
      </c>
      <c r="B179" s="24">
        <f>B178/0.404686</f>
        <v>9.7469258744914439E-2</v>
      </c>
      <c r="C179" s="24">
        <f>C178/0.404686</f>
        <v>0.82162466702579273</v>
      </c>
      <c r="D179" s="24"/>
    </row>
    <row r="180" spans="1:4" x14ac:dyDescent="0.25">
      <c r="A180" s="23" t="s">
        <v>168</v>
      </c>
      <c r="B180">
        <f>MEDIAN(B165:B175)</f>
        <v>2.5000000000000001E-2</v>
      </c>
      <c r="C180">
        <f>MEDIAN(C165:C176)</f>
        <v>0.27500000000000002</v>
      </c>
    </row>
    <row r="181" spans="1:4" x14ac:dyDescent="0.25">
      <c r="A181" s="23" t="s">
        <v>171</v>
      </c>
      <c r="B181" s="24">
        <f>B179+(2*B183)</f>
        <v>0.33791300868949181</v>
      </c>
    </row>
    <row r="182" spans="1:4" x14ac:dyDescent="0.25">
      <c r="A182" s="23" t="s">
        <v>169</v>
      </c>
      <c r="B182" s="9">
        <f>MAX(C165:C175)/0.404686</f>
        <v>2.8911304072787294</v>
      </c>
    </row>
    <row r="183" spans="1:4" x14ac:dyDescent="0.25">
      <c r="A183" s="23" t="s">
        <v>170</v>
      </c>
      <c r="B183" s="9">
        <f>STDEV(B165:B175)/0.404686</f>
        <v>0.12022187497228867</v>
      </c>
    </row>
    <row r="184" spans="1:4" x14ac:dyDescent="0.25">
      <c r="A184" s="23" t="s">
        <v>173</v>
      </c>
      <c r="C184" s="24">
        <f>AVERAGE(C165:C168,C170:C171,C173:C176)/0.404686</f>
        <v>0.67953919829200915</v>
      </c>
    </row>
    <row r="185" spans="1:4" x14ac:dyDescent="0.25">
      <c r="A185" s="23" t="s">
        <v>172</v>
      </c>
      <c r="C185" s="24">
        <f>C176/0.404686</f>
        <v>1.2849468476794355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S.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 D -FS</dc:creator>
  <cp:lastModifiedBy>Ashley Grupenhoff</cp:lastModifiedBy>
  <dcterms:created xsi:type="dcterms:W3CDTF">2018-07-05T17:44:37Z</dcterms:created>
  <dcterms:modified xsi:type="dcterms:W3CDTF">2021-06-24T03:45:02Z</dcterms:modified>
</cp:coreProperties>
</file>